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9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filterPrivacy="1" defaultThemeVersion="166925"/>
  <xr:revisionPtr revIDLastSave="3" documentId="8_{AE21E25A-E88C-4017-AB52-D573A3242DCE}" xr6:coauthVersionLast="47" xr6:coauthVersionMax="47" xr10:uidLastSave="{799F42E6-4EAE-44CB-991B-757EFF7BACBF}"/>
  <bookViews>
    <workbookView xWindow="-28920" yWindow="-120" windowWidth="29040" windowHeight="15840" tabRatio="928" activeTab="1" xr2:uid="{91793F75-9DF7-40F4-B312-7EC0218BAD79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" sheetId="50" state="hidden" r:id="rId11"/>
    <sheet name="Dist Cust Factors" sheetId="51" state="hidden" r:id="rId12"/>
    <sheet name="Total ALLOCATION" sheetId="9" r:id="rId13"/>
    <sheet name="Allocation Factors" sheetId="16" r:id="rId14"/>
    <sheet name="Dist ALLOCATION" sheetId="49" r:id="rId15"/>
    <sheet name="Gas Cost ALLOCATION" sheetId="48" r:id="rId16"/>
  </sheets>
  <definedNames>
    <definedName name="_xlnm.Print_Area" localSheetId="13">'Allocation Factors'!$A$1:$AU$114</definedName>
    <definedName name="_xlnm.Print_Area" localSheetId="14">'Dist ALLOCATION'!$A$1:$BE$56</definedName>
    <definedName name="_xlnm.Print_Area" localSheetId="10">'Dist Cust Class'!$B$5:$X$106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15">'Gas Cost ALLOCATION'!$A$1:$BE$56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12">'Total ALLOCATION'!$A$1:$BE$55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62" i="1" l="1"/>
  <c r="AC31" i="4"/>
  <c r="Z82" i="50" l="1"/>
  <c r="Z83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174" i="50"/>
  <c r="B175" i="50" s="1"/>
  <c r="B176" i="50" s="1"/>
  <c r="B178" i="50" s="1"/>
  <c r="B180" i="50" s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B19" i="4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78" i="13"/>
  <c r="B180" i="13" s="1"/>
  <c r="B174" i="13"/>
  <c r="B175" i="13" s="1"/>
  <c r="B176" i="13" s="1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"/>
  <c r="H52" i="48"/>
  <c r="H34" i="49"/>
  <c r="H24" i="48"/>
  <c r="A12" i="48"/>
  <c r="A13" i="48" s="1"/>
  <c r="A14" i="48" s="1"/>
  <c r="A15" i="48" s="1"/>
  <c r="A16" i="48" s="1"/>
  <c r="A17" i="48" s="1"/>
  <c r="A12" i="49"/>
  <c r="A13" i="49" s="1"/>
  <c r="A14" i="49" s="1"/>
  <c r="A15" i="49" s="1"/>
  <c r="A16" i="49" s="1"/>
  <c r="A17" i="49" s="1"/>
  <c r="A20" i="49" s="1"/>
  <c r="A21" i="49" s="1"/>
  <c r="A22" i="49" s="1"/>
  <c r="A23" i="49" s="1"/>
  <c r="A24" i="49" s="1"/>
  <c r="A27" i="49" s="1"/>
  <c r="A28" i="49" s="1"/>
  <c r="A29" i="49" s="1"/>
  <c r="A30" i="49" s="1"/>
  <c r="A31" i="49" s="1"/>
  <c r="A32" i="49" s="1"/>
  <c r="A33" i="49" s="1"/>
  <c r="A34" i="49" s="1"/>
  <c r="A12" i="9"/>
  <c r="A13" i="9" s="1"/>
  <c r="A14" i="9" s="1"/>
  <c r="A15" i="9" s="1"/>
  <c r="A16" i="9" s="1"/>
  <c r="A17" i="9" s="1"/>
  <c r="A20" i="9" s="1"/>
  <c r="A21" i="9" s="1"/>
  <c r="A22" i="9" s="1"/>
  <c r="A23" i="9" s="1"/>
  <c r="A24" i="9" s="1"/>
  <c r="A27" i="9" s="1"/>
  <c r="A28" i="9" s="1"/>
  <c r="A29" i="9" s="1"/>
  <c r="A30" i="9" s="1"/>
  <c r="A31" i="9" s="1"/>
  <c r="A32" i="9" s="1"/>
  <c r="A33" i="9" s="1"/>
  <c r="A34" i="9" s="1"/>
  <c r="A37" i="9" s="1"/>
  <c r="A38" i="9" s="1"/>
  <c r="A39" i="9" s="1"/>
  <c r="A41" i="9" s="1"/>
  <c r="A37" i="49" l="1"/>
  <c r="A38" i="49" s="1"/>
  <c r="A39" i="49" s="1"/>
  <c r="A41" i="49" s="1"/>
  <c r="A42" i="49" s="1"/>
  <c r="A43" i="49" s="1"/>
  <c r="A44" i="49" s="1"/>
  <c r="A45" i="49" s="1"/>
  <c r="A46" i="49" s="1"/>
  <c r="A48" i="49" s="1"/>
  <c r="A49" i="49" s="1"/>
  <c r="A50" i="49" s="1"/>
  <c r="A51" i="49" s="1"/>
  <c r="A52" i="49" s="1"/>
  <c r="A54" i="49" s="1"/>
  <c r="B92" i="50"/>
  <c r="B95" i="50" s="1"/>
  <c r="B97" i="50" s="1"/>
  <c r="B102" i="50" s="1"/>
  <c r="B103" i="50" s="1"/>
  <c r="B104" i="50" s="1"/>
  <c r="B108" i="50" s="1"/>
  <c r="B109" i="50" s="1"/>
  <c r="B110" i="50" s="1"/>
  <c r="B115" i="50" s="1"/>
  <c r="B123" i="50" s="1"/>
  <c r="A20" i="48"/>
  <c r="A21" i="48" s="1"/>
  <c r="A22" i="48" s="1"/>
  <c r="A23" i="48" s="1"/>
  <c r="A24" i="48" s="1"/>
  <c r="A27" i="48" s="1"/>
  <c r="A28" i="48" s="1"/>
  <c r="A29" i="48" s="1"/>
  <c r="A30" i="48" s="1"/>
  <c r="A31" i="48" s="1"/>
  <c r="A32" i="48" s="1"/>
  <c r="A33" i="48" s="1"/>
  <c r="A42" i="9"/>
  <c r="B116" i="50" l="1"/>
  <c r="B117" i="50" s="1"/>
  <c r="B118" i="50" s="1"/>
  <c r="B119" i="50" s="1"/>
  <c r="B120" i="50" s="1"/>
  <c r="B121" i="50" s="1"/>
  <c r="B122" i="50" s="1"/>
  <c r="B124" i="50"/>
  <c r="B125" i="50" s="1"/>
  <c r="B126" i="50" s="1"/>
  <c r="B127" i="50" s="1"/>
  <c r="B128" i="50" s="1"/>
  <c r="B129" i="50" s="1"/>
  <c r="B130" i="50" s="1"/>
  <c r="B131" i="50" s="1"/>
  <c r="B132" i="50"/>
  <c r="A34" i="48"/>
  <c r="A37" i="48" s="1"/>
  <c r="A38" i="48" s="1"/>
  <c r="A39" i="48" s="1"/>
  <c r="A41" i="48" s="1"/>
  <c r="A42" i="48" s="1"/>
  <c r="A43" i="48" s="1"/>
  <c r="A44" i="48" s="1"/>
  <c r="A45" i="48" s="1"/>
  <c r="A46" i="48" s="1"/>
  <c r="A48" i="48" s="1"/>
  <c r="A49" i="48" s="1"/>
  <c r="A50" i="48" s="1"/>
  <c r="A51" i="48" s="1"/>
  <c r="A52" i="48" s="1"/>
  <c r="A54" i="48" s="1"/>
  <c r="A43" i="9"/>
  <c r="A44" i="9" s="1"/>
  <c r="A45" i="9" s="1"/>
  <c r="A46" i="9" s="1"/>
  <c r="A48" i="9" s="1"/>
  <c r="A49" i="9" s="1"/>
  <c r="A50" i="9" s="1"/>
  <c r="A51" i="9" s="1"/>
  <c r="A52" i="9" s="1"/>
  <c r="A54" i="9" s="1"/>
  <c r="B137" i="50" l="1"/>
  <c r="B133" i="50"/>
  <c r="B134" i="50" s="1"/>
  <c r="B135" i="50" s="1"/>
  <c r="B136" i="50" s="1"/>
  <c r="B138" i="50" l="1"/>
  <c r="B139" i="50" s="1"/>
  <c r="B140" i="50" s="1"/>
  <c r="B141" i="50" s="1"/>
  <c r="B142" i="50" s="1"/>
  <c r="B143" i="50" s="1"/>
  <c r="B144" i="50"/>
  <c r="B145" i="50" l="1"/>
  <c r="B146" i="50"/>
  <c r="B150" i="50" l="1"/>
  <c r="B147" i="50"/>
  <c r="B148" i="50" s="1"/>
  <c r="B149" i="50" s="1"/>
  <c r="B151" i="50" l="1"/>
  <c r="B152" i="50" s="1"/>
  <c r="B153" i="50" s="1"/>
  <c r="B154" i="50" s="1"/>
  <c r="B155" i="50" s="1"/>
  <c r="B156" i="50" s="1"/>
  <c r="B157" i="50" s="1"/>
  <c r="B158" i="50"/>
  <c r="B162" i="50" l="1"/>
  <c r="B164" i="50" s="1"/>
  <c r="B170" i="50" s="1"/>
  <c r="B171" i="50" s="1"/>
  <c r="B172" i="50" s="1"/>
  <c r="B173" i="50" s="1"/>
  <c r="B159" i="50"/>
  <c r="B160" i="50" s="1"/>
  <c r="AF81" i="5" l="1"/>
  <c r="AF83" i="5"/>
  <c r="AD82" i="13"/>
  <c r="AD83" i="13"/>
  <c r="AD90" i="13"/>
  <c r="AD91" i="13"/>
  <c r="AD93" i="13"/>
  <c r="AD94" i="13"/>
  <c r="AD96" i="13"/>
  <c r="AD98" i="13"/>
  <c r="AD99" i="13"/>
  <c r="AD100" i="13"/>
  <c r="AD101" i="13"/>
  <c r="AD105" i="13"/>
  <c r="AD106" i="13"/>
  <c r="AD107" i="13"/>
  <c r="AD111" i="13"/>
  <c r="AD112" i="13"/>
  <c r="AD113" i="13"/>
  <c r="AD114" i="13"/>
  <c r="AD115" i="13"/>
  <c r="AD123" i="13"/>
  <c r="AD132" i="13"/>
  <c r="AD137" i="13"/>
  <c r="AD144" i="13"/>
  <c r="AD146" i="13"/>
  <c r="AD150" i="13"/>
  <c r="AD158" i="13"/>
  <c r="Z82" i="4"/>
  <c r="Z83" i="4"/>
  <c r="Z80" i="4"/>
  <c r="Z81" i="4"/>
  <c r="K84" i="4"/>
  <c r="O84" i="4"/>
  <c r="K85" i="4"/>
  <c r="O85" i="4"/>
  <c r="K86" i="4"/>
  <c r="O86" i="4"/>
  <c r="K87" i="4"/>
  <c r="O87" i="4"/>
  <c r="K88" i="4"/>
  <c r="O88" i="4"/>
  <c r="H89" i="4"/>
  <c r="AD81" i="13"/>
  <c r="Z81" i="13"/>
  <c r="F88" i="1"/>
  <c r="D60" i="16"/>
  <c r="D51" i="16"/>
  <c r="D48" i="16"/>
  <c r="D12" i="51"/>
  <c r="F13" i="51" s="1"/>
  <c r="D27" i="51"/>
  <c r="J28" i="51" s="1"/>
  <c r="D15" i="51"/>
  <c r="F16" i="51" s="1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AH125" i="7"/>
  <c r="T121" i="7"/>
  <c r="V121" i="7"/>
  <c r="J16" i="51"/>
  <c r="H16" i="51"/>
  <c r="H13" i="51"/>
  <c r="H28" i="51"/>
  <c r="F28" i="51"/>
  <c r="D28" i="51" s="1"/>
  <c r="J13" i="51"/>
  <c r="D13" i="51" s="1"/>
  <c r="X121" i="7"/>
  <c r="T125" i="7"/>
  <c r="Z121" i="7"/>
  <c r="V125" i="7"/>
  <c r="AB121" i="7"/>
  <c r="X125" i="7"/>
  <c r="AD121" i="7"/>
  <c r="Z125" i="7"/>
  <c r="P121" i="7"/>
  <c r="AF121" i="7"/>
  <c r="AB125" i="7"/>
  <c r="R121" i="7"/>
  <c r="AH121" i="7"/>
  <c r="AD125" i="7"/>
  <c r="P125" i="7"/>
  <c r="D16" i="51" l="1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O171" i="4"/>
  <c r="O172" i="4"/>
  <c r="O173" i="4"/>
  <c r="O174" i="4"/>
  <c r="O175" i="4"/>
  <c r="O176" i="4"/>
  <c r="O170" i="4"/>
  <c r="O160" i="4"/>
  <c r="O159" i="4"/>
  <c r="O152" i="4"/>
  <c r="O153" i="4"/>
  <c r="O154" i="4"/>
  <c r="O155" i="4"/>
  <c r="O156" i="4"/>
  <c r="O157" i="4"/>
  <c r="O151" i="4"/>
  <c r="O148" i="4"/>
  <c r="O149" i="4"/>
  <c r="O147" i="4"/>
  <c r="O145" i="4"/>
  <c r="O139" i="4"/>
  <c r="O140" i="4"/>
  <c r="O141" i="4"/>
  <c r="O142" i="4"/>
  <c r="O143" i="4"/>
  <c r="O138" i="4"/>
  <c r="O134" i="4"/>
  <c r="O135" i="4"/>
  <c r="O136" i="4"/>
  <c r="O133" i="4"/>
  <c r="O125" i="4"/>
  <c r="O126" i="4"/>
  <c r="O127" i="4"/>
  <c r="O128" i="4"/>
  <c r="O129" i="4"/>
  <c r="O130" i="4"/>
  <c r="O131" i="4"/>
  <c r="O124" i="4"/>
  <c r="O117" i="4"/>
  <c r="O118" i="4"/>
  <c r="O119" i="4"/>
  <c r="O120" i="4"/>
  <c r="O121" i="4"/>
  <c r="O122" i="4"/>
  <c r="O116" i="4"/>
  <c r="O109" i="4"/>
  <c r="O108" i="4"/>
  <c r="O103" i="4"/>
  <c r="O102" i="4"/>
  <c r="O77" i="4"/>
  <c r="O63" i="4"/>
  <c r="O64" i="4"/>
  <c r="O65" i="4"/>
  <c r="O66" i="4"/>
  <c r="O67" i="4"/>
  <c r="O68" i="4"/>
  <c r="O69" i="4"/>
  <c r="O70" i="4"/>
  <c r="O71" i="4"/>
  <c r="O72" i="4"/>
  <c r="O73" i="4"/>
  <c r="O74" i="4"/>
  <c r="O62" i="4"/>
  <c r="O55" i="4"/>
  <c r="O41" i="4"/>
  <c r="O42" i="4"/>
  <c r="O43" i="4"/>
  <c r="O44" i="4"/>
  <c r="O45" i="4"/>
  <c r="O46" i="4"/>
  <c r="O47" i="4"/>
  <c r="O48" i="4"/>
  <c r="O49" i="4"/>
  <c r="O50" i="4"/>
  <c r="O51" i="4"/>
  <c r="O52" i="4"/>
  <c r="O40" i="4"/>
  <c r="O33" i="4"/>
  <c r="O19" i="4"/>
  <c r="O20" i="4"/>
  <c r="O21" i="4"/>
  <c r="O22" i="4"/>
  <c r="O23" i="4"/>
  <c r="O24" i="4"/>
  <c r="O25" i="4"/>
  <c r="O26" i="4"/>
  <c r="O27" i="4"/>
  <c r="O28" i="4"/>
  <c r="O29" i="4"/>
  <c r="O30" i="4"/>
  <c r="O18" i="4"/>
  <c r="K171" i="4"/>
  <c r="K172" i="4"/>
  <c r="K173" i="4"/>
  <c r="K174" i="4"/>
  <c r="K175" i="4"/>
  <c r="K176" i="4"/>
  <c r="K170" i="4"/>
  <c r="K160" i="4"/>
  <c r="K159" i="4"/>
  <c r="K152" i="4"/>
  <c r="K153" i="4"/>
  <c r="K154" i="4"/>
  <c r="K155" i="4"/>
  <c r="K156" i="4"/>
  <c r="K157" i="4"/>
  <c r="K151" i="4"/>
  <c r="K148" i="4"/>
  <c r="K149" i="4"/>
  <c r="K147" i="4"/>
  <c r="K145" i="4"/>
  <c r="K139" i="4"/>
  <c r="K140" i="4"/>
  <c r="K141" i="4"/>
  <c r="K142" i="4"/>
  <c r="K143" i="4"/>
  <c r="K138" i="4"/>
  <c r="K134" i="4"/>
  <c r="K135" i="4"/>
  <c r="K136" i="4"/>
  <c r="K133" i="4"/>
  <c r="K125" i="4"/>
  <c r="K126" i="4"/>
  <c r="K127" i="4"/>
  <c r="K128" i="4"/>
  <c r="K129" i="4"/>
  <c r="K130" i="4"/>
  <c r="K131" i="4"/>
  <c r="K124" i="4"/>
  <c r="K117" i="4"/>
  <c r="K118" i="4"/>
  <c r="K119" i="4"/>
  <c r="K120" i="4"/>
  <c r="K121" i="4"/>
  <c r="K122" i="4"/>
  <c r="K116" i="4"/>
  <c r="K109" i="4"/>
  <c r="K108" i="4"/>
  <c r="K103" i="4"/>
  <c r="K102" i="4"/>
  <c r="K77" i="4"/>
  <c r="K63" i="4"/>
  <c r="K64" i="4"/>
  <c r="K65" i="4"/>
  <c r="K66" i="4"/>
  <c r="K67" i="4"/>
  <c r="K68" i="4"/>
  <c r="K69" i="4"/>
  <c r="K70" i="4"/>
  <c r="K71" i="4"/>
  <c r="K72" i="4"/>
  <c r="K73" i="4"/>
  <c r="K74" i="4"/>
  <c r="K62" i="4"/>
  <c r="K55" i="4"/>
  <c r="K41" i="4"/>
  <c r="K42" i="4"/>
  <c r="K43" i="4"/>
  <c r="K44" i="4"/>
  <c r="K45" i="4"/>
  <c r="K46" i="4"/>
  <c r="K47" i="4"/>
  <c r="K48" i="4"/>
  <c r="K49" i="4"/>
  <c r="K50" i="4"/>
  <c r="K51" i="4"/>
  <c r="K52" i="4"/>
  <c r="K40" i="4"/>
  <c r="K33" i="4"/>
  <c r="K19" i="4"/>
  <c r="K20" i="4"/>
  <c r="K21" i="4"/>
  <c r="K22" i="4"/>
  <c r="K23" i="4"/>
  <c r="K24" i="4"/>
  <c r="K25" i="4"/>
  <c r="K26" i="4"/>
  <c r="K27" i="4"/>
  <c r="K28" i="4"/>
  <c r="K29" i="4"/>
  <c r="K30" i="4"/>
  <c r="K18" i="4"/>
  <c r="V121" i="4" l="1"/>
  <c r="P121" i="4"/>
  <c r="R121" i="4"/>
  <c r="T121" i="4"/>
  <c r="O171" i="13" l="1"/>
  <c r="O172" i="13"/>
  <c r="O173" i="13"/>
  <c r="O174" i="13"/>
  <c r="O175" i="13"/>
  <c r="O176" i="13"/>
  <c r="O170" i="13"/>
  <c r="O160" i="13"/>
  <c r="O159" i="13"/>
  <c r="O152" i="13"/>
  <c r="O153" i="13"/>
  <c r="O154" i="13"/>
  <c r="O155" i="13"/>
  <c r="O156" i="13"/>
  <c r="O157" i="13"/>
  <c r="O151" i="13"/>
  <c r="O148" i="13"/>
  <c r="O149" i="13"/>
  <c r="O147" i="13"/>
  <c r="O145" i="13"/>
  <c r="O140" i="13"/>
  <c r="O141" i="13"/>
  <c r="O142" i="13"/>
  <c r="O143" i="13"/>
  <c r="O139" i="13"/>
  <c r="O135" i="13"/>
  <c r="O136" i="13"/>
  <c r="O134" i="13"/>
  <c r="O125" i="13"/>
  <c r="O126" i="13"/>
  <c r="O127" i="13"/>
  <c r="O128" i="13"/>
  <c r="O129" i="13"/>
  <c r="O130" i="13"/>
  <c r="O131" i="13"/>
  <c r="O124" i="13"/>
  <c r="T158" i="13"/>
  <c r="T150" i="13"/>
  <c r="T146" i="13"/>
  <c r="T144" i="13"/>
  <c r="T137" i="13"/>
  <c r="T123" i="13"/>
  <c r="O117" i="13"/>
  <c r="O118" i="13"/>
  <c r="O119" i="13"/>
  <c r="O120" i="13"/>
  <c r="O121" i="13"/>
  <c r="O122" i="13"/>
  <c r="O116" i="13"/>
  <c r="O109" i="13"/>
  <c r="O108" i="13"/>
  <c r="O103" i="13"/>
  <c r="O102" i="13"/>
  <c r="O84" i="13"/>
  <c r="O85" i="13"/>
  <c r="O86" i="13"/>
  <c r="O87" i="13"/>
  <c r="O88" i="13"/>
  <c r="O77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62" i="13"/>
  <c r="O55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40" i="13"/>
  <c r="O33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18" i="13"/>
  <c r="D13" i="2" l="1"/>
  <c r="F14" i="2" s="1"/>
  <c r="D16" i="2"/>
  <c r="F17" i="2" s="1"/>
  <c r="D19" i="2"/>
  <c r="J20" i="2" s="1"/>
  <c r="D22" i="2"/>
  <c r="J23" i="2" s="1"/>
  <c r="D25" i="2"/>
  <c r="F26" i="2" s="1"/>
  <c r="D28" i="2"/>
  <c r="F29" i="2" s="1"/>
  <c r="D31" i="2"/>
  <c r="J32" i="2" s="1"/>
  <c r="D34" i="2"/>
  <c r="J35" i="2" s="1"/>
  <c r="D37" i="2"/>
  <c r="J38" i="2" s="1"/>
  <c r="D40" i="2"/>
  <c r="F41" i="2" s="1"/>
  <c r="D43" i="2"/>
  <c r="J44" i="2" s="1"/>
  <c r="D46" i="2"/>
  <c r="J47" i="2" s="1"/>
  <c r="D49" i="2"/>
  <c r="H50" i="2" s="1"/>
  <c r="D55" i="2"/>
  <c r="F56" i="2" s="1"/>
  <c r="D58" i="2"/>
  <c r="H59" i="2" s="1"/>
  <c r="D64" i="2"/>
  <c r="J65" i="2" s="1"/>
  <c r="D67" i="2"/>
  <c r="J68" i="2" s="1"/>
  <c r="D70" i="2"/>
  <c r="F71" i="2" s="1"/>
  <c r="D73" i="2"/>
  <c r="F74" i="2" s="1"/>
  <c r="D76" i="2"/>
  <c r="J77" i="2" s="1"/>
  <c r="D79" i="2"/>
  <c r="J80" i="2" s="1"/>
  <c r="D82" i="2"/>
  <c r="F83" i="2" s="1"/>
  <c r="D85" i="2"/>
  <c r="F86" i="2" s="1"/>
  <c r="D94" i="2"/>
  <c r="F95" i="2" s="1"/>
  <c r="D97" i="2"/>
  <c r="H98" i="2" s="1"/>
  <c r="D106" i="2"/>
  <c r="F107" i="2" s="1"/>
  <c r="D109" i="2"/>
  <c r="H110" i="2" s="1"/>
  <c r="D112" i="2"/>
  <c r="L113" i="2" s="1"/>
  <c r="D115" i="2"/>
  <c r="L116" i="2" s="1"/>
  <c r="D118" i="2"/>
  <c r="F119" i="2" s="1"/>
  <c r="K171" i="1"/>
  <c r="K172" i="1"/>
  <c r="K173" i="1"/>
  <c r="K174" i="1"/>
  <c r="K175" i="1"/>
  <c r="K176" i="1"/>
  <c r="K170" i="1"/>
  <c r="K152" i="1"/>
  <c r="K153" i="1"/>
  <c r="K154" i="1"/>
  <c r="K155" i="1"/>
  <c r="K156" i="1"/>
  <c r="K148" i="1"/>
  <c r="K149" i="1"/>
  <c r="K147" i="1"/>
  <c r="K139" i="1"/>
  <c r="K140" i="1"/>
  <c r="K141" i="1"/>
  <c r="K142" i="1"/>
  <c r="K143" i="1"/>
  <c r="K138" i="1"/>
  <c r="K134" i="1"/>
  <c r="K135" i="1"/>
  <c r="K136" i="1"/>
  <c r="K133" i="1"/>
  <c r="K125" i="1"/>
  <c r="K126" i="1"/>
  <c r="K127" i="1"/>
  <c r="K128" i="1"/>
  <c r="K129" i="1"/>
  <c r="K130" i="1"/>
  <c r="K131" i="1"/>
  <c r="K124" i="1"/>
  <c r="K117" i="1"/>
  <c r="K118" i="1"/>
  <c r="K119" i="1"/>
  <c r="K120" i="1"/>
  <c r="K121" i="1"/>
  <c r="K122" i="1"/>
  <c r="K116" i="1"/>
  <c r="K109" i="1"/>
  <c r="K108" i="1"/>
  <c r="K103" i="1"/>
  <c r="K102" i="1"/>
  <c r="K85" i="1"/>
  <c r="K86" i="1"/>
  <c r="K87" i="1"/>
  <c r="K88" i="1"/>
  <c r="K84" i="1"/>
  <c r="K77" i="1"/>
  <c r="K63" i="1"/>
  <c r="K64" i="1"/>
  <c r="K65" i="1"/>
  <c r="K66" i="1"/>
  <c r="K67" i="1"/>
  <c r="K68" i="1"/>
  <c r="K69" i="1"/>
  <c r="K70" i="1"/>
  <c r="K71" i="1"/>
  <c r="K72" i="1"/>
  <c r="K73" i="1"/>
  <c r="K74" i="1"/>
  <c r="K62" i="1"/>
  <c r="K55" i="1"/>
  <c r="K41" i="1"/>
  <c r="K42" i="1"/>
  <c r="K43" i="1"/>
  <c r="K44" i="1"/>
  <c r="K45" i="1"/>
  <c r="K46" i="1"/>
  <c r="K47" i="1"/>
  <c r="K48" i="1"/>
  <c r="K49" i="1"/>
  <c r="K50" i="1"/>
  <c r="K51" i="1"/>
  <c r="K52" i="1"/>
  <c r="K40" i="1"/>
  <c r="K33" i="1"/>
  <c r="K19" i="1"/>
  <c r="K20" i="1"/>
  <c r="K21" i="1"/>
  <c r="K22" i="1"/>
  <c r="K23" i="1"/>
  <c r="K24" i="1"/>
  <c r="K25" i="1"/>
  <c r="K26" i="1"/>
  <c r="K27" i="1"/>
  <c r="K28" i="1"/>
  <c r="K29" i="1"/>
  <c r="K30" i="1"/>
  <c r="K18" i="1"/>
  <c r="K160" i="1"/>
  <c r="K159" i="1"/>
  <c r="K157" i="1"/>
  <c r="K151" i="1"/>
  <c r="K145" i="1"/>
  <c r="O171" i="1"/>
  <c r="O172" i="1"/>
  <c r="O173" i="1"/>
  <c r="O174" i="1"/>
  <c r="O175" i="1"/>
  <c r="O176" i="1"/>
  <c r="O170" i="1"/>
  <c r="O160" i="1"/>
  <c r="O159" i="1"/>
  <c r="O152" i="1"/>
  <c r="O153" i="1"/>
  <c r="O154" i="1"/>
  <c r="O155" i="1"/>
  <c r="O156" i="1"/>
  <c r="O157" i="1"/>
  <c r="O151" i="1"/>
  <c r="O148" i="1"/>
  <c r="O149" i="1"/>
  <c r="O147" i="1"/>
  <c r="O145" i="1"/>
  <c r="O139" i="1"/>
  <c r="O140" i="1"/>
  <c r="O141" i="1"/>
  <c r="O142" i="1"/>
  <c r="O143" i="1"/>
  <c r="O138" i="1"/>
  <c r="O134" i="1"/>
  <c r="O135" i="1"/>
  <c r="O136" i="1"/>
  <c r="O133" i="1"/>
  <c r="O125" i="1"/>
  <c r="O126" i="1"/>
  <c r="O127" i="1"/>
  <c r="O128" i="1"/>
  <c r="O129" i="1"/>
  <c r="O130" i="1"/>
  <c r="O131" i="1"/>
  <c r="O124" i="1"/>
  <c r="O117" i="1"/>
  <c r="O118" i="1"/>
  <c r="O119" i="1"/>
  <c r="O120" i="1"/>
  <c r="O121" i="1"/>
  <c r="O122" i="1"/>
  <c r="O116" i="1"/>
  <c r="O109" i="1"/>
  <c r="O108" i="1"/>
  <c r="O103" i="1"/>
  <c r="O102" i="1"/>
  <c r="O85" i="1"/>
  <c r="O86" i="1"/>
  <c r="O87" i="1"/>
  <c r="O88" i="1"/>
  <c r="O84" i="1"/>
  <c r="O77" i="1"/>
  <c r="O63" i="1"/>
  <c r="O64" i="1"/>
  <c r="O65" i="1"/>
  <c r="O66" i="1"/>
  <c r="O67" i="1"/>
  <c r="O68" i="1"/>
  <c r="O69" i="1"/>
  <c r="O70" i="1"/>
  <c r="O71" i="1"/>
  <c r="O72" i="1"/>
  <c r="O73" i="1"/>
  <c r="O74" i="1"/>
  <c r="O62" i="1"/>
  <c r="O55" i="1"/>
  <c r="O52" i="1"/>
  <c r="O45" i="1"/>
  <c r="O46" i="1"/>
  <c r="O47" i="1"/>
  <c r="O48" i="1"/>
  <c r="O49" i="1"/>
  <c r="O50" i="1"/>
  <c r="O51" i="1"/>
  <c r="O44" i="1"/>
  <c r="O43" i="1"/>
  <c r="O42" i="1"/>
  <c r="O40" i="1"/>
  <c r="O41" i="1"/>
  <c r="O33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L71" i="2" l="1"/>
  <c r="J71" i="2"/>
  <c r="L83" i="2"/>
  <c r="H71" i="2"/>
  <c r="H44" i="2"/>
  <c r="L41" i="2"/>
  <c r="J74" i="2"/>
  <c r="H77" i="2"/>
  <c r="L26" i="2"/>
  <c r="J41" i="2"/>
  <c r="J116" i="2"/>
  <c r="F38" i="2"/>
  <c r="J83" i="2"/>
  <c r="H116" i="2"/>
  <c r="D116" i="2" s="1"/>
  <c r="H26" i="2"/>
  <c r="L35" i="2"/>
  <c r="H35" i="2"/>
  <c r="J50" i="2"/>
  <c r="D71" i="2"/>
  <c r="L47" i="2"/>
  <c r="L38" i="2"/>
  <c r="L29" i="2"/>
  <c r="J14" i="2"/>
  <c r="L74" i="2"/>
  <c r="H68" i="2"/>
  <c r="H47" i="2"/>
  <c r="H38" i="2"/>
  <c r="L86" i="2"/>
  <c r="H80" i="2"/>
  <c r="F50" i="2"/>
  <c r="F23" i="2"/>
  <c r="J113" i="2"/>
  <c r="F80" i="2"/>
  <c r="H65" i="2"/>
  <c r="F113" i="2"/>
  <c r="F35" i="2"/>
  <c r="J26" i="2"/>
  <c r="H20" i="2"/>
  <c r="H83" i="2"/>
  <c r="F47" i="2"/>
  <c r="H32" i="2"/>
  <c r="L68" i="2"/>
  <c r="L50" i="2"/>
  <c r="L14" i="2"/>
  <c r="L80" i="2"/>
  <c r="L23" i="2"/>
  <c r="F116" i="2"/>
  <c r="F68" i="2"/>
  <c r="J29" i="2"/>
  <c r="H23" i="2"/>
  <c r="F110" i="2"/>
  <c r="F98" i="2"/>
  <c r="F59" i="2"/>
  <c r="H113" i="2"/>
  <c r="F77" i="2"/>
  <c r="F65" i="2"/>
  <c r="F44" i="2"/>
  <c r="F32" i="2"/>
  <c r="F20" i="2"/>
  <c r="L119" i="2"/>
  <c r="L107" i="2"/>
  <c r="L95" i="2"/>
  <c r="L56" i="2"/>
  <c r="J119" i="2"/>
  <c r="J107" i="2"/>
  <c r="J95" i="2"/>
  <c r="J56" i="2"/>
  <c r="L17" i="2"/>
  <c r="H14" i="2"/>
  <c r="H119" i="2"/>
  <c r="L110" i="2"/>
  <c r="H107" i="2"/>
  <c r="L98" i="2"/>
  <c r="H95" i="2"/>
  <c r="J86" i="2"/>
  <c r="L59" i="2"/>
  <c r="H56" i="2"/>
  <c r="J17" i="2"/>
  <c r="J110" i="2"/>
  <c r="J98" i="2"/>
  <c r="H86" i="2"/>
  <c r="L77" i="2"/>
  <c r="H74" i="2"/>
  <c r="L65" i="2"/>
  <c r="J59" i="2"/>
  <c r="L44" i="2"/>
  <c r="H41" i="2"/>
  <c r="D41" i="2" s="1"/>
  <c r="L32" i="2"/>
  <c r="H29" i="2"/>
  <c r="L20" i="2"/>
  <c r="H17" i="2"/>
  <c r="D83" i="2" l="1"/>
  <c r="D26" i="2"/>
  <c r="D68" i="2"/>
  <c r="D35" i="2"/>
  <c r="D38" i="2"/>
  <c r="D17" i="2"/>
  <c r="D14" i="2"/>
  <c r="D86" i="2"/>
  <c r="D47" i="2"/>
  <c r="D110" i="2"/>
  <c r="D119" i="2"/>
  <c r="D113" i="2"/>
  <c r="D23" i="2"/>
  <c r="D50" i="2"/>
  <c r="D80" i="2"/>
  <c r="D59" i="2"/>
  <c r="D32" i="2"/>
  <c r="D98" i="2"/>
  <c r="D65" i="2"/>
  <c r="D107" i="2"/>
  <c r="D74" i="2"/>
  <c r="D20" i="2"/>
  <c r="D95" i="2"/>
  <c r="D44" i="2"/>
  <c r="D77" i="2"/>
  <c r="D29" i="2"/>
  <c r="D56" i="2"/>
  <c r="A14" i="2" l="1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A55" i="2" s="1"/>
  <c r="A56" i="2" s="1"/>
  <c r="A58" i="2" s="1"/>
  <c r="A59" i="2" s="1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H178" i="50"/>
  <c r="H178" i="5"/>
  <c r="H178" i="4"/>
  <c r="H178" i="13"/>
  <c r="H178" i="1"/>
  <c r="Z169" i="4" l="1"/>
  <c r="Z169" i="1"/>
  <c r="AD169" i="13"/>
  <c r="J14" i="48" l="1"/>
  <c r="J14" i="49"/>
  <c r="K176" i="50" l="1"/>
  <c r="K175" i="50"/>
  <c r="K174" i="50"/>
  <c r="K173" i="50"/>
  <c r="K172" i="50"/>
  <c r="K171" i="50"/>
  <c r="K170" i="50"/>
  <c r="K160" i="50"/>
  <c r="K159" i="50"/>
  <c r="K157" i="50"/>
  <c r="K156" i="50"/>
  <c r="K155" i="50"/>
  <c r="K154" i="50"/>
  <c r="K153" i="50"/>
  <c r="K152" i="50"/>
  <c r="K151" i="50"/>
  <c r="K149" i="50"/>
  <c r="K148" i="50"/>
  <c r="K147" i="50"/>
  <c r="K145" i="50"/>
  <c r="K143" i="50"/>
  <c r="K142" i="50"/>
  <c r="K141" i="50"/>
  <c r="K140" i="50"/>
  <c r="K139" i="50"/>
  <c r="K138" i="50"/>
  <c r="K136" i="50"/>
  <c r="K135" i="50"/>
  <c r="K134" i="50"/>
  <c r="K131" i="50"/>
  <c r="K130" i="50"/>
  <c r="K129" i="50"/>
  <c r="K128" i="50"/>
  <c r="K127" i="50"/>
  <c r="K126" i="50"/>
  <c r="K125" i="50"/>
  <c r="K124" i="50"/>
  <c r="K122" i="50"/>
  <c r="K121" i="50"/>
  <c r="K120" i="50"/>
  <c r="K119" i="50"/>
  <c r="K118" i="50"/>
  <c r="K117" i="50"/>
  <c r="K116" i="50"/>
  <c r="K109" i="50"/>
  <c r="K108" i="50"/>
  <c r="K103" i="50"/>
  <c r="K102" i="50"/>
  <c r="K88" i="50"/>
  <c r="K87" i="50"/>
  <c r="K86" i="50"/>
  <c r="K85" i="50"/>
  <c r="K84" i="50"/>
  <c r="K77" i="50"/>
  <c r="K74" i="50"/>
  <c r="K73" i="50"/>
  <c r="K72" i="50"/>
  <c r="K71" i="50"/>
  <c r="K70" i="50"/>
  <c r="K69" i="50"/>
  <c r="K68" i="50"/>
  <c r="K67" i="50"/>
  <c r="K66" i="50"/>
  <c r="K65" i="50"/>
  <c r="K64" i="50"/>
  <c r="K63" i="50"/>
  <c r="K62" i="50"/>
  <c r="K55" i="50"/>
  <c r="K52" i="50"/>
  <c r="K51" i="50"/>
  <c r="K50" i="50"/>
  <c r="K49" i="50"/>
  <c r="K48" i="50"/>
  <c r="K47" i="50"/>
  <c r="K46" i="50"/>
  <c r="K45" i="50"/>
  <c r="K44" i="50"/>
  <c r="K43" i="50"/>
  <c r="K42" i="50"/>
  <c r="K41" i="50"/>
  <c r="K40" i="50"/>
  <c r="K33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18" i="50"/>
  <c r="D19" i="11" l="1"/>
  <c r="R20" i="11" s="1"/>
  <c r="H20" i="11" l="1"/>
  <c r="J20" i="11"/>
  <c r="F20" i="11"/>
  <c r="L20" i="11"/>
  <c r="N20" i="11"/>
  <c r="P20" i="11"/>
  <c r="D20" i="11" l="1"/>
  <c r="D69" i="16" l="1"/>
  <c r="H70" i="16" s="1"/>
  <c r="AB159" i="50"/>
  <c r="X133" i="50"/>
  <c r="F70" i="16" l="1"/>
  <c r="AU70" i="16"/>
  <c r="AM70" i="16"/>
  <c r="AE70" i="16"/>
  <c r="W70" i="16"/>
  <c r="O70" i="16"/>
  <c r="AT70" i="16"/>
  <c r="AL70" i="16"/>
  <c r="AD70" i="16"/>
  <c r="V70" i="16"/>
  <c r="N70" i="16"/>
  <c r="AA70" i="16"/>
  <c r="AS70" i="16"/>
  <c r="AK70" i="16"/>
  <c r="AC70" i="16"/>
  <c r="U70" i="16"/>
  <c r="M70" i="16"/>
  <c r="AR70" i="16"/>
  <c r="AJ70" i="16"/>
  <c r="AB70" i="16"/>
  <c r="T70" i="16"/>
  <c r="L70" i="16"/>
  <c r="AQ70" i="16"/>
  <c r="AP70" i="16"/>
  <c r="AH70" i="16"/>
  <c r="Z70" i="16"/>
  <c r="R70" i="16"/>
  <c r="J70" i="16"/>
  <c r="AN70" i="16"/>
  <c r="AF70" i="16"/>
  <c r="P70" i="16"/>
  <c r="AI70" i="16"/>
  <c r="S70" i="16"/>
  <c r="K70" i="16"/>
  <c r="AO70" i="16"/>
  <c r="AG70" i="16"/>
  <c r="Q70" i="16"/>
  <c r="I70" i="16"/>
  <c r="Y70" i="16"/>
  <c r="X70" i="16"/>
  <c r="G70" i="16"/>
  <c r="D70" i="16" l="1"/>
  <c r="O176" i="50" l="1"/>
  <c r="O175" i="50"/>
  <c r="O174" i="50"/>
  <c r="O173" i="50"/>
  <c r="O172" i="50"/>
  <c r="O171" i="50"/>
  <c r="O170" i="50"/>
  <c r="O160" i="50"/>
  <c r="O159" i="50"/>
  <c r="O157" i="50"/>
  <c r="O156" i="50"/>
  <c r="O155" i="50"/>
  <c r="O154" i="50"/>
  <c r="O153" i="50"/>
  <c r="O152" i="50"/>
  <c r="O151" i="50"/>
  <c r="O149" i="50"/>
  <c r="O148" i="50"/>
  <c r="O147" i="50"/>
  <c r="O145" i="50"/>
  <c r="O144" i="50"/>
  <c r="O143" i="50"/>
  <c r="O142" i="50"/>
  <c r="O141" i="50"/>
  <c r="O140" i="50"/>
  <c r="O139" i="50"/>
  <c r="O138" i="50"/>
  <c r="O136" i="50"/>
  <c r="O135" i="50"/>
  <c r="O134" i="50"/>
  <c r="O131" i="50"/>
  <c r="O130" i="50"/>
  <c r="O129" i="50"/>
  <c r="O128" i="50"/>
  <c r="O127" i="50"/>
  <c r="O126" i="50"/>
  <c r="O125" i="50"/>
  <c r="O124" i="50"/>
  <c r="O122" i="50"/>
  <c r="O121" i="50"/>
  <c r="O120" i="50"/>
  <c r="O119" i="50"/>
  <c r="O118" i="50"/>
  <c r="O117" i="50"/>
  <c r="O116" i="50"/>
  <c r="O109" i="50"/>
  <c r="O108" i="50"/>
  <c r="O103" i="50"/>
  <c r="O102" i="50"/>
  <c r="O88" i="50"/>
  <c r="O87" i="50"/>
  <c r="O86" i="50"/>
  <c r="O85" i="50"/>
  <c r="O84" i="50"/>
  <c r="O77" i="50"/>
  <c r="O74" i="50"/>
  <c r="O73" i="50"/>
  <c r="O72" i="50"/>
  <c r="O71" i="50"/>
  <c r="O70" i="50"/>
  <c r="O69" i="50"/>
  <c r="O68" i="50"/>
  <c r="O67" i="50"/>
  <c r="O66" i="50"/>
  <c r="O65" i="50"/>
  <c r="O64" i="50"/>
  <c r="O63" i="50"/>
  <c r="O62" i="50"/>
  <c r="O55" i="50"/>
  <c r="O52" i="50"/>
  <c r="O51" i="50"/>
  <c r="O50" i="50"/>
  <c r="O49" i="50"/>
  <c r="O48" i="50"/>
  <c r="O47" i="50"/>
  <c r="O46" i="50"/>
  <c r="O45" i="50"/>
  <c r="O44" i="50"/>
  <c r="O43" i="50"/>
  <c r="O42" i="50"/>
  <c r="O41" i="50"/>
  <c r="O40" i="50"/>
  <c r="O33" i="50"/>
  <c r="O19" i="50"/>
  <c r="O20" i="50"/>
  <c r="O21" i="50"/>
  <c r="O22" i="50"/>
  <c r="O23" i="50"/>
  <c r="O24" i="50"/>
  <c r="O25" i="50"/>
  <c r="O26" i="50"/>
  <c r="O27" i="50"/>
  <c r="O28" i="50"/>
  <c r="O29" i="50"/>
  <c r="O30" i="50"/>
  <c r="O18" i="50"/>
  <c r="H110" i="50" l="1"/>
  <c r="Z37" i="50"/>
  <c r="Z36" i="50"/>
  <c r="H35" i="50"/>
  <c r="Z34" i="50"/>
  <c r="Z32" i="50"/>
  <c r="Z17" i="50"/>
  <c r="Z59" i="50"/>
  <c r="Z58" i="50"/>
  <c r="H57" i="50"/>
  <c r="Z56" i="50"/>
  <c r="Z54" i="50"/>
  <c r="Z39" i="50"/>
  <c r="H110" i="7"/>
  <c r="AL37" i="7"/>
  <c r="AL36" i="7"/>
  <c r="AL34" i="7"/>
  <c r="AL32" i="7"/>
  <c r="AL17" i="7"/>
  <c r="AL59" i="7"/>
  <c r="AL58" i="7"/>
  <c r="AL56" i="7"/>
  <c r="AL54" i="7"/>
  <c r="AL39" i="7"/>
  <c r="H110" i="5"/>
  <c r="H110" i="13"/>
  <c r="AD56" i="13"/>
  <c r="AD54" i="13"/>
  <c r="H53" i="13"/>
  <c r="H57" i="13" s="1"/>
  <c r="AD34" i="13"/>
  <c r="AD32" i="13"/>
  <c r="H31" i="13"/>
  <c r="H35" i="13" s="1"/>
  <c r="Z59" i="4"/>
  <c r="Z58" i="4"/>
  <c r="Z56" i="4"/>
  <c r="Z54" i="4"/>
  <c r="Z37" i="4"/>
  <c r="Z36" i="4"/>
  <c r="Z34" i="4"/>
  <c r="Z32" i="4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Z59" i="13"/>
  <c r="Z58" i="13"/>
  <c r="Z39" i="13"/>
  <c r="Z38" i="13"/>
  <c r="Z37" i="13"/>
  <c r="Z36" i="13"/>
  <c r="Z37" i="1"/>
  <c r="Z36" i="1"/>
  <c r="Z34" i="1"/>
  <c r="Z32" i="1"/>
  <c r="H31" i="1"/>
  <c r="H35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Z17" i="1"/>
  <c r="Z16" i="1"/>
  <c r="Z59" i="1"/>
  <c r="Z58" i="1"/>
  <c r="Z56" i="1"/>
  <c r="Z54" i="1"/>
  <c r="H53" i="1"/>
  <c r="H57" i="1" s="1"/>
  <c r="Z39" i="1"/>
  <c r="Z38" i="1"/>
  <c r="H110" i="1"/>
  <c r="N50" i="49"/>
  <c r="N50" i="48"/>
  <c r="F50" i="48"/>
  <c r="N13" i="49"/>
  <c r="N13" i="48"/>
  <c r="H89" i="50"/>
  <c r="H89" i="7"/>
  <c r="H75" i="7"/>
  <c r="H79" i="7" s="1"/>
  <c r="H104" i="5"/>
  <c r="H95" i="5"/>
  <c r="H89" i="5"/>
  <c r="H75" i="5"/>
  <c r="H79" i="5" s="1"/>
  <c r="H89" i="13"/>
  <c r="H75" i="13"/>
  <c r="H79" i="13" s="1"/>
  <c r="H79" i="50"/>
  <c r="F133" i="50"/>
  <c r="L50" i="48" l="1"/>
  <c r="H92" i="50"/>
  <c r="H92" i="7"/>
  <c r="H92" i="5"/>
  <c r="H97" i="5" s="1"/>
  <c r="H92" i="13"/>
  <c r="Z179" i="50"/>
  <c r="Z177" i="50"/>
  <c r="Z168" i="50"/>
  <c r="Z167" i="50"/>
  <c r="Z166" i="50"/>
  <c r="Z165" i="50"/>
  <c r="Z163" i="50"/>
  <c r="Z161" i="50"/>
  <c r="AK158" i="50"/>
  <c r="AI158" i="50"/>
  <c r="AG158" i="50"/>
  <c r="AE158" i="50"/>
  <c r="AK150" i="50"/>
  <c r="AI150" i="50"/>
  <c r="AG150" i="50"/>
  <c r="AE150" i="50"/>
  <c r="Z150" i="50"/>
  <c r="AK146" i="50"/>
  <c r="AI146" i="50"/>
  <c r="AG146" i="50"/>
  <c r="AE146" i="50"/>
  <c r="Z146" i="50"/>
  <c r="V144" i="50"/>
  <c r="AK137" i="50"/>
  <c r="AI137" i="50"/>
  <c r="AG137" i="50"/>
  <c r="AE137" i="50"/>
  <c r="Z137" i="50"/>
  <c r="AK132" i="50"/>
  <c r="AI132" i="50"/>
  <c r="AG132" i="50"/>
  <c r="AE132" i="50"/>
  <c r="Z132" i="50"/>
  <c r="AK123" i="50"/>
  <c r="AI123" i="50"/>
  <c r="AG123" i="50"/>
  <c r="AE123" i="50"/>
  <c r="Z123" i="50"/>
  <c r="Z115" i="50"/>
  <c r="Z114" i="50"/>
  <c r="Z113" i="50"/>
  <c r="Z112" i="50"/>
  <c r="Z105" i="50"/>
  <c r="H104" i="50"/>
  <c r="Z101" i="50"/>
  <c r="Z100" i="50"/>
  <c r="Z111" i="50"/>
  <c r="Z107" i="50"/>
  <c r="Z106" i="50"/>
  <c r="Z99" i="50"/>
  <c r="Z98" i="50"/>
  <c r="Z96" i="50"/>
  <c r="Z94" i="50"/>
  <c r="Z93" i="50"/>
  <c r="Z91" i="50"/>
  <c r="Z90" i="50"/>
  <c r="Z81" i="50"/>
  <c r="Z80" i="50"/>
  <c r="Z78" i="50"/>
  <c r="Z76" i="50"/>
  <c r="Z61" i="50"/>
  <c r="N49" i="48"/>
  <c r="N49" i="49"/>
  <c r="F49" i="48"/>
  <c r="L49" i="48" s="1"/>
  <c r="BC49" i="48" l="1"/>
  <c r="AU49" i="48"/>
  <c r="AM49" i="48"/>
  <c r="AE49" i="48"/>
  <c r="W49" i="48"/>
  <c r="AH49" i="48"/>
  <c r="BB49" i="48"/>
  <c r="AT49" i="48"/>
  <c r="AL49" i="48"/>
  <c r="AD49" i="48"/>
  <c r="V49" i="48"/>
  <c r="Z49" i="48"/>
  <c r="BA49" i="48"/>
  <c r="AS49" i="48"/>
  <c r="AK49" i="48"/>
  <c r="AC49" i="48"/>
  <c r="U49" i="48"/>
  <c r="AZ49" i="48"/>
  <c r="AR49" i="48"/>
  <c r="AJ49" i="48"/>
  <c r="AB49" i="48"/>
  <c r="T49" i="48"/>
  <c r="AP49" i="48"/>
  <c r="AY49" i="48"/>
  <c r="AQ49" i="48"/>
  <c r="AI49" i="48"/>
  <c r="AA49" i="48"/>
  <c r="S49" i="48"/>
  <c r="BE49" i="48"/>
  <c r="AW49" i="48"/>
  <c r="AO49" i="48"/>
  <c r="AG49" i="48"/>
  <c r="Y49" i="48"/>
  <c r="Q49" i="48"/>
  <c r="AX49" i="48"/>
  <c r="R49" i="48"/>
  <c r="BD49" i="48"/>
  <c r="AV49" i="48"/>
  <c r="AN49" i="48"/>
  <c r="AF49" i="48"/>
  <c r="X49" i="48"/>
  <c r="P49" i="48"/>
  <c r="BA50" i="48"/>
  <c r="AS50" i="48"/>
  <c r="AK50" i="48"/>
  <c r="AC50" i="48"/>
  <c r="U50" i="48"/>
  <c r="AV50" i="48"/>
  <c r="AZ50" i="48"/>
  <c r="AR50" i="48"/>
  <c r="AJ50" i="48"/>
  <c r="AB50" i="48"/>
  <c r="T50" i="48"/>
  <c r="P50" i="48"/>
  <c r="AY50" i="48"/>
  <c r="AQ50" i="48"/>
  <c r="AI50" i="48"/>
  <c r="AA50" i="48"/>
  <c r="S50" i="48"/>
  <c r="X50" i="48"/>
  <c r="AX50" i="48"/>
  <c r="AP50" i="48"/>
  <c r="AH50" i="48"/>
  <c r="Z50" i="48"/>
  <c r="R50" i="48"/>
  <c r="BE50" i="48"/>
  <c r="AW50" i="48"/>
  <c r="AO50" i="48"/>
  <c r="AG50" i="48"/>
  <c r="Y50" i="48"/>
  <c r="Q50" i="48"/>
  <c r="AN50" i="48"/>
  <c r="BC50" i="48"/>
  <c r="AU50" i="48"/>
  <c r="AM50" i="48"/>
  <c r="AE50" i="48"/>
  <c r="W50" i="48"/>
  <c r="BD50" i="48"/>
  <c r="BB50" i="48"/>
  <c r="AT50" i="48"/>
  <c r="AL50" i="48"/>
  <c r="AD50" i="48"/>
  <c r="V50" i="48"/>
  <c r="AF50" i="48"/>
  <c r="R144" i="50"/>
  <c r="AG144" i="50" s="1"/>
  <c r="T144" i="50"/>
  <c r="AI144" i="50" s="1"/>
  <c r="P144" i="50"/>
  <c r="AK144" i="50"/>
  <c r="Z158" i="50"/>
  <c r="G30" i="16"/>
  <c r="F30" i="16"/>
  <c r="AE144" i="50" l="1"/>
  <c r="Z144" i="50"/>
  <c r="J33" i="49" l="1"/>
  <c r="N48" i="49"/>
  <c r="N46" i="49"/>
  <c r="N45" i="49"/>
  <c r="N44" i="49"/>
  <c r="N43" i="49"/>
  <c r="N42" i="49"/>
  <c r="N41" i="49"/>
  <c r="N39" i="49"/>
  <c r="N38" i="49"/>
  <c r="N37" i="49"/>
  <c r="N33" i="49"/>
  <c r="N32" i="49"/>
  <c r="N31" i="49"/>
  <c r="N30" i="49"/>
  <c r="N29" i="49"/>
  <c r="N28" i="49"/>
  <c r="N27" i="49"/>
  <c r="N23" i="49"/>
  <c r="N22" i="49"/>
  <c r="N21" i="49"/>
  <c r="N20" i="49"/>
  <c r="N16" i="49"/>
  <c r="N15" i="49"/>
  <c r="N14" i="49"/>
  <c r="N12" i="49"/>
  <c r="N11" i="49"/>
  <c r="N51" i="48"/>
  <c r="N48" i="48"/>
  <c r="N46" i="48"/>
  <c r="N45" i="48"/>
  <c r="N44" i="48"/>
  <c r="N43" i="48"/>
  <c r="N42" i="48"/>
  <c r="N41" i="48"/>
  <c r="N39" i="48"/>
  <c r="N38" i="48"/>
  <c r="N37" i="48"/>
  <c r="J33" i="48"/>
  <c r="N33" i="48"/>
  <c r="N32" i="48"/>
  <c r="N31" i="48"/>
  <c r="N30" i="48"/>
  <c r="N29" i="48"/>
  <c r="N28" i="48"/>
  <c r="N27" i="48"/>
  <c r="N23" i="48"/>
  <c r="N22" i="48"/>
  <c r="N21" i="48"/>
  <c r="N20" i="48"/>
  <c r="N12" i="48"/>
  <c r="N14" i="48"/>
  <c r="N15" i="48"/>
  <c r="N16" i="48"/>
  <c r="N11" i="48"/>
  <c r="K171" i="5" l="1"/>
  <c r="K172" i="5"/>
  <c r="K173" i="5"/>
  <c r="K174" i="5"/>
  <c r="K175" i="5"/>
  <c r="K176" i="5"/>
  <c r="K170" i="5"/>
  <c r="F125" i="50" l="1"/>
  <c r="L125" i="50" s="1"/>
  <c r="V125" i="50" s="1"/>
  <c r="F121" i="50"/>
  <c r="L121" i="50" s="1"/>
  <c r="V121" i="50" s="1"/>
  <c r="F48" i="48"/>
  <c r="L48" i="48" s="1"/>
  <c r="BE48" i="48" l="1"/>
  <c r="AW48" i="48"/>
  <c r="AO48" i="48"/>
  <c r="AG48" i="48"/>
  <c r="Y48" i="48"/>
  <c r="Q48" i="48"/>
  <c r="AZ48" i="48"/>
  <c r="BD48" i="48"/>
  <c r="AV48" i="48"/>
  <c r="AN48" i="48"/>
  <c r="AF48" i="48"/>
  <c r="X48" i="48"/>
  <c r="P48" i="48"/>
  <c r="BC48" i="48"/>
  <c r="AU48" i="48"/>
  <c r="AM48" i="48"/>
  <c r="AE48" i="48"/>
  <c r="W48" i="48"/>
  <c r="T48" i="48"/>
  <c r="BB48" i="48"/>
  <c r="AT48" i="48"/>
  <c r="AL48" i="48"/>
  <c r="AD48" i="48"/>
  <c r="V48" i="48"/>
  <c r="AB48" i="48"/>
  <c r="BA48" i="48"/>
  <c r="AS48" i="48"/>
  <c r="AK48" i="48"/>
  <c r="AC48" i="48"/>
  <c r="U48" i="48"/>
  <c r="AR48" i="48"/>
  <c r="AY48" i="48"/>
  <c r="AQ48" i="48"/>
  <c r="AI48" i="48"/>
  <c r="AA48" i="48"/>
  <c r="S48" i="48"/>
  <c r="AX48" i="48"/>
  <c r="AP48" i="48"/>
  <c r="AH48" i="48"/>
  <c r="Z48" i="48"/>
  <c r="R48" i="48"/>
  <c r="AJ48" i="48"/>
  <c r="R125" i="50"/>
  <c r="T125" i="50"/>
  <c r="R121" i="50"/>
  <c r="T121" i="50"/>
  <c r="P125" i="50"/>
  <c r="P121" i="50"/>
  <c r="X121" i="50" l="1"/>
  <c r="X125" i="50"/>
  <c r="AH158" i="7" l="1"/>
  <c r="AF158" i="7"/>
  <c r="AD158" i="7"/>
  <c r="AJ177" i="7" l="1"/>
  <c r="AJ123" i="7"/>
  <c r="AJ125" i="7"/>
  <c r="AJ132" i="7"/>
  <c r="AJ133" i="7"/>
  <c r="AJ137" i="7"/>
  <c r="AJ146" i="7"/>
  <c r="AJ150" i="7"/>
  <c r="AJ161" i="7"/>
  <c r="AJ121" i="7"/>
  <c r="D72" i="12"/>
  <c r="X73" i="12" s="1"/>
  <c r="D27" i="12"/>
  <c r="T28" i="12" s="1"/>
  <c r="D18" i="12"/>
  <c r="X19" i="12" s="1"/>
  <c r="D24" i="12"/>
  <c r="R25" i="12" s="1"/>
  <c r="D30" i="12"/>
  <c r="V31" i="12" s="1"/>
  <c r="D21" i="12"/>
  <c r="R22" i="12" s="1"/>
  <c r="T25" i="12" l="1"/>
  <c r="L25" i="12"/>
  <c r="H31" i="12"/>
  <c r="P31" i="12"/>
  <c r="X31" i="12"/>
  <c r="J31" i="12"/>
  <c r="R31" i="12"/>
  <c r="F25" i="12"/>
  <c r="N25" i="12"/>
  <c r="V25" i="12"/>
  <c r="L31" i="12"/>
  <c r="T31" i="12"/>
  <c r="H25" i="12"/>
  <c r="P25" i="12"/>
  <c r="X25" i="12"/>
  <c r="F31" i="12"/>
  <c r="N31" i="12"/>
  <c r="J25" i="12"/>
  <c r="T22" i="12"/>
  <c r="F22" i="12"/>
  <c r="N22" i="12"/>
  <c r="V22" i="12"/>
  <c r="L22" i="12"/>
  <c r="H22" i="12"/>
  <c r="P22" i="12"/>
  <c r="X22" i="12"/>
  <c r="J22" i="12"/>
  <c r="J73" i="12"/>
  <c r="L73" i="12"/>
  <c r="T73" i="12"/>
  <c r="R73" i="12"/>
  <c r="F73" i="12"/>
  <c r="N73" i="12"/>
  <c r="V73" i="12"/>
  <c r="H73" i="12"/>
  <c r="P73" i="12"/>
  <c r="F28" i="12"/>
  <c r="N28" i="12"/>
  <c r="X28" i="12"/>
  <c r="J28" i="12"/>
  <c r="R28" i="12"/>
  <c r="V28" i="12"/>
  <c r="H28" i="12"/>
  <c r="P28" i="12"/>
  <c r="L28" i="12"/>
  <c r="L19" i="12"/>
  <c r="T19" i="12"/>
  <c r="J19" i="12"/>
  <c r="F19" i="12"/>
  <c r="N19" i="12"/>
  <c r="V19" i="12"/>
  <c r="R19" i="12"/>
  <c r="H19" i="12"/>
  <c r="P19" i="12"/>
  <c r="D16" i="11" l="1"/>
  <c r="R17" i="11" s="1"/>
  <c r="L17" i="11" l="1"/>
  <c r="F17" i="11"/>
  <c r="N17" i="11"/>
  <c r="H17" i="11"/>
  <c r="P17" i="11"/>
  <c r="J17" i="11"/>
  <c r="D12" i="14" l="1"/>
  <c r="J13" i="14" s="1"/>
  <c r="D38" i="10"/>
  <c r="L39" i="10" s="1"/>
  <c r="P13" i="14" l="1"/>
  <c r="F39" i="10"/>
  <c r="H39" i="10"/>
  <c r="J39" i="10"/>
  <c r="H13" i="14"/>
  <c r="L13" i="14"/>
  <c r="N13" i="14"/>
  <c r="F13" i="14"/>
  <c r="D13" i="14" l="1"/>
  <c r="D39" i="10"/>
  <c r="H104" i="13" l="1"/>
  <c r="Z133" i="50" l="1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AF146" i="4"/>
  <c r="AH146" i="4"/>
  <c r="AJ146" i="4"/>
  <c r="AK146" i="4"/>
  <c r="AL146" i="4"/>
  <c r="AF150" i="4"/>
  <c r="AH150" i="4"/>
  <c r="AJ150" i="4"/>
  <c r="AK150" i="4"/>
  <c r="AL150" i="4"/>
  <c r="AF158" i="4"/>
  <c r="AH158" i="4"/>
  <c r="AJ158" i="4"/>
  <c r="AK158" i="4"/>
  <c r="AL158" i="4"/>
  <c r="AF132" i="4"/>
  <c r="AH132" i="4"/>
  <c r="AJ132" i="4"/>
  <c r="AK132" i="4"/>
  <c r="AL132" i="4"/>
  <c r="AF137" i="4"/>
  <c r="AH137" i="4"/>
  <c r="AJ137" i="4"/>
  <c r="AK137" i="4"/>
  <c r="AL137" i="4"/>
  <c r="AF144" i="4"/>
  <c r="AH144" i="4"/>
  <c r="AJ144" i="4"/>
  <c r="AK144" i="4"/>
  <c r="AL144" i="4"/>
  <c r="AN137" i="4" l="1"/>
  <c r="AN158" i="4"/>
  <c r="BL132" i="7"/>
  <c r="BL144" i="7"/>
  <c r="AN144" i="4"/>
  <c r="AN150" i="4"/>
  <c r="AN132" i="4"/>
  <c r="AN146" i="4"/>
  <c r="BL146" i="7"/>
  <c r="BL150" i="7"/>
  <c r="BL137" i="7"/>
  <c r="BL123" i="7"/>
  <c r="H75" i="1" l="1"/>
  <c r="H79" i="1" s="1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Z76" i="4"/>
  <c r="Z78" i="4"/>
  <c r="Z90" i="4"/>
  <c r="Z91" i="4"/>
  <c r="Z93" i="4"/>
  <c r="Z94" i="4"/>
  <c r="Z96" i="4"/>
  <c r="Z98" i="4"/>
  <c r="Z99" i="4"/>
  <c r="Z106" i="4"/>
  <c r="Z107" i="4"/>
  <c r="Z111" i="4"/>
  <c r="Z100" i="4"/>
  <c r="Z101" i="4"/>
  <c r="Z105" i="4"/>
  <c r="Z112" i="4"/>
  <c r="Z113" i="4"/>
  <c r="Z114" i="4"/>
  <c r="Z115" i="4"/>
  <c r="Z123" i="4"/>
  <c r="Z132" i="4"/>
  <c r="Z137" i="4"/>
  <c r="Z144" i="4"/>
  <c r="Z146" i="4"/>
  <c r="Z150" i="4"/>
  <c r="Z158" i="4"/>
  <c r="Z161" i="4"/>
  <c r="Z163" i="4"/>
  <c r="Z165" i="4"/>
  <c r="Z166" i="4"/>
  <c r="Z167" i="4"/>
  <c r="Z168" i="4"/>
  <c r="Z177" i="4"/>
  <c r="Z179" i="4"/>
  <c r="Z179" i="1" l="1"/>
  <c r="Z177" i="1"/>
  <c r="Z168" i="1"/>
  <c r="Z167" i="1"/>
  <c r="Z166" i="1"/>
  <c r="Z165" i="1"/>
  <c r="Z163" i="1"/>
  <c r="Z161" i="1"/>
  <c r="Z158" i="1"/>
  <c r="Z150" i="1"/>
  <c r="Z146" i="1"/>
  <c r="Z144" i="1"/>
  <c r="Z137" i="1"/>
  <c r="Z132" i="1"/>
  <c r="Z123" i="1"/>
  <c r="Z115" i="1"/>
  <c r="Z114" i="1"/>
  <c r="Z113" i="1"/>
  <c r="Z112" i="1"/>
  <c r="Z105" i="1"/>
  <c r="Z101" i="1"/>
  <c r="Z100" i="1"/>
  <c r="Z111" i="1"/>
  <c r="Z107" i="1"/>
  <c r="Z106" i="1"/>
  <c r="Z99" i="1"/>
  <c r="Z98" i="1"/>
  <c r="Z96" i="1"/>
  <c r="Z94" i="1"/>
  <c r="Z93" i="1"/>
  <c r="Z91" i="1"/>
  <c r="Z90" i="1"/>
  <c r="Z83" i="1"/>
  <c r="Z82" i="1"/>
  <c r="Z81" i="1"/>
  <c r="Z80" i="1"/>
  <c r="Z78" i="1"/>
  <c r="Z76" i="1"/>
  <c r="Z61" i="1"/>
  <c r="Z60" i="1"/>
  <c r="Z15" i="1"/>
  <c r="Z14" i="1"/>
  <c r="D25" i="12" l="1"/>
  <c r="D17" i="11" l="1"/>
  <c r="D73" i="12"/>
  <c r="BH158" i="7" l="1"/>
  <c r="BJ158" i="7"/>
  <c r="BF158" i="7" l="1"/>
  <c r="BL158" i="7" s="1"/>
  <c r="AJ158" i="7"/>
  <c r="AL158" i="7" s="1"/>
  <c r="H104" i="1" l="1"/>
  <c r="D22" i="11" l="1"/>
  <c r="L23" i="11" s="1"/>
  <c r="D50" i="10"/>
  <c r="L51" i="10" s="1"/>
  <c r="D33" i="12"/>
  <c r="R23" i="11" l="1"/>
  <c r="N23" i="11"/>
  <c r="J23" i="11"/>
  <c r="F23" i="11"/>
  <c r="P23" i="11"/>
  <c r="H23" i="11"/>
  <c r="J34" i="12"/>
  <c r="F34" i="12"/>
  <c r="H34" i="12"/>
  <c r="R34" i="12"/>
  <c r="L34" i="12"/>
  <c r="T34" i="12"/>
  <c r="X34" i="12"/>
  <c r="N34" i="12"/>
  <c r="P34" i="12"/>
  <c r="V34" i="12"/>
  <c r="H51" i="10"/>
  <c r="F51" i="10"/>
  <c r="J51" i="10"/>
  <c r="D23" i="11" l="1"/>
  <c r="D34" i="12"/>
  <c r="D51" i="10"/>
  <c r="H89" i="1" l="1"/>
  <c r="H92" i="1" s="1"/>
  <c r="D28" i="12" l="1"/>
  <c r="D19" i="12"/>
  <c r="D22" i="12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l="1"/>
  <c r="B75" i="1" s="1"/>
  <c r="AD76" i="13"/>
  <c r="AD78" i="13"/>
  <c r="AD80" i="13"/>
  <c r="AD161" i="13"/>
  <c r="AD163" i="13"/>
  <c r="AD165" i="13"/>
  <c r="AD167" i="13"/>
  <c r="AD168" i="13"/>
  <c r="AD177" i="13"/>
  <c r="AD179" i="13"/>
  <c r="H162" i="5" l="1"/>
  <c r="H164" i="5" s="1"/>
  <c r="H162" i="13"/>
  <c r="H180" i="5" l="1"/>
  <c r="AD98" i="5" l="1"/>
  <c r="AF98" i="5" s="1"/>
  <c r="AD99" i="5"/>
  <c r="AF99" i="5" s="1"/>
  <c r="B77" i="1" l="1"/>
  <c r="B79" i="1" s="1"/>
  <c r="B84" i="1" s="1"/>
  <c r="B85" i="1" s="1"/>
  <c r="B86" i="1" s="1"/>
  <c r="B87" i="1" l="1"/>
  <c r="B88" i="1" s="1"/>
  <c r="B89" i="1" s="1"/>
  <c r="B92" i="1" s="1"/>
  <c r="B95" i="1" s="1"/>
  <c r="B97" i="1" s="1"/>
  <c r="B102" i="1" s="1"/>
  <c r="D31" i="12"/>
  <c r="AF169" i="5" l="1"/>
  <c r="AL169" i="7" l="1"/>
  <c r="Z169" i="50" l="1"/>
  <c r="F41" i="48" l="1"/>
  <c r="L41" i="48" s="1"/>
  <c r="AY41" i="48" l="1"/>
  <c r="AQ41" i="48"/>
  <c r="AI41" i="48"/>
  <c r="AA41" i="48"/>
  <c r="S41" i="48"/>
  <c r="AL41" i="48"/>
  <c r="AX41" i="48"/>
  <c r="AP41" i="48"/>
  <c r="AH41" i="48"/>
  <c r="Z41" i="48"/>
  <c r="R41" i="48"/>
  <c r="BB41" i="48"/>
  <c r="V41" i="48"/>
  <c r="BE41" i="48"/>
  <c r="AW41" i="48"/>
  <c r="AO41" i="48"/>
  <c r="AG41" i="48"/>
  <c r="Y41" i="48"/>
  <c r="Q41" i="48"/>
  <c r="BD41" i="48"/>
  <c r="AV41" i="48"/>
  <c r="AN41" i="48"/>
  <c r="AF41" i="48"/>
  <c r="X41" i="48"/>
  <c r="P41" i="48"/>
  <c r="BC41" i="48"/>
  <c r="AU41" i="48"/>
  <c r="AM41" i="48"/>
  <c r="AE41" i="48"/>
  <c r="W41" i="48"/>
  <c r="AD41" i="48"/>
  <c r="BA41" i="48"/>
  <c r="AS41" i="48"/>
  <c r="AK41" i="48"/>
  <c r="AC41" i="48"/>
  <c r="U41" i="48"/>
  <c r="AT41" i="48"/>
  <c r="AZ41" i="48"/>
  <c r="AR41" i="48"/>
  <c r="AJ41" i="48"/>
  <c r="AB41" i="48"/>
  <c r="T41" i="48"/>
  <c r="Z125" i="50" l="1"/>
  <c r="AO31" i="5" l="1"/>
  <c r="AW31" i="5"/>
  <c r="AU31" i="5"/>
  <c r="AQ31" i="5"/>
  <c r="AS31" i="5"/>
  <c r="AM31" i="5"/>
  <c r="L48" i="1" l="1"/>
  <c r="P48" i="1" l="1"/>
  <c r="T48" i="1"/>
  <c r="F48" i="5" s="1"/>
  <c r="L48" i="5" s="1"/>
  <c r="R48" i="1"/>
  <c r="F48" i="4" s="1"/>
  <c r="L48" i="4" s="1"/>
  <c r="V48" i="1"/>
  <c r="F48" i="7" s="1"/>
  <c r="L48" i="7" s="1"/>
  <c r="AD48" i="7" l="1"/>
  <c r="AB48" i="7"/>
  <c r="Z48" i="7"/>
  <c r="AF48" i="7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F48" i="13"/>
  <c r="L48" i="13" s="1"/>
  <c r="X48" i="1"/>
  <c r="Z48" i="1" s="1"/>
  <c r="Z48" i="13" l="1"/>
  <c r="X48" i="13"/>
  <c r="V48" i="13"/>
  <c r="T48" i="13"/>
  <c r="R48" i="13"/>
  <c r="P48" i="13"/>
  <c r="AD48" i="5"/>
  <c r="AF48" i="5" s="1"/>
  <c r="F48" i="50"/>
  <c r="L48" i="50" s="1"/>
  <c r="AJ48" i="7"/>
  <c r="AL48" i="7" s="1"/>
  <c r="L40" i="1" l="1"/>
  <c r="T48" i="50"/>
  <c r="V48" i="50"/>
  <c r="P48" i="50"/>
  <c r="R48" i="50"/>
  <c r="AB48" i="13"/>
  <c r="AD48" i="13" s="1"/>
  <c r="T40" i="1" l="1"/>
  <c r="F40" i="5" s="1"/>
  <c r="R40" i="1"/>
  <c r="F40" i="4" s="1"/>
  <c r="V40" i="1"/>
  <c r="F40" i="7" s="1"/>
  <c r="L40" i="7" s="1"/>
  <c r="P40" i="1"/>
  <c r="X48" i="50"/>
  <c r="Z48" i="50" s="1"/>
  <c r="L40" i="4" l="1"/>
  <c r="X40" i="1"/>
  <c r="Z40" i="1" s="1"/>
  <c r="F40" i="13"/>
  <c r="L40" i="5"/>
  <c r="AB40" i="5" l="1"/>
  <c r="X40" i="5"/>
  <c r="Z40" i="5"/>
  <c r="T40" i="5"/>
  <c r="R40" i="5"/>
  <c r="P40" i="5"/>
  <c r="V40" i="5"/>
  <c r="V40" i="4"/>
  <c r="T40" i="4"/>
  <c r="R40" i="4"/>
  <c r="P40" i="4"/>
  <c r="L40" i="13"/>
  <c r="Z40" i="13" l="1"/>
  <c r="X40" i="13"/>
  <c r="V40" i="13"/>
  <c r="T40" i="13"/>
  <c r="R40" i="13"/>
  <c r="P40" i="13"/>
  <c r="X40" i="4"/>
  <c r="Z40" i="4" s="1"/>
  <c r="AD40" i="5"/>
  <c r="AF40" i="5" s="1"/>
  <c r="AB40" i="13" l="1"/>
  <c r="AD40" i="13" s="1"/>
  <c r="L52" i="1" l="1"/>
  <c r="V52" i="1" l="1"/>
  <c r="F52" i="7" s="1"/>
  <c r="P52" i="1"/>
  <c r="R52" i="1"/>
  <c r="F52" i="4" s="1"/>
  <c r="T52" i="1"/>
  <c r="F52" i="5" s="1"/>
  <c r="L52" i="7" l="1"/>
  <c r="L52" i="4"/>
  <c r="L52" i="5"/>
  <c r="F52" i="13"/>
  <c r="X52" i="1"/>
  <c r="Z52" i="1" s="1"/>
  <c r="T52" i="5" l="1"/>
  <c r="R52" i="5"/>
  <c r="P52" i="5"/>
  <c r="AB52" i="5"/>
  <c r="Z52" i="5"/>
  <c r="X52" i="5"/>
  <c r="V52" i="5"/>
  <c r="V52" i="4"/>
  <c r="T52" i="4"/>
  <c r="R52" i="4"/>
  <c r="P52" i="4"/>
  <c r="L52" i="13"/>
  <c r="Z52" i="13" l="1"/>
  <c r="X52" i="13"/>
  <c r="V52" i="13"/>
  <c r="T52" i="13"/>
  <c r="R52" i="13"/>
  <c r="P52" i="13"/>
  <c r="AD52" i="5"/>
  <c r="AF52" i="5" s="1"/>
  <c r="X52" i="4"/>
  <c r="Z52" i="4" s="1"/>
  <c r="AB52" i="13" l="1"/>
  <c r="AD52" i="13" s="1"/>
  <c r="H104" i="7" l="1"/>
  <c r="R30" i="16" l="1"/>
  <c r="L140" i="1" l="1"/>
  <c r="AD140" i="1"/>
  <c r="T140" i="1" l="1"/>
  <c r="F140" i="5" s="1"/>
  <c r="L140" i="5" s="1"/>
  <c r="R140" i="1"/>
  <c r="F140" i="4" s="1"/>
  <c r="L140" i="4" s="1"/>
  <c r="V140" i="1"/>
  <c r="F140" i="7" s="1"/>
  <c r="L140" i="7" s="1"/>
  <c r="P140" i="1"/>
  <c r="AF140" i="1" s="1"/>
  <c r="AH140" i="7" l="1"/>
  <c r="R140" i="7"/>
  <c r="AF140" i="7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V140" i="4"/>
  <c r="T140" i="4"/>
  <c r="R140" i="4"/>
  <c r="P140" i="4"/>
  <c r="X140" i="1"/>
  <c r="Z140" i="1" s="1"/>
  <c r="F140" i="13"/>
  <c r="AL140" i="1"/>
  <c r="AO140" i="7" s="1"/>
  <c r="AP140" i="7" s="1"/>
  <c r="AJ140" i="1"/>
  <c r="AI140" i="5" s="1"/>
  <c r="AJ140" i="5" s="1"/>
  <c r="AH140" i="1"/>
  <c r="AC140" i="4" s="1"/>
  <c r="AD140" i="4" s="1"/>
  <c r="L140" i="13" l="1"/>
  <c r="R140" i="13" s="1"/>
  <c r="AD140" i="5"/>
  <c r="AF140" i="5" s="1"/>
  <c r="AN140" i="1"/>
  <c r="X140" i="4"/>
  <c r="Z140" i="4" s="1"/>
  <c r="AL140" i="4"/>
  <c r="AF140" i="4"/>
  <c r="AJ140" i="4"/>
  <c r="AK140" i="4"/>
  <c r="AH140" i="4"/>
  <c r="AL140" i="5"/>
  <c r="AR140" i="5"/>
  <c r="AT140" i="5"/>
  <c r="AN140" i="5"/>
  <c r="AV140" i="5"/>
  <c r="AP140" i="5"/>
  <c r="AX140" i="5"/>
  <c r="T140" i="13" l="1"/>
  <c r="Z140" i="13"/>
  <c r="V140" i="13"/>
  <c r="X140" i="13"/>
  <c r="P140" i="13"/>
  <c r="AN140" i="4"/>
  <c r="AZ140" i="5"/>
  <c r="AB140" i="13" l="1"/>
  <c r="AD140" i="13" s="1"/>
  <c r="L88" i="1"/>
  <c r="L87" i="1" l="1"/>
  <c r="L86" i="1"/>
  <c r="L85" i="1"/>
  <c r="P87" i="1" l="1"/>
  <c r="R87" i="1"/>
  <c r="F87" i="4" s="1"/>
  <c r="V87" i="1"/>
  <c r="T87" i="1"/>
  <c r="L84" i="1"/>
  <c r="L89" i="1" s="1"/>
  <c r="F89" i="1"/>
  <c r="F87" i="7" l="1"/>
  <c r="F87" i="5"/>
  <c r="F87" i="13"/>
  <c r="X87" i="1"/>
  <c r="Z87" i="1" s="1"/>
  <c r="D20" i="10" l="1"/>
  <c r="F21" i="10" s="1"/>
  <c r="D14" i="10"/>
  <c r="F15" i="10" s="1"/>
  <c r="D29" i="10"/>
  <c r="F30" i="10" s="1"/>
  <c r="D26" i="10"/>
  <c r="F27" i="10" s="1"/>
  <c r="D17" i="10" l="1"/>
  <c r="F18" i="10" s="1"/>
  <c r="L30" i="10"/>
  <c r="H30" i="10"/>
  <c r="J30" i="10"/>
  <c r="H42" i="4"/>
  <c r="L15" i="10"/>
  <c r="H24" i="4"/>
  <c r="H15" i="10"/>
  <c r="J15" i="10"/>
  <c r="L27" i="10"/>
  <c r="J27" i="10"/>
  <c r="H27" i="10"/>
  <c r="D27" i="10" s="1"/>
  <c r="H20" i="4"/>
  <c r="H21" i="10"/>
  <c r="J21" i="10"/>
  <c r="L21" i="10"/>
  <c r="H18" i="4"/>
  <c r="D21" i="10" l="1"/>
  <c r="D15" i="10"/>
  <c r="D30" i="10"/>
  <c r="L18" i="10"/>
  <c r="J18" i="10"/>
  <c r="H46" i="4"/>
  <c r="H68" i="4" s="1"/>
  <c r="H18" i="10"/>
  <c r="D18" i="10" s="1"/>
  <c r="H64" i="4"/>
  <c r="H31" i="4"/>
  <c r="H35" i="4" s="1"/>
  <c r="H62" i="4"/>
  <c r="H53" i="4" l="1"/>
  <c r="H57" i="4" s="1"/>
  <c r="H75" i="4"/>
  <c r="H79" i="4" s="1"/>
  <c r="H92" i="4" s="1"/>
  <c r="L51" i="1" l="1"/>
  <c r="L46" i="1"/>
  <c r="P46" i="1" l="1"/>
  <c r="T46" i="1"/>
  <c r="F46" i="5" s="1"/>
  <c r="L46" i="5" s="1"/>
  <c r="V46" i="1"/>
  <c r="F46" i="7" s="1"/>
  <c r="L46" i="7" s="1"/>
  <c r="R46" i="1"/>
  <c r="F46" i="4" s="1"/>
  <c r="L46" i="4" s="1"/>
  <c r="T51" i="1"/>
  <c r="F51" i="5" s="1"/>
  <c r="L51" i="5" s="1"/>
  <c r="R51" i="1"/>
  <c r="F51" i="4" s="1"/>
  <c r="L51" i="4" s="1"/>
  <c r="P51" i="1"/>
  <c r="V51" i="1"/>
  <c r="F51" i="7" s="1"/>
  <c r="L51" i="7" s="1"/>
  <c r="L47" i="1"/>
  <c r="L50" i="1"/>
  <c r="L49" i="1"/>
  <c r="L45" i="1"/>
  <c r="L43" i="1"/>
  <c r="R50" i="1" l="1"/>
  <c r="F50" i="4" s="1"/>
  <c r="L50" i="4" s="1"/>
  <c r="T50" i="1"/>
  <c r="F50" i="5" s="1"/>
  <c r="L50" i="5" s="1"/>
  <c r="P50" i="1"/>
  <c r="V50" i="1"/>
  <c r="F50" i="7" s="1"/>
  <c r="L50" i="7" s="1"/>
  <c r="P47" i="1"/>
  <c r="R47" i="1"/>
  <c r="F47" i="4" s="1"/>
  <c r="L47" i="4" s="1"/>
  <c r="T47" i="1"/>
  <c r="F47" i="5" s="1"/>
  <c r="L47" i="5" s="1"/>
  <c r="V47" i="1"/>
  <c r="F47" i="7" s="1"/>
  <c r="L47" i="7" s="1"/>
  <c r="P43" i="1"/>
  <c r="T43" i="1"/>
  <c r="R43" i="1"/>
  <c r="V43" i="1"/>
  <c r="V45" i="1"/>
  <c r="P45" i="1"/>
  <c r="T45" i="1"/>
  <c r="R45" i="1"/>
  <c r="T49" i="1"/>
  <c r="F49" i="5" s="1"/>
  <c r="L49" i="5" s="1"/>
  <c r="R49" i="1"/>
  <c r="F49" i="4" s="1"/>
  <c r="L49" i="4" s="1"/>
  <c r="P49" i="1"/>
  <c r="V49" i="1"/>
  <c r="F49" i="7" s="1"/>
  <c r="L49" i="7" s="1"/>
  <c r="AH51" i="7"/>
  <c r="R51" i="7"/>
  <c r="AF51" i="7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V46" i="4"/>
  <c r="T46" i="4"/>
  <c r="R46" i="4"/>
  <c r="P46" i="4"/>
  <c r="P51" i="4"/>
  <c r="V51" i="4"/>
  <c r="T51" i="4"/>
  <c r="R51" i="4"/>
  <c r="F51" i="13"/>
  <c r="L51" i="13" s="1"/>
  <c r="X51" i="1"/>
  <c r="Z51" i="1" s="1"/>
  <c r="F46" i="13"/>
  <c r="L46" i="13" s="1"/>
  <c r="X46" i="1"/>
  <c r="Z46" i="1" s="1"/>
  <c r="L29" i="1"/>
  <c r="F73" i="1"/>
  <c r="L73" i="1" s="1"/>
  <c r="L44" i="1"/>
  <c r="L55" i="1"/>
  <c r="L42" i="1"/>
  <c r="T44" i="1" l="1"/>
  <c r="R44" i="1"/>
  <c r="P44" i="1"/>
  <c r="V44" i="1"/>
  <c r="R29" i="1"/>
  <c r="T29" i="1"/>
  <c r="P29" i="1"/>
  <c r="V29" i="1"/>
  <c r="V42" i="1"/>
  <c r="R42" i="1"/>
  <c r="T42" i="1"/>
  <c r="P42" i="1"/>
  <c r="V50" i="7"/>
  <c r="T50" i="7"/>
  <c r="AH50" i="7"/>
  <c r="R50" i="7"/>
  <c r="AF50" i="7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V50" i="4"/>
  <c r="T50" i="4"/>
  <c r="R50" i="4"/>
  <c r="P50" i="4"/>
  <c r="T49" i="4"/>
  <c r="P49" i="4"/>
  <c r="V49" i="4"/>
  <c r="R49" i="4"/>
  <c r="V51" i="13"/>
  <c r="T51" i="13"/>
  <c r="R51" i="13"/>
  <c r="P51" i="13"/>
  <c r="Z51" i="13"/>
  <c r="X51" i="13"/>
  <c r="R46" i="13"/>
  <c r="P46" i="13"/>
  <c r="Z46" i="13"/>
  <c r="V46" i="13"/>
  <c r="X46" i="13"/>
  <c r="T46" i="13"/>
  <c r="F62" i="1"/>
  <c r="L18" i="1"/>
  <c r="F53" i="1"/>
  <c r="F57" i="1" s="1"/>
  <c r="L41" i="1"/>
  <c r="AD51" i="5"/>
  <c r="AF51" i="5" s="1"/>
  <c r="L26" i="1"/>
  <c r="F70" i="1"/>
  <c r="L70" i="1" s="1"/>
  <c r="F63" i="1"/>
  <c r="L63" i="1" s="1"/>
  <c r="L19" i="1"/>
  <c r="F66" i="1"/>
  <c r="L22" i="1"/>
  <c r="X50" i="1"/>
  <c r="Z50" i="1" s="1"/>
  <c r="F50" i="13"/>
  <c r="L50" i="13" s="1"/>
  <c r="X46" i="4"/>
  <c r="Z46" i="4" s="1"/>
  <c r="L25" i="1"/>
  <c r="F69" i="1"/>
  <c r="L69" i="1" s="1"/>
  <c r="X51" i="4"/>
  <c r="Z51" i="4" s="1"/>
  <c r="AJ46" i="7"/>
  <c r="AL46" i="7" s="1"/>
  <c r="F71" i="1"/>
  <c r="L71" i="1" s="1"/>
  <c r="L27" i="1"/>
  <c r="F77" i="1"/>
  <c r="L77" i="1" s="1"/>
  <c r="L33" i="1"/>
  <c r="F49" i="13"/>
  <c r="L49" i="13" s="1"/>
  <c r="X49" i="1"/>
  <c r="Z49" i="1" s="1"/>
  <c r="L23" i="1"/>
  <c r="F67" i="1"/>
  <c r="L67" i="1" s="1"/>
  <c r="F65" i="1"/>
  <c r="L65" i="1" s="1"/>
  <c r="L21" i="1"/>
  <c r="X47" i="1"/>
  <c r="Z47" i="1" s="1"/>
  <c r="F47" i="13"/>
  <c r="L47" i="13" s="1"/>
  <c r="P46" i="50"/>
  <c r="R46" i="50"/>
  <c r="V46" i="50"/>
  <c r="T46" i="50"/>
  <c r="F68" i="1"/>
  <c r="L68" i="1" s="1"/>
  <c r="L24" i="1"/>
  <c r="F64" i="1"/>
  <c r="L64" i="1" s="1"/>
  <c r="L20" i="1"/>
  <c r="AD46" i="5"/>
  <c r="AF46" i="5" s="1"/>
  <c r="T18" i="1" l="1"/>
  <c r="V18" i="1"/>
  <c r="P18" i="1"/>
  <c r="R18" i="1"/>
  <c r="V19" i="1"/>
  <c r="T19" i="1"/>
  <c r="R19" i="1"/>
  <c r="P19" i="1"/>
  <c r="T27" i="1"/>
  <c r="R27" i="1"/>
  <c r="P27" i="1"/>
  <c r="V27" i="1"/>
  <c r="L53" i="1"/>
  <c r="L57" i="1" s="1"/>
  <c r="R41" i="1"/>
  <c r="V41" i="1"/>
  <c r="T41" i="1"/>
  <c r="P41" i="1"/>
  <c r="P24" i="1"/>
  <c r="R24" i="1"/>
  <c r="V24" i="1"/>
  <c r="T24" i="1"/>
  <c r="T22" i="1"/>
  <c r="R22" i="1"/>
  <c r="V22" i="1"/>
  <c r="P22" i="1"/>
  <c r="T23" i="1"/>
  <c r="P23" i="1"/>
  <c r="V23" i="1"/>
  <c r="R23" i="1"/>
  <c r="P25" i="1"/>
  <c r="R25" i="1"/>
  <c r="V25" i="1"/>
  <c r="T25" i="1"/>
  <c r="V21" i="1"/>
  <c r="P21" i="1"/>
  <c r="R21" i="1"/>
  <c r="T21" i="1"/>
  <c r="R20" i="1"/>
  <c r="T20" i="1"/>
  <c r="P20" i="1"/>
  <c r="V20" i="1"/>
  <c r="P26" i="1"/>
  <c r="V26" i="1"/>
  <c r="T26" i="1"/>
  <c r="R26" i="1"/>
  <c r="V47" i="13"/>
  <c r="T47" i="13"/>
  <c r="R47" i="13"/>
  <c r="P47" i="13"/>
  <c r="Z47" i="13"/>
  <c r="X47" i="13"/>
  <c r="Z49" i="13"/>
  <c r="X49" i="13"/>
  <c r="V49" i="13"/>
  <c r="R49" i="13"/>
  <c r="T49" i="13"/>
  <c r="P49" i="13"/>
  <c r="R50" i="13"/>
  <c r="P50" i="13"/>
  <c r="Z50" i="13"/>
  <c r="V50" i="13"/>
  <c r="T50" i="13"/>
  <c r="X50" i="13"/>
  <c r="P47" i="50"/>
  <c r="T47" i="50"/>
  <c r="V47" i="50"/>
  <c r="R47" i="50"/>
  <c r="AB46" i="13"/>
  <c r="AD46" i="13" s="1"/>
  <c r="X50" i="4"/>
  <c r="Z50" i="4" s="1"/>
  <c r="F29" i="7"/>
  <c r="L29" i="7" s="1"/>
  <c r="V73" i="1"/>
  <c r="F73" i="7" s="1"/>
  <c r="L73" i="7" s="1"/>
  <c r="L66" i="1"/>
  <c r="F29" i="4"/>
  <c r="R73" i="1"/>
  <c r="AJ47" i="7"/>
  <c r="AL47" i="7" s="1"/>
  <c r="AB51" i="13"/>
  <c r="AD51" i="13" s="1"/>
  <c r="P73" i="1"/>
  <c r="X29" i="1"/>
  <c r="Z29" i="1" s="1"/>
  <c r="F29" i="13"/>
  <c r="L29" i="13" s="1"/>
  <c r="AD49" i="5"/>
  <c r="AF49" i="5" s="1"/>
  <c r="X46" i="50"/>
  <c r="Z46" i="50" s="1"/>
  <c r="F29" i="5"/>
  <c r="L29" i="5" s="1"/>
  <c r="T73" i="1"/>
  <c r="F73" i="5" s="1"/>
  <c r="L73" i="5" s="1"/>
  <c r="AD47" i="5"/>
  <c r="AF47" i="5" s="1"/>
  <c r="AD50" i="5"/>
  <c r="AF50" i="5" s="1"/>
  <c r="L62" i="1"/>
  <c r="L28" i="1"/>
  <c r="F72" i="1"/>
  <c r="L72" i="1" s="1"/>
  <c r="X49" i="4"/>
  <c r="Z49" i="4" s="1"/>
  <c r="R28" i="1" l="1"/>
  <c r="T28" i="1"/>
  <c r="P28" i="1"/>
  <c r="V28" i="1"/>
  <c r="X29" i="7"/>
  <c r="T29" i="7"/>
  <c r="AH29" i="7"/>
  <c r="R29" i="7"/>
  <c r="AB29" i="7"/>
  <c r="Z29" i="7"/>
  <c r="V29" i="7"/>
  <c r="AD29" i="7"/>
  <c r="P29" i="7"/>
  <c r="AF29" i="7"/>
  <c r="V29" i="5"/>
  <c r="T29" i="5"/>
  <c r="R29" i="5"/>
  <c r="AB29" i="5"/>
  <c r="Z29" i="5"/>
  <c r="X29" i="5"/>
  <c r="P29" i="5"/>
  <c r="Z29" i="13"/>
  <c r="X29" i="13"/>
  <c r="V29" i="13"/>
  <c r="R29" i="13"/>
  <c r="T29" i="13"/>
  <c r="P29" i="13"/>
  <c r="R70" i="1"/>
  <c r="F26" i="4"/>
  <c r="F73" i="4"/>
  <c r="L73" i="4" s="1"/>
  <c r="L29" i="4"/>
  <c r="F25" i="4"/>
  <c r="R69" i="1"/>
  <c r="T71" i="1"/>
  <c r="F71" i="5" s="1"/>
  <c r="L71" i="5" s="1"/>
  <c r="F27" i="5"/>
  <c r="L27" i="5" s="1"/>
  <c r="F26" i="7"/>
  <c r="L26" i="7" s="1"/>
  <c r="V70" i="1"/>
  <c r="F70" i="7" s="1"/>
  <c r="L70" i="7" s="1"/>
  <c r="V69" i="1"/>
  <c r="F69" i="7" s="1"/>
  <c r="L69" i="7" s="1"/>
  <c r="F25" i="7"/>
  <c r="L25" i="7" s="1"/>
  <c r="V68" i="1"/>
  <c r="F68" i="7" s="1"/>
  <c r="L68" i="7" s="1"/>
  <c r="F24" i="7"/>
  <c r="L24" i="7" s="1"/>
  <c r="AB49" i="13"/>
  <c r="AD49" i="13" s="1"/>
  <c r="R71" i="1"/>
  <c r="F27" i="4"/>
  <c r="F24" i="4"/>
  <c r="R68" i="1"/>
  <c r="F27" i="13"/>
  <c r="L27" i="13" s="1"/>
  <c r="P71" i="1"/>
  <c r="X27" i="1"/>
  <c r="Z27" i="1" s="1"/>
  <c r="T69" i="1"/>
  <c r="F69" i="5" s="1"/>
  <c r="L69" i="5" s="1"/>
  <c r="F25" i="5"/>
  <c r="L25" i="5" s="1"/>
  <c r="AB47" i="13"/>
  <c r="AD47" i="13" s="1"/>
  <c r="F27" i="7"/>
  <c r="L27" i="7" s="1"/>
  <c r="V71" i="1"/>
  <c r="F71" i="7" s="1"/>
  <c r="L71" i="7" s="1"/>
  <c r="T68" i="1"/>
  <c r="F68" i="5" s="1"/>
  <c r="L68" i="5" s="1"/>
  <c r="F24" i="5"/>
  <c r="L24" i="5" s="1"/>
  <c r="AB50" i="13"/>
  <c r="AD50" i="13" s="1"/>
  <c r="X73" i="1"/>
  <c r="Z73" i="1" s="1"/>
  <c r="F73" i="13"/>
  <c r="L73" i="13" s="1"/>
  <c r="F26" i="5"/>
  <c r="L26" i="5" s="1"/>
  <c r="T70" i="1"/>
  <c r="F70" i="5" s="1"/>
  <c r="L70" i="5" s="1"/>
  <c r="X47" i="50"/>
  <c r="Z47" i="50" s="1"/>
  <c r="T26" i="7" l="1"/>
  <c r="AF26" i="7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AF27" i="7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T29" i="4"/>
  <c r="V29" i="4"/>
  <c r="R29" i="4"/>
  <c r="P29" i="4"/>
  <c r="V27" i="13"/>
  <c r="T27" i="13"/>
  <c r="R27" i="13"/>
  <c r="P27" i="13"/>
  <c r="Z27" i="13"/>
  <c r="X27" i="13"/>
  <c r="Z73" i="13"/>
  <c r="X73" i="13"/>
  <c r="V73" i="13"/>
  <c r="R73" i="13"/>
  <c r="T73" i="13"/>
  <c r="P73" i="13"/>
  <c r="X73" i="5"/>
  <c r="R73" i="5"/>
  <c r="L24" i="4"/>
  <c r="F68" i="4"/>
  <c r="L68" i="4" s="1"/>
  <c r="V73" i="5"/>
  <c r="AB29" i="13"/>
  <c r="AD29" i="13" s="1"/>
  <c r="AB73" i="5"/>
  <c r="F69" i="4"/>
  <c r="L69" i="4" s="1"/>
  <c r="L25" i="4"/>
  <c r="R72" i="1"/>
  <c r="F28" i="4"/>
  <c r="L26" i="4"/>
  <c r="F70" i="4"/>
  <c r="L70" i="4" s="1"/>
  <c r="F28" i="7"/>
  <c r="L28" i="7" s="1"/>
  <c r="V72" i="1"/>
  <c r="F72" i="7" s="1"/>
  <c r="L72" i="7" s="1"/>
  <c r="AD29" i="5"/>
  <c r="AF29" i="5" s="1"/>
  <c r="P73" i="5"/>
  <c r="Z73" i="5"/>
  <c r="F28" i="5"/>
  <c r="L28" i="5" s="1"/>
  <c r="T72" i="1"/>
  <c r="F72" i="5" s="1"/>
  <c r="L72" i="5" s="1"/>
  <c r="X71" i="1"/>
  <c r="Z71" i="1" s="1"/>
  <c r="F71" i="13"/>
  <c r="L71" i="13" s="1"/>
  <c r="T73" i="5"/>
  <c r="P72" i="1"/>
  <c r="F28" i="13"/>
  <c r="L28" i="13" s="1"/>
  <c r="X28" i="1"/>
  <c r="Z28" i="1" s="1"/>
  <c r="L27" i="4"/>
  <c r="F71" i="4"/>
  <c r="L71" i="4" s="1"/>
  <c r="AB28" i="7" l="1"/>
  <c r="X28" i="7"/>
  <c r="V28" i="7"/>
  <c r="Z28" i="7"/>
  <c r="T28" i="7"/>
  <c r="P28" i="7"/>
  <c r="R28" i="7"/>
  <c r="AH28" i="7"/>
  <c r="AF28" i="7"/>
  <c r="AD28" i="7"/>
  <c r="T28" i="5"/>
  <c r="P28" i="5"/>
  <c r="R28" i="5"/>
  <c r="AB28" i="5"/>
  <c r="Z28" i="5"/>
  <c r="X28" i="5"/>
  <c r="V28" i="5"/>
  <c r="V24" i="4"/>
  <c r="T24" i="4"/>
  <c r="R24" i="4"/>
  <c r="P24" i="4"/>
  <c r="P27" i="4"/>
  <c r="T27" i="4"/>
  <c r="V27" i="4"/>
  <c r="R27" i="4"/>
  <c r="Z28" i="13"/>
  <c r="X28" i="13"/>
  <c r="V28" i="13"/>
  <c r="T28" i="13"/>
  <c r="R28" i="13"/>
  <c r="P28" i="13"/>
  <c r="V71" i="13"/>
  <c r="T71" i="13"/>
  <c r="R71" i="13"/>
  <c r="P71" i="13"/>
  <c r="Z71" i="13"/>
  <c r="X71" i="13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F72" i="13"/>
  <c r="L72" i="13" s="1"/>
  <c r="X72" i="1"/>
  <c r="Z72" i="1" s="1"/>
  <c r="AB70" i="5"/>
  <c r="R69" i="7"/>
  <c r="AD69" i="7"/>
  <c r="P68" i="5"/>
  <c r="AD24" i="5"/>
  <c r="AF24" i="5" s="1"/>
  <c r="R71" i="5"/>
  <c r="AD68" i="7"/>
  <c r="AR29" i="5"/>
  <c r="F26" i="50"/>
  <c r="L26" i="50" s="1"/>
  <c r="AF70" i="7"/>
  <c r="F70" i="50" s="1"/>
  <c r="L70" i="50" s="1"/>
  <c r="V69" i="5"/>
  <c r="T70" i="5"/>
  <c r="AH69" i="7"/>
  <c r="X68" i="5"/>
  <c r="X29" i="4"/>
  <c r="Z29" i="4" s="1"/>
  <c r="P73" i="4"/>
  <c r="AB71" i="5"/>
  <c r="X68" i="7"/>
  <c r="AB73" i="13"/>
  <c r="AD73" i="13" s="1"/>
  <c r="AB70" i="7"/>
  <c r="AB27" i="13"/>
  <c r="AD27" i="13" s="1"/>
  <c r="T69" i="5"/>
  <c r="V70" i="5"/>
  <c r="F25" i="50"/>
  <c r="L25" i="50" s="1"/>
  <c r="AF69" i="7"/>
  <c r="F69" i="50" s="1"/>
  <c r="L69" i="50" s="1"/>
  <c r="R68" i="5"/>
  <c r="V73" i="4"/>
  <c r="T71" i="5"/>
  <c r="R68" i="7"/>
  <c r="X70" i="7"/>
  <c r="R69" i="5"/>
  <c r="AD26" i="5"/>
  <c r="AF26" i="5" s="1"/>
  <c r="P70" i="5"/>
  <c r="V69" i="7"/>
  <c r="Z68" i="5"/>
  <c r="T73" i="4"/>
  <c r="X71" i="5"/>
  <c r="T68" i="7"/>
  <c r="AN29" i="5"/>
  <c r="V70" i="7"/>
  <c r="AB69" i="5"/>
  <c r="AL29" i="5"/>
  <c r="Z70" i="5"/>
  <c r="AJ25" i="7"/>
  <c r="AL25" i="7" s="1"/>
  <c r="P69" i="7"/>
  <c r="AB68" i="5"/>
  <c r="AX29" i="5"/>
  <c r="R73" i="4"/>
  <c r="AB68" i="7"/>
  <c r="P68" i="7"/>
  <c r="AJ24" i="7"/>
  <c r="AL24" i="7" s="1"/>
  <c r="AT29" i="5"/>
  <c r="P70" i="7"/>
  <c r="AJ26" i="7"/>
  <c r="AL26" i="7" s="1"/>
  <c r="X69" i="5"/>
  <c r="AD73" i="5"/>
  <c r="AF73" i="5" s="1"/>
  <c r="R70" i="5"/>
  <c r="AB69" i="7"/>
  <c r="T68" i="5"/>
  <c r="Z71" i="5"/>
  <c r="AH68" i="7"/>
  <c r="F24" i="50"/>
  <c r="L24" i="50" s="1"/>
  <c r="AF68" i="7"/>
  <c r="F68" i="50" s="1"/>
  <c r="L68" i="50" s="1"/>
  <c r="T70" i="7"/>
  <c r="R70" i="7"/>
  <c r="X70" i="5"/>
  <c r="X69" i="7"/>
  <c r="F72" i="4"/>
  <c r="L72" i="4" s="1"/>
  <c r="L28" i="4"/>
  <c r="AD27" i="5"/>
  <c r="AF27" i="5" s="1"/>
  <c r="P71" i="5"/>
  <c r="Z68" i="7"/>
  <c r="V28" i="4" l="1"/>
  <c r="T28" i="4"/>
  <c r="R28" i="4"/>
  <c r="P28" i="4"/>
  <c r="Z72" i="13"/>
  <c r="X72" i="13"/>
  <c r="V72" i="13"/>
  <c r="T72" i="13"/>
  <c r="R72" i="13"/>
  <c r="P72" i="13"/>
  <c r="AJ29" i="4"/>
  <c r="AH29" i="4"/>
  <c r="AL29" i="4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X27" i="4"/>
  <c r="AJ27" i="4" s="1"/>
  <c r="P71" i="4"/>
  <c r="AT24" i="7"/>
  <c r="X72" i="5"/>
  <c r="BB25" i="7"/>
  <c r="AB71" i="13"/>
  <c r="AD71" i="13" s="1"/>
  <c r="AZ29" i="5"/>
  <c r="AX26" i="7"/>
  <c r="AX25" i="7"/>
  <c r="R25" i="50"/>
  <c r="T25" i="50"/>
  <c r="V25" i="50"/>
  <c r="V69" i="50" s="1"/>
  <c r="P25" i="50"/>
  <c r="AZ24" i="7"/>
  <c r="X73" i="4"/>
  <c r="Z73" i="4" s="1"/>
  <c r="V26" i="50"/>
  <c r="V70" i="50" s="1"/>
  <c r="P26" i="50"/>
  <c r="T26" i="50"/>
  <c r="R26" i="50"/>
  <c r="BF24" i="7"/>
  <c r="R72" i="5"/>
  <c r="AV27" i="5"/>
  <c r="AT25" i="7"/>
  <c r="T72" i="5"/>
  <c r="BF26" i="7"/>
  <c r="BJ26" i="7"/>
  <c r="T68" i="4"/>
  <c r="AV24" i="7"/>
  <c r="AB72" i="5"/>
  <c r="AX24" i="7"/>
  <c r="AV25" i="7"/>
  <c r="AB28" i="13"/>
  <c r="AD28" i="13" s="1"/>
  <c r="R68" i="4"/>
  <c r="AL27" i="5"/>
  <c r="AJ69" i="7"/>
  <c r="AL69" i="7" s="1"/>
  <c r="AN27" i="5"/>
  <c r="V72" i="5"/>
  <c r="V68" i="4"/>
  <c r="AD71" i="5"/>
  <c r="AF71" i="5" s="1"/>
  <c r="AR26" i="7"/>
  <c r="V71" i="4"/>
  <c r="AZ26" i="7"/>
  <c r="AP27" i="5"/>
  <c r="Z72" i="5"/>
  <c r="AD69" i="5"/>
  <c r="AF69" i="5" s="1"/>
  <c r="P68" i="4"/>
  <c r="X24" i="4"/>
  <c r="Z24" i="4" s="1"/>
  <c r="R24" i="50"/>
  <c r="T24" i="50"/>
  <c r="P24" i="50"/>
  <c r="V24" i="50"/>
  <c r="V68" i="50" s="1"/>
  <c r="R71" i="4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AJ68" i="7"/>
  <c r="AL68" i="7" s="1"/>
  <c r="T71" i="4"/>
  <c r="BH25" i="7"/>
  <c r="AF29" i="4"/>
  <c r="BH26" i="7"/>
  <c r="BF25" i="7"/>
  <c r="AN29" i="4" l="1"/>
  <c r="AF27" i="4"/>
  <c r="AL27" i="4"/>
  <c r="AV28" i="5"/>
  <c r="BL24" i="7"/>
  <c r="AL28" i="5"/>
  <c r="AD72" i="5"/>
  <c r="AF72" i="5" s="1"/>
  <c r="BL25" i="7"/>
  <c r="T69" i="50"/>
  <c r="X24" i="50"/>
  <c r="Z24" i="50" s="1"/>
  <c r="P68" i="50"/>
  <c r="R69" i="50"/>
  <c r="AT28" i="5"/>
  <c r="T68" i="50"/>
  <c r="AX28" i="5"/>
  <c r="AB72" i="13"/>
  <c r="AD72" i="13" s="1"/>
  <c r="AN28" i="5"/>
  <c r="R70" i="50"/>
  <c r="R68" i="50"/>
  <c r="T70" i="50"/>
  <c r="P72" i="4"/>
  <c r="X28" i="4"/>
  <c r="Z28" i="4" s="1"/>
  <c r="AZ27" i="5"/>
  <c r="AP28" i="5"/>
  <c r="P70" i="50"/>
  <c r="X26" i="50"/>
  <c r="Z26" i="50" s="1"/>
  <c r="X71" i="4"/>
  <c r="Z71" i="4" s="1"/>
  <c r="T72" i="4"/>
  <c r="X68" i="4"/>
  <c r="Z68" i="4" s="1"/>
  <c r="BL26" i="7"/>
  <c r="AH27" i="4"/>
  <c r="Z27" i="4"/>
  <c r="R72" i="4"/>
  <c r="AR28" i="5"/>
  <c r="P69" i="50"/>
  <c r="X25" i="50"/>
  <c r="Z25" i="50" s="1"/>
  <c r="V72" i="4"/>
  <c r="AN27" i="4" l="1"/>
  <c r="AH28" i="4"/>
  <c r="AL28" i="4"/>
  <c r="AZ28" i="5"/>
  <c r="AJ28" i="4"/>
  <c r="X70" i="50"/>
  <c r="Z70" i="50" s="1"/>
  <c r="AF28" i="4"/>
  <c r="X69" i="50"/>
  <c r="Z69" i="50" s="1"/>
  <c r="X68" i="50"/>
  <c r="Z68" i="50" s="1"/>
  <c r="X72" i="4"/>
  <c r="Z72" i="4" s="1"/>
  <c r="AN28" i="4" l="1"/>
  <c r="AF24" i="4" l="1"/>
  <c r="AH24" i="4"/>
  <c r="AJ24" i="4"/>
  <c r="AL24" i="4"/>
  <c r="AT24" i="5" l="1"/>
  <c r="AP24" i="5"/>
  <c r="AV24" i="5"/>
  <c r="AN24" i="5"/>
  <c r="AL24" i="5"/>
  <c r="AX24" i="5"/>
  <c r="AR24" i="5"/>
  <c r="AN24" i="4"/>
  <c r="AZ24" i="5" l="1"/>
  <c r="L103" i="1" l="1"/>
  <c r="P103" i="1" l="1"/>
  <c r="V103" i="1"/>
  <c r="R103" i="1"/>
  <c r="T103" i="1"/>
  <c r="AV26" i="5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AD159" i="1" l="1"/>
  <c r="H53" i="7" l="1"/>
  <c r="H57" i="7" s="1"/>
  <c r="H31" i="7"/>
  <c r="H35" i="7" s="1"/>
  <c r="H159" i="7" l="1"/>
  <c r="H159" i="50"/>
  <c r="H160" i="50"/>
  <c r="H160" i="7"/>
  <c r="H151" i="50"/>
  <c r="H151" i="7"/>
  <c r="H145" i="7"/>
  <c r="H162" i="7" s="1"/>
  <c r="L172" i="1" l="1"/>
  <c r="P172" i="1" l="1"/>
  <c r="T172" i="1"/>
  <c r="F172" i="5" s="1"/>
  <c r="L172" i="5" s="1"/>
  <c r="R172" i="1"/>
  <c r="F172" i="4" s="1"/>
  <c r="L172" i="4" s="1"/>
  <c r="V172" i="1"/>
  <c r="F172" i="7" s="1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T172" i="4"/>
  <c r="V172" i="4"/>
  <c r="R172" i="4"/>
  <c r="P172" i="4"/>
  <c r="F172" i="13"/>
  <c r="L172" i="13" s="1"/>
  <c r="X172" i="1"/>
  <c r="Z172" i="1" s="1"/>
  <c r="AJ172" i="7" l="1"/>
  <c r="AL172" i="7" s="1"/>
  <c r="X172" i="4"/>
  <c r="Z172" i="4" s="1"/>
  <c r="T172" i="50"/>
  <c r="V172" i="50"/>
  <c r="P172" i="50"/>
  <c r="R172" i="50"/>
  <c r="AD172" i="5"/>
  <c r="AF172" i="5" s="1"/>
  <c r="X172" i="50" l="1"/>
  <c r="Z172" i="50" s="1"/>
  <c r="L175" i="1" l="1"/>
  <c r="L174" i="1"/>
  <c r="L173" i="1"/>
  <c r="L171" i="1"/>
  <c r="R174" i="1" l="1"/>
  <c r="F174" i="4" s="1"/>
  <c r="L174" i="4" s="1"/>
  <c r="T174" i="1"/>
  <c r="F174" i="5" s="1"/>
  <c r="L174" i="5" s="1"/>
  <c r="P174" i="1"/>
  <c r="V174" i="1"/>
  <c r="F174" i="7" s="1"/>
  <c r="L174" i="7" s="1"/>
  <c r="P171" i="1"/>
  <c r="T171" i="1"/>
  <c r="F171" i="5" s="1"/>
  <c r="L171" i="5" s="1"/>
  <c r="V171" i="1"/>
  <c r="F171" i="7" s="1"/>
  <c r="L171" i="7" s="1"/>
  <c r="R171" i="1"/>
  <c r="F171" i="4" s="1"/>
  <c r="L171" i="4" s="1"/>
  <c r="T173" i="1"/>
  <c r="F173" i="5" s="1"/>
  <c r="L173" i="5" s="1"/>
  <c r="R173" i="1"/>
  <c r="F173" i="4" s="1"/>
  <c r="L173" i="4" s="1"/>
  <c r="V173" i="1"/>
  <c r="F173" i="7" s="1"/>
  <c r="L173" i="7" s="1"/>
  <c r="P173" i="1"/>
  <c r="T175" i="1"/>
  <c r="F175" i="5" s="1"/>
  <c r="L175" i="5" s="1"/>
  <c r="R175" i="1"/>
  <c r="F175" i="4" s="1"/>
  <c r="L175" i="4" s="1"/>
  <c r="P175" i="1"/>
  <c r="V175" i="1"/>
  <c r="F175" i="7" s="1"/>
  <c r="L175" i="7" s="1"/>
  <c r="L170" i="1"/>
  <c r="T170" i="1" l="1"/>
  <c r="P170" i="1"/>
  <c r="R170" i="1"/>
  <c r="V170" i="1"/>
  <c r="Z171" i="7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V171" i="4"/>
  <c r="T171" i="4"/>
  <c r="R171" i="4"/>
  <c r="P171" i="4"/>
  <c r="V173" i="4"/>
  <c r="T173" i="4"/>
  <c r="R173" i="4"/>
  <c r="P173" i="4"/>
  <c r="V174" i="4"/>
  <c r="T174" i="4"/>
  <c r="R174" i="4"/>
  <c r="P174" i="4"/>
  <c r="V175" i="4"/>
  <c r="T175" i="4"/>
  <c r="R175" i="4"/>
  <c r="P175" i="4"/>
  <c r="F174" i="13"/>
  <c r="L174" i="13" s="1"/>
  <c r="X174" i="1"/>
  <c r="Z174" i="1" s="1"/>
  <c r="X175" i="1"/>
  <c r="Z175" i="1" s="1"/>
  <c r="F175" i="13"/>
  <c r="L175" i="13" s="1"/>
  <c r="X173" i="1"/>
  <c r="Z173" i="1" s="1"/>
  <c r="F173" i="13"/>
  <c r="L173" i="13" s="1"/>
  <c r="F171" i="13"/>
  <c r="L171" i="13" s="1"/>
  <c r="X171" i="1"/>
  <c r="Z171" i="1" s="1"/>
  <c r="R174" i="13" l="1"/>
  <c r="P174" i="13"/>
  <c r="X174" i="13"/>
  <c r="Z174" i="13"/>
  <c r="V174" i="13"/>
  <c r="T174" i="13"/>
  <c r="Z173" i="13"/>
  <c r="X173" i="13"/>
  <c r="P173" i="13"/>
  <c r="V173" i="13"/>
  <c r="T173" i="13"/>
  <c r="R173" i="13"/>
  <c r="R171" i="13"/>
  <c r="X171" i="13"/>
  <c r="P171" i="13"/>
  <c r="Z171" i="13"/>
  <c r="V171" i="13"/>
  <c r="T171" i="13"/>
  <c r="V175" i="13"/>
  <c r="T175" i="13"/>
  <c r="R175" i="13"/>
  <c r="P175" i="13"/>
  <c r="Z175" i="13"/>
  <c r="X175" i="13"/>
  <c r="F170" i="7"/>
  <c r="AD171" i="5"/>
  <c r="AF171" i="5" s="1"/>
  <c r="F170" i="13"/>
  <c r="X170" i="1"/>
  <c r="AD173" i="5"/>
  <c r="AF173" i="5" s="1"/>
  <c r="V175" i="50"/>
  <c r="T175" i="50"/>
  <c r="P175" i="50"/>
  <c r="R175" i="50"/>
  <c r="AJ171" i="7"/>
  <c r="AL171" i="7" s="1"/>
  <c r="R171" i="50"/>
  <c r="T171" i="50"/>
  <c r="P171" i="50"/>
  <c r="V171" i="50"/>
  <c r="F170" i="4"/>
  <c r="AJ174" i="7"/>
  <c r="AL174" i="7" s="1"/>
  <c r="AD175" i="5"/>
  <c r="AF175" i="5" s="1"/>
  <c r="AD174" i="5"/>
  <c r="AF174" i="5" s="1"/>
  <c r="X175" i="4"/>
  <c r="Z175" i="4" s="1"/>
  <c r="F170" i="5"/>
  <c r="R173" i="50"/>
  <c r="T173" i="50"/>
  <c r="P173" i="50"/>
  <c r="V173" i="50"/>
  <c r="X173" i="4"/>
  <c r="Z173" i="4" s="1"/>
  <c r="T174" i="50"/>
  <c r="R174" i="50"/>
  <c r="V174" i="50"/>
  <c r="P174" i="50"/>
  <c r="AJ175" i="7"/>
  <c r="AL175" i="7" s="1"/>
  <c r="X174" i="4"/>
  <c r="Z174" i="4" s="1"/>
  <c r="AJ173" i="7"/>
  <c r="AL173" i="7" s="1"/>
  <c r="X171" i="4"/>
  <c r="Z171" i="4" s="1"/>
  <c r="AB173" i="13" l="1"/>
  <c r="AD173" i="13" s="1"/>
  <c r="L170" i="5"/>
  <c r="X171" i="50"/>
  <c r="Z171" i="50" s="1"/>
  <c r="X173" i="50"/>
  <c r="Z173" i="50" s="1"/>
  <c r="X174" i="50"/>
  <c r="Z174" i="50" s="1"/>
  <c r="Z170" i="1"/>
  <c r="AB171" i="13"/>
  <c r="AD171" i="13" s="1"/>
  <c r="L170" i="13"/>
  <c r="L170" i="7"/>
  <c r="AB174" i="13"/>
  <c r="AD174" i="13" s="1"/>
  <c r="AB175" i="13"/>
  <c r="AD175" i="13" s="1"/>
  <c r="X175" i="50"/>
  <c r="Z175" i="50" s="1"/>
  <c r="L170" i="4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4"/>
  <c r="T170" i="4"/>
  <c r="R170" i="4"/>
  <c r="P170" i="4"/>
  <c r="Z170" i="13"/>
  <c r="X170" i="13"/>
  <c r="T170" i="13"/>
  <c r="V170" i="13"/>
  <c r="R170" i="13"/>
  <c r="P170" i="13"/>
  <c r="D28" i="11"/>
  <c r="L29" i="11" s="1"/>
  <c r="D79" i="11"/>
  <c r="F80" i="11" s="1"/>
  <c r="P80" i="11" l="1"/>
  <c r="P29" i="11"/>
  <c r="AJ170" i="7"/>
  <c r="AL170" i="7" s="1"/>
  <c r="X170" i="4"/>
  <c r="AB170" i="13"/>
  <c r="AD170" i="13" s="1"/>
  <c r="R80" i="11"/>
  <c r="N80" i="11"/>
  <c r="J80" i="11"/>
  <c r="L80" i="11"/>
  <c r="H80" i="11"/>
  <c r="AD170" i="5"/>
  <c r="H29" i="11"/>
  <c r="R29" i="11"/>
  <c r="F29" i="11"/>
  <c r="N29" i="11"/>
  <c r="J29" i="11"/>
  <c r="T170" i="50"/>
  <c r="R170" i="50"/>
  <c r="V170" i="50"/>
  <c r="P170" i="50"/>
  <c r="Z170" i="4" l="1"/>
  <c r="X170" i="50"/>
  <c r="Z170" i="50" s="1"/>
  <c r="D29" i="11"/>
  <c r="AF170" i="5"/>
  <c r="D80" i="11"/>
  <c r="D46" i="11" l="1"/>
  <c r="F47" i="11" s="1"/>
  <c r="N47" i="11" l="1"/>
  <c r="R47" i="11"/>
  <c r="J47" i="11"/>
  <c r="P47" i="11"/>
  <c r="L47" i="11"/>
  <c r="H47" i="11"/>
  <c r="D47" i="11" l="1"/>
  <c r="D49" i="11" l="1"/>
  <c r="L50" i="11" s="1"/>
  <c r="P50" i="11" l="1"/>
  <c r="H50" i="11"/>
  <c r="F50" i="11"/>
  <c r="R50" i="11"/>
  <c r="N50" i="11"/>
  <c r="J50" i="11"/>
  <c r="D50" i="11" l="1"/>
  <c r="J47" i="10" l="1"/>
  <c r="D35" i="10"/>
  <c r="H47" i="10"/>
  <c r="D47" i="10" s="1"/>
  <c r="H48" i="10" l="1"/>
  <c r="L48" i="10"/>
  <c r="F48" i="10"/>
  <c r="H36" i="10"/>
  <c r="L36" i="10"/>
  <c r="F36" i="10"/>
  <c r="J36" i="10"/>
  <c r="J48" i="10"/>
  <c r="P47" i="4" l="1"/>
  <c r="P25" i="4"/>
  <c r="V47" i="4"/>
  <c r="V25" i="4"/>
  <c r="P48" i="4"/>
  <c r="P26" i="4"/>
  <c r="T48" i="4"/>
  <c r="T26" i="4"/>
  <c r="T47" i="4"/>
  <c r="T25" i="4"/>
  <c r="R47" i="4"/>
  <c r="R25" i="4"/>
  <c r="V48" i="4"/>
  <c r="V26" i="4"/>
  <c r="R48" i="4"/>
  <c r="R26" i="4"/>
  <c r="D48" i="10"/>
  <c r="D36" i="10"/>
  <c r="V69" i="4" l="1"/>
  <c r="X47" i="4"/>
  <c r="Z47" i="4" s="1"/>
  <c r="R70" i="4"/>
  <c r="V70" i="4"/>
  <c r="X25" i="4"/>
  <c r="AF25" i="4" s="1"/>
  <c r="P69" i="4"/>
  <c r="T69" i="4"/>
  <c r="X48" i="4"/>
  <c r="Z48" i="4" s="1"/>
  <c r="R69" i="4"/>
  <c r="X26" i="4"/>
  <c r="AJ26" i="4" s="1"/>
  <c r="P70" i="4"/>
  <c r="T70" i="4"/>
  <c r="X70" i="4" l="1"/>
  <c r="Z70" i="4" s="1"/>
  <c r="AL26" i="4"/>
  <c r="Z26" i="4"/>
  <c r="AJ25" i="4"/>
  <c r="AH25" i="4"/>
  <c r="AL25" i="4"/>
  <c r="Z25" i="4"/>
  <c r="AF26" i="4"/>
  <c r="X69" i="4"/>
  <c r="Z69" i="4" s="1"/>
  <c r="AH26" i="4"/>
  <c r="AN25" i="4" l="1"/>
  <c r="AN26" i="4"/>
  <c r="H30" i="16" l="1"/>
  <c r="AG30" i="16"/>
  <c r="AL30" i="16"/>
  <c r="AA30" i="16"/>
  <c r="L109" i="1" l="1"/>
  <c r="R109" i="1" l="1"/>
  <c r="T109" i="1"/>
  <c r="P109" i="1"/>
  <c r="V109" i="1"/>
  <c r="D13" i="11"/>
  <c r="P14" i="11" s="1"/>
  <c r="L14" i="11" l="1"/>
  <c r="J14" i="11"/>
  <c r="R14" i="11"/>
  <c r="H14" i="11"/>
  <c r="F14" i="11"/>
  <c r="N14" i="11"/>
  <c r="D14" i="11" l="1"/>
  <c r="F109" i="5" l="1"/>
  <c r="L109" i="5" s="1"/>
  <c r="D70" i="11"/>
  <c r="F71" i="11" s="1"/>
  <c r="P109" i="5" l="1"/>
  <c r="F109" i="7"/>
  <c r="L109" i="7" s="1"/>
  <c r="F109" i="4"/>
  <c r="L109" i="4" s="1"/>
  <c r="H71" i="11"/>
  <c r="R109" i="5" s="1"/>
  <c r="R71" i="11"/>
  <c r="AB109" i="5" s="1"/>
  <c r="P71" i="11"/>
  <c r="Z109" i="5" s="1"/>
  <c r="J71" i="11"/>
  <c r="T109" i="5" s="1"/>
  <c r="N71" i="11"/>
  <c r="X109" i="5" s="1"/>
  <c r="L71" i="11"/>
  <c r="V109" i="5" s="1"/>
  <c r="D71" i="11" l="1"/>
  <c r="AD109" i="5"/>
  <c r="AF109" i="5" s="1"/>
  <c r="F109" i="13"/>
  <c r="X109" i="1"/>
  <c r="Z109" i="1" s="1"/>
  <c r="L109" i="13" l="1"/>
  <c r="T109" i="13" s="1"/>
  <c r="P109" i="13" l="1"/>
  <c r="V109" i="13"/>
  <c r="X109" i="13"/>
  <c r="Z109" i="13"/>
  <c r="R109" i="13"/>
  <c r="AB109" i="13" l="1"/>
  <c r="AD109" i="13" s="1"/>
  <c r="Q30" i="16"/>
  <c r="AB30" i="16" l="1"/>
  <c r="O30" i="16" l="1"/>
  <c r="V30" i="16"/>
  <c r="I30" i="16"/>
  <c r="N30" i="16"/>
  <c r="L30" i="16"/>
  <c r="K30" i="16" l="1"/>
  <c r="M30" i="16"/>
  <c r="J30" i="16"/>
  <c r="P30" i="16" l="1"/>
  <c r="AC30" i="16" l="1"/>
  <c r="AJ30" i="16"/>
  <c r="AH30" i="16" l="1"/>
  <c r="AF30" i="16" l="1"/>
  <c r="U30" i="16" l="1"/>
  <c r="Z30" i="16"/>
  <c r="D111" i="16" l="1"/>
  <c r="U112" i="16" l="1"/>
  <c r="AR112" i="16"/>
  <c r="AT112" i="16"/>
  <c r="AM112" i="16"/>
  <c r="AS112" i="16"/>
  <c r="AQ112" i="16"/>
  <c r="AN112" i="16"/>
  <c r="AP112" i="16"/>
  <c r="R112" i="16"/>
  <c r="AU112" i="16"/>
  <c r="AO112" i="16"/>
  <c r="H112" i="16"/>
  <c r="S112" i="16"/>
  <c r="Q112" i="16"/>
  <c r="F112" i="16"/>
  <c r="G112" i="16"/>
  <c r="AG112" i="16"/>
  <c r="X112" i="16"/>
  <c r="Y112" i="16"/>
  <c r="AL112" i="16"/>
  <c r="T112" i="16"/>
  <c r="AK112" i="16"/>
  <c r="AJ112" i="16"/>
  <c r="AH112" i="16"/>
  <c r="AI112" i="16"/>
  <c r="L112" i="16"/>
  <c r="AB112" i="16"/>
  <c r="AA112" i="16"/>
  <c r="AD112" i="16"/>
  <c r="AF112" i="16"/>
  <c r="AE112" i="16"/>
  <c r="AC112" i="16"/>
  <c r="P112" i="16"/>
  <c r="V112" i="16"/>
  <c r="M112" i="16"/>
  <c r="N112" i="16"/>
  <c r="O112" i="16"/>
  <c r="Z112" i="16"/>
  <c r="K112" i="16"/>
  <c r="J112" i="16"/>
  <c r="W112" i="16"/>
  <c r="I112" i="16"/>
  <c r="D112" i="16" l="1"/>
  <c r="D108" i="16" l="1"/>
  <c r="D96" i="16"/>
  <c r="U97" i="16" s="1"/>
  <c r="AP97" i="16" l="1"/>
  <c r="AS97" i="16"/>
  <c r="AQ97" i="16"/>
  <c r="AM97" i="16"/>
  <c r="AR97" i="16"/>
  <c r="AU97" i="16"/>
  <c r="R97" i="16"/>
  <c r="AO97" i="16"/>
  <c r="AN97" i="16"/>
  <c r="AT97" i="16"/>
  <c r="H97" i="16"/>
  <c r="G97" i="16"/>
  <c r="F97" i="16"/>
  <c r="Q97" i="16"/>
  <c r="X97" i="16"/>
  <c r="AL97" i="16"/>
  <c r="AG97" i="16"/>
  <c r="Y97" i="16"/>
  <c r="S97" i="16"/>
  <c r="T97" i="16"/>
  <c r="I97" i="16"/>
  <c r="L97" i="16"/>
  <c r="P97" i="16"/>
  <c r="J97" i="16"/>
  <c r="N97" i="16"/>
  <c r="K97" i="16"/>
  <c r="M97" i="16"/>
  <c r="O97" i="16"/>
  <c r="AI97" i="16"/>
  <c r="AK97" i="16"/>
  <c r="AA97" i="16"/>
  <c r="AJ97" i="16"/>
  <c r="AC97" i="16"/>
  <c r="Z97" i="16"/>
  <c r="AE97" i="16"/>
  <c r="AB97" i="16"/>
  <c r="AH97" i="16"/>
  <c r="AD97" i="16"/>
  <c r="V97" i="16"/>
  <c r="W97" i="16"/>
  <c r="AF97" i="16"/>
  <c r="W109" i="16"/>
  <c r="R109" i="16"/>
  <c r="AS109" i="16"/>
  <c r="AQ109" i="16"/>
  <c r="AR109" i="16"/>
  <c r="AU109" i="16"/>
  <c r="AN109" i="16"/>
  <c r="AP109" i="16"/>
  <c r="L109" i="16"/>
  <c r="AM109" i="16"/>
  <c r="AO109" i="16"/>
  <c r="Q109" i="16"/>
  <c r="AT109" i="16"/>
  <c r="H109" i="16"/>
  <c r="G109" i="16"/>
  <c r="F109" i="16"/>
  <c r="X109" i="16"/>
  <c r="AG109" i="16"/>
  <c r="AL109" i="16"/>
  <c r="Y109" i="16"/>
  <c r="S109" i="16"/>
  <c r="T109" i="16"/>
  <c r="I109" i="16"/>
  <c r="N109" i="16"/>
  <c r="M109" i="16"/>
  <c r="J109" i="16"/>
  <c r="K109" i="16"/>
  <c r="O109" i="16"/>
  <c r="P109" i="16"/>
  <c r="AK109" i="16"/>
  <c r="AI109" i="16"/>
  <c r="Z109" i="16"/>
  <c r="AB109" i="16"/>
  <c r="AD109" i="16"/>
  <c r="AA109" i="16"/>
  <c r="AE109" i="16"/>
  <c r="AH109" i="16"/>
  <c r="AC109" i="16"/>
  <c r="AJ109" i="16"/>
  <c r="U109" i="16"/>
  <c r="V109" i="16"/>
  <c r="AF109" i="16"/>
  <c r="D97" i="16" l="1"/>
  <c r="D109" i="16"/>
  <c r="AK30" i="16" l="1"/>
  <c r="AE30" i="16" l="1"/>
  <c r="AI30" i="16"/>
  <c r="D90" i="16"/>
  <c r="AR91" i="16" l="1"/>
  <c r="AT91" i="16"/>
  <c r="AN91" i="16"/>
  <c r="AU91" i="16"/>
  <c r="R91" i="16"/>
  <c r="AP91" i="16"/>
  <c r="AO91" i="16"/>
  <c r="AM91" i="16"/>
  <c r="AQ91" i="16"/>
  <c r="AS91" i="16"/>
  <c r="Q91" i="16"/>
  <c r="AA91" i="16"/>
  <c r="H91" i="16"/>
  <c r="W91" i="16"/>
  <c r="G91" i="16"/>
  <c r="F91" i="16"/>
  <c r="AG91" i="16"/>
  <c r="Y91" i="16"/>
  <c r="T91" i="16"/>
  <c r="X91" i="16"/>
  <c r="S91" i="16"/>
  <c r="L91" i="16"/>
  <c r="M91" i="16"/>
  <c r="O91" i="16"/>
  <c r="J91" i="16"/>
  <c r="K91" i="16"/>
  <c r="N91" i="16"/>
  <c r="P91" i="16"/>
  <c r="I91" i="16"/>
  <c r="AB91" i="16"/>
  <c r="AE91" i="16"/>
  <c r="AC91" i="16"/>
  <c r="AD91" i="16"/>
  <c r="V91" i="16"/>
  <c r="AF91" i="16"/>
  <c r="Z91" i="16"/>
  <c r="U91" i="16"/>
  <c r="AL91" i="16"/>
  <c r="AK91" i="16"/>
  <c r="AI91" i="16"/>
  <c r="AJ91" i="16"/>
  <c r="AH91" i="16"/>
  <c r="D91" i="16" l="1"/>
  <c r="AD30" i="16" l="1"/>
  <c r="D21" i="16" l="1"/>
  <c r="F22" i="16" s="1"/>
  <c r="X22" i="16" l="1"/>
  <c r="AQ22" i="16"/>
  <c r="AT22" i="16"/>
  <c r="AS22" i="16"/>
  <c r="AU22" i="16"/>
  <c r="AO22" i="16"/>
  <c r="AP22" i="16"/>
  <c r="AM22" i="16"/>
  <c r="AR22" i="16"/>
  <c r="AN22" i="16"/>
  <c r="R22" i="16"/>
  <c r="AJ22" i="16"/>
  <c r="AL22" i="16"/>
  <c r="AI22" i="16"/>
  <c r="AK22" i="16"/>
  <c r="AH22" i="16"/>
  <c r="G22" i="16"/>
  <c r="AG22" i="16"/>
  <c r="L22" i="16"/>
  <c r="W22" i="16"/>
  <c r="N22" i="16"/>
  <c r="K22" i="16"/>
  <c r="AD22" i="16"/>
  <c r="T22" i="16"/>
  <c r="AF22" i="16"/>
  <c r="AB22" i="16"/>
  <c r="M22" i="16"/>
  <c r="U22" i="16"/>
  <c r="S22" i="16"/>
  <c r="P22" i="16"/>
  <c r="Y22" i="16"/>
  <c r="AC22" i="16"/>
  <c r="Q22" i="16"/>
  <c r="O22" i="16"/>
  <c r="J22" i="16"/>
  <c r="I22" i="16"/>
  <c r="V22" i="16"/>
  <c r="Z22" i="16"/>
  <c r="H22" i="16"/>
  <c r="AE22" i="16"/>
  <c r="AA22" i="16"/>
  <c r="D22" i="16" l="1"/>
  <c r="D61" i="11" l="1"/>
  <c r="F62" i="11" l="1"/>
  <c r="N62" i="11"/>
  <c r="L62" i="11"/>
  <c r="R62" i="11"/>
  <c r="J62" i="11"/>
  <c r="H62" i="11"/>
  <c r="P62" i="11"/>
  <c r="D62" i="11" l="1"/>
  <c r="D52" i="11" l="1"/>
  <c r="J53" i="11" s="1"/>
  <c r="D43" i="11"/>
  <c r="R44" i="11" s="1"/>
  <c r="D58" i="11"/>
  <c r="F59" i="11" s="1"/>
  <c r="N44" i="11" l="1"/>
  <c r="F44" i="11"/>
  <c r="J44" i="11"/>
  <c r="R59" i="11"/>
  <c r="L59" i="11"/>
  <c r="J59" i="11"/>
  <c r="D59" i="11" s="1"/>
  <c r="L53" i="11"/>
  <c r="F53" i="11"/>
  <c r="R53" i="11"/>
  <c r="P59" i="11"/>
  <c r="H59" i="11"/>
  <c r="H44" i="11"/>
  <c r="N59" i="11"/>
  <c r="D25" i="11"/>
  <c r="J26" i="11" s="1"/>
  <c r="D76" i="11"/>
  <c r="L77" i="11" s="1"/>
  <c r="N53" i="11"/>
  <c r="P44" i="11"/>
  <c r="L44" i="11"/>
  <c r="P53" i="11"/>
  <c r="H53" i="11"/>
  <c r="H26" i="11" l="1"/>
  <c r="P26" i="11"/>
  <c r="H77" i="11"/>
  <c r="D44" i="11"/>
  <c r="D53" i="11"/>
  <c r="D40" i="11"/>
  <c r="J41" i="11" s="1"/>
  <c r="F77" i="11"/>
  <c r="J77" i="11"/>
  <c r="R77" i="11"/>
  <c r="N77" i="11"/>
  <c r="P77" i="11"/>
  <c r="R26" i="11"/>
  <c r="N26" i="11"/>
  <c r="F26" i="11"/>
  <c r="L26" i="11"/>
  <c r="D77" i="11" l="1"/>
  <c r="D26" i="11"/>
  <c r="R41" i="11"/>
  <c r="P41" i="11"/>
  <c r="F41" i="11"/>
  <c r="H41" i="11"/>
  <c r="N41" i="11"/>
  <c r="L41" i="11"/>
  <c r="D41" i="11" l="1"/>
  <c r="L122" i="1" l="1"/>
  <c r="AD122" i="1"/>
  <c r="R122" i="1" l="1"/>
  <c r="V122" i="1"/>
  <c r="T122" i="1"/>
  <c r="P122" i="1"/>
  <c r="D55" i="11"/>
  <c r="F56" i="11" s="1"/>
  <c r="R56" i="11" l="1"/>
  <c r="J56" i="11"/>
  <c r="H56" i="11"/>
  <c r="N56" i="11"/>
  <c r="L56" i="11"/>
  <c r="P56" i="11"/>
  <c r="D56" i="11" l="1"/>
  <c r="H66" i="12" l="1"/>
  <c r="F66" i="12" l="1"/>
  <c r="J66" i="12" l="1"/>
  <c r="D75" i="12"/>
  <c r="L76" i="12" l="1"/>
  <c r="R76" i="12"/>
  <c r="V76" i="12"/>
  <c r="P76" i="12"/>
  <c r="X76" i="12"/>
  <c r="T76" i="12"/>
  <c r="H76" i="12"/>
  <c r="F76" i="12"/>
  <c r="N76" i="12"/>
  <c r="J76" i="12"/>
  <c r="D66" i="12"/>
  <c r="D76" i="12" l="1"/>
  <c r="P67" i="12"/>
  <c r="R67" i="12"/>
  <c r="X67" i="12"/>
  <c r="L67" i="12"/>
  <c r="V67" i="12"/>
  <c r="T67" i="12"/>
  <c r="N67" i="12"/>
  <c r="H67" i="12"/>
  <c r="F67" i="12"/>
  <c r="J67" i="12"/>
  <c r="D67" i="12" l="1"/>
  <c r="D18" i="16" l="1"/>
  <c r="F19" i="16" s="1"/>
  <c r="AN19" i="16" l="1"/>
  <c r="AO19" i="16"/>
  <c r="AM19" i="16"/>
  <c r="AS19" i="16"/>
  <c r="AT19" i="16"/>
  <c r="AU19" i="16"/>
  <c r="AQ19" i="16"/>
  <c r="AP19" i="16"/>
  <c r="AJ19" i="16"/>
  <c r="AI19" i="16"/>
  <c r="AK19" i="16"/>
  <c r="AL19" i="16"/>
  <c r="AH19" i="16"/>
  <c r="R19" i="16"/>
  <c r="I19" i="16"/>
  <c r="O19" i="16"/>
  <c r="Q19" i="16"/>
  <c r="AE19" i="16"/>
  <c r="AG19" i="16"/>
  <c r="Z19" i="16"/>
  <c r="AD19" i="16"/>
  <c r="Y19" i="16"/>
  <c r="S19" i="16"/>
  <c r="K19" i="16"/>
  <c r="AF19" i="16"/>
  <c r="AB19" i="16"/>
  <c r="M19" i="16"/>
  <c r="AA19" i="16"/>
  <c r="G19" i="16"/>
  <c r="AR19" i="16"/>
  <c r="X19" i="16"/>
  <c r="N19" i="16"/>
  <c r="V19" i="16"/>
  <c r="L19" i="16"/>
  <c r="AC19" i="16"/>
  <c r="H19" i="16"/>
  <c r="U19" i="16"/>
  <c r="W19" i="16"/>
  <c r="P19" i="16"/>
  <c r="J19" i="16"/>
  <c r="T19" i="16"/>
  <c r="D19" i="16" l="1"/>
  <c r="AI31" i="5" l="1"/>
  <c r="F45" i="5" l="1"/>
  <c r="L45" i="5" s="1"/>
  <c r="F43" i="5"/>
  <c r="L43" i="5" s="1"/>
  <c r="F43" i="4"/>
  <c r="L43" i="4" s="1"/>
  <c r="F43" i="7"/>
  <c r="L43" i="7" s="1"/>
  <c r="AH43" i="7" l="1"/>
  <c r="R43" i="7"/>
  <c r="AF43" i="7"/>
  <c r="P43" i="7"/>
  <c r="AD43" i="7"/>
  <c r="Z43" i="7"/>
  <c r="V43" i="7"/>
  <c r="T43" i="7"/>
  <c r="X43" i="7"/>
  <c r="AB43" i="7"/>
  <c r="R43" i="5"/>
  <c r="P43" i="5"/>
  <c r="Z43" i="5"/>
  <c r="X43" i="5"/>
  <c r="AB43" i="5"/>
  <c r="V43" i="5"/>
  <c r="T43" i="5"/>
  <c r="V45" i="5"/>
  <c r="T45" i="5"/>
  <c r="R45" i="5"/>
  <c r="AB45" i="5"/>
  <c r="Z45" i="5"/>
  <c r="X45" i="5"/>
  <c r="P45" i="5"/>
  <c r="T43" i="4"/>
  <c r="V43" i="4"/>
  <c r="R43" i="4"/>
  <c r="P43" i="4"/>
  <c r="F21" i="5"/>
  <c r="T65" i="1"/>
  <c r="F65" i="5" s="1"/>
  <c r="L65" i="5" s="1"/>
  <c r="F41" i="5"/>
  <c r="F42" i="4"/>
  <c r="L42" i="4" s="1"/>
  <c r="F42" i="7"/>
  <c r="L42" i="7" s="1"/>
  <c r="F42" i="5"/>
  <c r="L42" i="5" s="1"/>
  <c r="F45" i="4"/>
  <c r="L45" i="4" s="1"/>
  <c r="F45" i="7"/>
  <c r="L45" i="7" s="1"/>
  <c r="F22" i="7"/>
  <c r="L22" i="7" s="1"/>
  <c r="T67" i="1"/>
  <c r="F67" i="5" s="1"/>
  <c r="L67" i="5" s="1"/>
  <c r="F23" i="5"/>
  <c r="L23" i="5" s="1"/>
  <c r="F22" i="4"/>
  <c r="F22" i="5"/>
  <c r="L22" i="5" s="1"/>
  <c r="Z45" i="7" l="1"/>
  <c r="X45" i="7"/>
  <c r="V45" i="7"/>
  <c r="AF45" i="7"/>
  <c r="AD45" i="7"/>
  <c r="T45" i="7"/>
  <c r="R45" i="7"/>
  <c r="P45" i="7"/>
  <c r="AH45" i="7"/>
  <c r="AB45" i="7"/>
  <c r="T22" i="7"/>
  <c r="AF22" i="7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V42" i="4"/>
  <c r="T42" i="4"/>
  <c r="R42" i="4"/>
  <c r="P42" i="4"/>
  <c r="T45" i="4"/>
  <c r="P45" i="4"/>
  <c r="V45" i="4"/>
  <c r="R45" i="4"/>
  <c r="T62" i="1"/>
  <c r="F18" i="5"/>
  <c r="F41" i="4"/>
  <c r="V65" i="1"/>
  <c r="F65" i="7" s="1"/>
  <c r="L65" i="7" s="1"/>
  <c r="F21" i="7"/>
  <c r="L21" i="7" s="1"/>
  <c r="F20" i="5"/>
  <c r="L20" i="5" s="1"/>
  <c r="T64" i="1"/>
  <c r="F64" i="5" s="1"/>
  <c r="L64" i="5" s="1"/>
  <c r="F19" i="7"/>
  <c r="V63" i="1"/>
  <c r="F63" i="7" s="1"/>
  <c r="L63" i="7" s="1"/>
  <c r="L22" i="4"/>
  <c r="F21" i="4"/>
  <c r="R65" i="1"/>
  <c r="AD43" i="5"/>
  <c r="AF43" i="5" s="1"/>
  <c r="F19" i="4"/>
  <c r="R63" i="1"/>
  <c r="L21" i="5"/>
  <c r="P65" i="1"/>
  <c r="H159" i="1"/>
  <c r="L159" i="1" s="1"/>
  <c r="V67" i="1"/>
  <c r="F67" i="7" s="1"/>
  <c r="L67" i="7" s="1"/>
  <c r="F23" i="7"/>
  <c r="L23" i="7" s="1"/>
  <c r="AD45" i="5"/>
  <c r="AF45" i="5" s="1"/>
  <c r="X43" i="1"/>
  <c r="Z43" i="1" s="1"/>
  <c r="F43" i="13"/>
  <c r="L43" i="13" s="1"/>
  <c r="F23" i="4"/>
  <c r="R67" i="1"/>
  <c r="X22" i="1"/>
  <c r="Z22" i="1" s="1"/>
  <c r="F22" i="13"/>
  <c r="L22" i="13" s="1"/>
  <c r="L41" i="5"/>
  <c r="X43" i="4"/>
  <c r="Z43" i="4" s="1"/>
  <c r="H145" i="1"/>
  <c r="F19" i="5"/>
  <c r="L19" i="5" s="1"/>
  <c r="T63" i="1"/>
  <c r="F63" i="5" s="1"/>
  <c r="L63" i="5" s="1"/>
  <c r="F41" i="7"/>
  <c r="X21" i="7" l="1"/>
  <c r="T21" i="7"/>
  <c r="AH21" i="7"/>
  <c r="R21" i="7"/>
  <c r="AF21" i="7"/>
  <c r="AD21" i="7"/>
  <c r="AB21" i="7"/>
  <c r="Z21" i="7"/>
  <c r="V21" i="7"/>
  <c r="P21" i="7"/>
  <c r="AF23" i="7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V22" i="4"/>
  <c r="T22" i="4"/>
  <c r="R22" i="4"/>
  <c r="P22" i="4"/>
  <c r="R22" i="13"/>
  <c r="P22" i="13"/>
  <c r="Z22" i="13"/>
  <c r="V22" i="13"/>
  <c r="X22" i="13"/>
  <c r="T22" i="13"/>
  <c r="V43" i="13"/>
  <c r="T43" i="13"/>
  <c r="R43" i="13"/>
  <c r="P43" i="13"/>
  <c r="Z43" i="13"/>
  <c r="X43" i="13"/>
  <c r="L19" i="4"/>
  <c r="F63" i="4"/>
  <c r="L63" i="4" s="1"/>
  <c r="X45" i="4"/>
  <c r="Z45" i="4" s="1"/>
  <c r="F18" i="7"/>
  <c r="V62" i="1"/>
  <c r="X45" i="1"/>
  <c r="Z45" i="1" s="1"/>
  <c r="F45" i="13"/>
  <c r="L45" i="13" s="1"/>
  <c r="P63" i="1"/>
  <c r="F19" i="13"/>
  <c r="L19" i="13" s="1"/>
  <c r="X19" i="1"/>
  <c r="Z19" i="1" s="1"/>
  <c r="V64" i="1"/>
  <c r="F64" i="7" s="1"/>
  <c r="L64" i="7" s="1"/>
  <c r="F20" i="7"/>
  <c r="P67" i="1"/>
  <c r="X23" i="1"/>
  <c r="Z23" i="1" s="1"/>
  <c r="F23" i="13"/>
  <c r="L23" i="13" s="1"/>
  <c r="F67" i="4"/>
  <c r="L67" i="4" s="1"/>
  <c r="L23" i="4"/>
  <c r="X21" i="1"/>
  <c r="Z21" i="1" s="1"/>
  <c r="F21" i="13"/>
  <c r="L21" i="13" s="1"/>
  <c r="AD42" i="5"/>
  <c r="AF42" i="5" s="1"/>
  <c r="R64" i="1"/>
  <c r="F20" i="4"/>
  <c r="H151" i="1"/>
  <c r="L41" i="4"/>
  <c r="F42" i="13"/>
  <c r="L42" i="13" s="1"/>
  <c r="X42" i="1"/>
  <c r="Z42" i="1" s="1"/>
  <c r="F22" i="50"/>
  <c r="L22" i="50" s="1"/>
  <c r="F65" i="13"/>
  <c r="L65" i="13" s="1"/>
  <c r="X65" i="1"/>
  <c r="Z65" i="1" s="1"/>
  <c r="AJ22" i="7"/>
  <c r="AL22" i="7" s="1"/>
  <c r="L21" i="4"/>
  <c r="F65" i="4"/>
  <c r="L65" i="4" s="1"/>
  <c r="L19" i="7"/>
  <c r="X41" i="1"/>
  <c r="F41" i="13"/>
  <c r="L18" i="5"/>
  <c r="L41" i="7"/>
  <c r="X42" i="4"/>
  <c r="Z42" i="4" s="1"/>
  <c r="AD22" i="5"/>
  <c r="AF22" i="5" s="1"/>
  <c r="F62" i="5"/>
  <c r="P18" i="5" l="1"/>
  <c r="X18" i="5"/>
  <c r="V18" i="5"/>
  <c r="AB18" i="5"/>
  <c r="Z18" i="5"/>
  <c r="T18" i="5"/>
  <c r="R18" i="5"/>
  <c r="T23" i="4"/>
  <c r="P23" i="4"/>
  <c r="V23" i="4"/>
  <c r="R23" i="4"/>
  <c r="V41" i="4"/>
  <c r="T41" i="4"/>
  <c r="P41" i="4"/>
  <c r="R41" i="4"/>
  <c r="T19" i="4"/>
  <c r="P19" i="4"/>
  <c r="V19" i="4"/>
  <c r="R19" i="4"/>
  <c r="T21" i="4"/>
  <c r="P21" i="4"/>
  <c r="V21" i="4"/>
  <c r="R21" i="4"/>
  <c r="V23" i="13"/>
  <c r="T23" i="13"/>
  <c r="R23" i="13"/>
  <c r="P23" i="13"/>
  <c r="Z23" i="13"/>
  <c r="X23" i="13"/>
  <c r="Z65" i="13"/>
  <c r="X65" i="13"/>
  <c r="V65" i="13"/>
  <c r="R65" i="13"/>
  <c r="T65" i="13"/>
  <c r="P65" i="13"/>
  <c r="Z21" i="13"/>
  <c r="X21" i="13"/>
  <c r="V21" i="13"/>
  <c r="R21" i="13"/>
  <c r="P21" i="13"/>
  <c r="T21" i="13"/>
  <c r="V19" i="13"/>
  <c r="T19" i="13"/>
  <c r="R19" i="13"/>
  <c r="P19" i="13"/>
  <c r="Z19" i="13"/>
  <c r="X19" i="13"/>
  <c r="Z45" i="13"/>
  <c r="X45" i="13"/>
  <c r="V45" i="13"/>
  <c r="R45" i="13"/>
  <c r="T45" i="13"/>
  <c r="P45" i="13"/>
  <c r="R42" i="13"/>
  <c r="P42" i="13"/>
  <c r="Z42" i="13"/>
  <c r="V42" i="13"/>
  <c r="X42" i="13"/>
  <c r="T42" i="13"/>
  <c r="BB22" i="7"/>
  <c r="BJ22" i="7"/>
  <c r="AZ22" i="7"/>
  <c r="BH22" i="7"/>
  <c r="BD22" i="7"/>
  <c r="AV22" i="7"/>
  <c r="AB43" i="13"/>
  <c r="AD43" i="13" s="1"/>
  <c r="X63" i="5"/>
  <c r="L62" i="5"/>
  <c r="AR22" i="5"/>
  <c r="Z64" i="5"/>
  <c r="T65" i="5"/>
  <c r="T63" i="5"/>
  <c r="X22" i="4"/>
  <c r="Z22" i="4" s="1"/>
  <c r="AX22" i="5"/>
  <c r="P64" i="1"/>
  <c r="X20" i="1"/>
  <c r="Z20" i="1" s="1"/>
  <c r="F20" i="13"/>
  <c r="L20" i="13" s="1"/>
  <c r="Z65" i="5"/>
  <c r="P65" i="5"/>
  <c r="AD21" i="5"/>
  <c r="AT21" i="5" s="1"/>
  <c r="F67" i="13"/>
  <c r="L67" i="13" s="1"/>
  <c r="X67" i="1"/>
  <c r="Z67" i="1" s="1"/>
  <c r="AB63" i="5"/>
  <c r="V64" i="5"/>
  <c r="AV22" i="5"/>
  <c r="L20" i="7"/>
  <c r="F63" i="13"/>
  <c r="L63" i="13" s="1"/>
  <c r="X63" i="1"/>
  <c r="Z63" i="1" s="1"/>
  <c r="F62" i="7"/>
  <c r="AD20" i="5"/>
  <c r="AF20" i="5" s="1"/>
  <c r="P64" i="5"/>
  <c r="AB64" i="5"/>
  <c r="AD19" i="5"/>
  <c r="AF19" i="5" s="1"/>
  <c r="P63" i="5"/>
  <c r="AP22" i="5"/>
  <c r="BF22" i="7"/>
  <c r="AR22" i="7"/>
  <c r="V65" i="5"/>
  <c r="AT22" i="5"/>
  <c r="T22" i="50"/>
  <c r="P22" i="50"/>
  <c r="R22" i="50"/>
  <c r="V22" i="50"/>
  <c r="L20" i="4"/>
  <c r="F64" i="4"/>
  <c r="L64" i="4" s="1"/>
  <c r="L18" i="7"/>
  <c r="Z63" i="5"/>
  <c r="AB22" i="13"/>
  <c r="AD22" i="13" s="1"/>
  <c r="R64" i="5"/>
  <c r="L41" i="13"/>
  <c r="T64" i="5"/>
  <c r="X65" i="5"/>
  <c r="AN22" i="5"/>
  <c r="AT22" i="7"/>
  <c r="R63" i="5"/>
  <c r="AX22" i="7"/>
  <c r="AB65" i="5"/>
  <c r="AL22" i="5"/>
  <c r="Z41" i="1"/>
  <c r="X64" i="5"/>
  <c r="R65" i="5"/>
  <c r="F18" i="13"/>
  <c r="P62" i="1"/>
  <c r="AD41" i="5"/>
  <c r="V63" i="5"/>
  <c r="V20" i="4" l="1"/>
  <c r="T20" i="4"/>
  <c r="R20" i="4"/>
  <c r="P20" i="4"/>
  <c r="Z41" i="13"/>
  <c r="X41" i="13"/>
  <c r="V41" i="13"/>
  <c r="R41" i="13"/>
  <c r="T41" i="13"/>
  <c r="P41" i="13"/>
  <c r="V67" i="13"/>
  <c r="T67" i="13"/>
  <c r="R67" i="13"/>
  <c r="P67" i="13"/>
  <c r="Z67" i="13"/>
  <c r="X67" i="13"/>
  <c r="Z20" i="13"/>
  <c r="X20" i="13"/>
  <c r="V20" i="13"/>
  <c r="T20" i="13"/>
  <c r="R20" i="13"/>
  <c r="P20" i="13"/>
  <c r="V63" i="13"/>
  <c r="T63" i="13"/>
  <c r="R63" i="13"/>
  <c r="P63" i="13"/>
  <c r="Z63" i="13"/>
  <c r="X63" i="13"/>
  <c r="AR19" i="5"/>
  <c r="AP20" i="5"/>
  <c r="AT20" i="5"/>
  <c r="AN19" i="5"/>
  <c r="AN20" i="5"/>
  <c r="AV19" i="5"/>
  <c r="AX20" i="5"/>
  <c r="AR21" i="5"/>
  <c r="AH22" i="4"/>
  <c r="AN21" i="5"/>
  <c r="AZ22" i="5"/>
  <c r="AL20" i="5"/>
  <c r="AJ22" i="4"/>
  <c r="T67" i="4"/>
  <c r="P63" i="4"/>
  <c r="X19" i="4"/>
  <c r="Z19" i="4" s="1"/>
  <c r="AB19" i="13"/>
  <c r="AD64" i="5"/>
  <c r="AF64" i="5" s="1"/>
  <c r="R65" i="4"/>
  <c r="AX21" i="5"/>
  <c r="AF21" i="5"/>
  <c r="AB62" i="5"/>
  <c r="AP21" i="5"/>
  <c r="AT19" i="5"/>
  <c r="R67" i="4"/>
  <c r="X41" i="4"/>
  <c r="V63" i="4"/>
  <c r="AB42" i="13"/>
  <c r="AD42" i="13" s="1"/>
  <c r="P65" i="4"/>
  <c r="X21" i="4"/>
  <c r="AH21" i="4" s="1"/>
  <c r="AD18" i="5"/>
  <c r="AX18" i="5" s="1"/>
  <c r="P62" i="5"/>
  <c r="AD65" i="5"/>
  <c r="AF65" i="5" s="1"/>
  <c r="AB23" i="13"/>
  <c r="AD23" i="13" s="1"/>
  <c r="V67" i="4"/>
  <c r="AL19" i="5"/>
  <c r="L62" i="7"/>
  <c r="T62" i="5"/>
  <c r="AP19" i="5"/>
  <c r="AV20" i="5"/>
  <c r="AB65" i="13"/>
  <c r="AD65" i="13" s="1"/>
  <c r="X22" i="50"/>
  <c r="Z22" i="50" s="1"/>
  <c r="AF22" i="4"/>
  <c r="F62" i="13"/>
  <c r="BL22" i="7"/>
  <c r="AD63" i="5"/>
  <c r="AF63" i="5" s="1"/>
  <c r="Z62" i="5"/>
  <c r="AV21" i="5"/>
  <c r="AF41" i="5"/>
  <c r="V62" i="5"/>
  <c r="AB21" i="13"/>
  <c r="AD21" i="13" s="1"/>
  <c r="T63" i="4"/>
  <c r="V65" i="4"/>
  <c r="AX19" i="5"/>
  <c r="X62" i="5"/>
  <c r="AB45" i="13"/>
  <c r="AD45" i="13" s="1"/>
  <c r="AL22" i="4"/>
  <c r="X23" i="4"/>
  <c r="Z23" i="4" s="1"/>
  <c r="P67" i="4"/>
  <c r="L18" i="13"/>
  <c r="R63" i="4"/>
  <c r="AR20" i="5"/>
  <c r="T65" i="4"/>
  <c r="AL21" i="5"/>
  <c r="R62" i="5"/>
  <c r="X64" i="1"/>
  <c r="Z64" i="1" s="1"/>
  <c r="F64" i="13"/>
  <c r="L64" i="13" s="1"/>
  <c r="R18" i="13" l="1"/>
  <c r="P18" i="13"/>
  <c r="Z18" i="13"/>
  <c r="V18" i="13"/>
  <c r="X18" i="13"/>
  <c r="T18" i="13"/>
  <c r="Z64" i="13"/>
  <c r="X64" i="13"/>
  <c r="V64" i="13"/>
  <c r="T64" i="13"/>
  <c r="R64" i="13"/>
  <c r="P64" i="13"/>
  <c r="AZ20" i="5"/>
  <c r="AT18" i="5"/>
  <c r="AH19" i="4"/>
  <c r="AL21" i="4"/>
  <c r="AL19" i="4"/>
  <c r="AF19" i="4"/>
  <c r="AZ21" i="5"/>
  <c r="AJ21" i="4"/>
  <c r="AZ19" i="5"/>
  <c r="AJ19" i="4"/>
  <c r="X65" i="4"/>
  <c r="Z65" i="4" s="1"/>
  <c r="AD62" i="5"/>
  <c r="AB63" i="13"/>
  <c r="AV18" i="5"/>
  <c r="L62" i="13"/>
  <c r="AN18" i="5"/>
  <c r="AF23" i="4"/>
  <c r="AB41" i="13"/>
  <c r="X67" i="4"/>
  <c r="Z67" i="4" s="1"/>
  <c r="AB20" i="13"/>
  <c r="AD20" i="13" s="1"/>
  <c r="AN22" i="4"/>
  <c r="R64" i="4"/>
  <c r="Z41" i="4"/>
  <c r="X63" i="4"/>
  <c r="Z63" i="4" s="1"/>
  <c r="AP18" i="5"/>
  <c r="AF18" i="5"/>
  <c r="P64" i="4"/>
  <c r="X20" i="4"/>
  <c r="Z20" i="4" s="1"/>
  <c r="AH23" i="4"/>
  <c r="AR18" i="5"/>
  <c r="AL23" i="4"/>
  <c r="V64" i="4"/>
  <c r="AJ23" i="4"/>
  <c r="AB67" i="13"/>
  <c r="AD67" i="13" s="1"/>
  <c r="AL18" i="5"/>
  <c r="AF21" i="4"/>
  <c r="Z21" i="4"/>
  <c r="T64" i="4"/>
  <c r="R62" i="13" l="1"/>
  <c r="P62" i="13"/>
  <c r="Z62" i="13"/>
  <c r="V62" i="13"/>
  <c r="X62" i="13"/>
  <c r="T62" i="13"/>
  <c r="AN19" i="4"/>
  <c r="AJ20" i="4"/>
  <c r="AL20" i="4"/>
  <c r="AF20" i="4"/>
  <c r="AN21" i="4"/>
  <c r="AB18" i="13"/>
  <c r="AH20" i="4"/>
  <c r="AN23" i="4"/>
  <c r="AB64" i="13"/>
  <c r="AD64" i="13" s="1"/>
  <c r="AF62" i="5"/>
  <c r="AZ18" i="5"/>
  <c r="X64" i="4"/>
  <c r="Z64" i="4" s="1"/>
  <c r="AN20" i="4" l="1"/>
  <c r="AD18" i="13"/>
  <c r="AB62" i="13"/>
  <c r="F44" i="5" l="1"/>
  <c r="T66" i="1"/>
  <c r="T53" i="1"/>
  <c r="AD62" i="13"/>
  <c r="F44" i="7" l="1"/>
  <c r="V66" i="1"/>
  <c r="V53" i="1"/>
  <c r="F44" i="4"/>
  <c r="R66" i="1"/>
  <c r="R53" i="1"/>
  <c r="F66" i="5"/>
  <c r="L44" i="5"/>
  <c r="F53" i="5"/>
  <c r="T44" i="5" l="1"/>
  <c r="P44" i="5"/>
  <c r="R44" i="5"/>
  <c r="AB44" i="5"/>
  <c r="Z44" i="5"/>
  <c r="X44" i="5"/>
  <c r="V44" i="5"/>
  <c r="X44" i="1"/>
  <c r="F44" i="13"/>
  <c r="P66" i="1"/>
  <c r="P53" i="1"/>
  <c r="L66" i="5"/>
  <c r="L44" i="4"/>
  <c r="F66" i="4"/>
  <c r="F53" i="4"/>
  <c r="F66" i="7"/>
  <c r="L44" i="7"/>
  <c r="F53" i="7"/>
  <c r="L53" i="5"/>
  <c r="AD44" i="7" l="1"/>
  <c r="AB44" i="7"/>
  <c r="Z44" i="7"/>
  <c r="AH44" i="7"/>
  <c r="X44" i="7"/>
  <c r="V44" i="7"/>
  <c r="AF44" i="7"/>
  <c r="T44" i="7"/>
  <c r="R44" i="7"/>
  <c r="P44" i="7"/>
  <c r="V44" i="4"/>
  <c r="T44" i="4"/>
  <c r="R44" i="4"/>
  <c r="P44" i="4"/>
  <c r="V66" i="5"/>
  <c r="V53" i="5"/>
  <c r="Z44" i="1"/>
  <c r="X53" i="1"/>
  <c r="Z53" i="1" s="1"/>
  <c r="L53" i="4"/>
  <c r="AB66" i="5"/>
  <c r="AB53" i="5"/>
  <c r="L53" i="7"/>
  <c r="T66" i="5"/>
  <c r="T53" i="5"/>
  <c r="L66" i="7"/>
  <c r="L44" i="13"/>
  <c r="F53" i="13"/>
  <c r="R66" i="5"/>
  <c r="R53" i="5"/>
  <c r="AD44" i="5"/>
  <c r="P66" i="5"/>
  <c r="P53" i="5"/>
  <c r="Z66" i="5"/>
  <c r="Z53" i="5"/>
  <c r="L66" i="4"/>
  <c r="X66" i="1"/>
  <c r="F66" i="13"/>
  <c r="X66" i="5"/>
  <c r="X53" i="5"/>
  <c r="Z44" i="13" l="1"/>
  <c r="X44" i="13"/>
  <c r="V44" i="13"/>
  <c r="T44" i="13"/>
  <c r="R44" i="13"/>
  <c r="P44" i="13"/>
  <c r="R66" i="7"/>
  <c r="AD66" i="5"/>
  <c r="F44" i="50"/>
  <c r="AF66" i="7"/>
  <c r="AJ44" i="7"/>
  <c r="AL44" i="7" s="1"/>
  <c r="P66" i="7"/>
  <c r="AD53" i="5"/>
  <c r="AF53" i="5" s="1"/>
  <c r="AF44" i="5"/>
  <c r="L53" i="13"/>
  <c r="V66" i="7"/>
  <c r="V66" i="4"/>
  <c r="V53" i="4"/>
  <c r="X66" i="7"/>
  <c r="R66" i="4"/>
  <c r="R53" i="4"/>
  <c r="T66" i="7"/>
  <c r="L66" i="13"/>
  <c r="AB66" i="7"/>
  <c r="AD66" i="7"/>
  <c r="T66" i="4"/>
  <c r="T53" i="4"/>
  <c r="Z66" i="1"/>
  <c r="AH66" i="7"/>
  <c r="Z66" i="7"/>
  <c r="X44" i="4"/>
  <c r="P66" i="4"/>
  <c r="P53" i="4"/>
  <c r="R66" i="13" l="1"/>
  <c r="P66" i="13"/>
  <c r="Z66" i="13"/>
  <c r="V66" i="13"/>
  <c r="X66" i="13"/>
  <c r="T66" i="13"/>
  <c r="V53" i="13"/>
  <c r="L44" i="50"/>
  <c r="F66" i="50"/>
  <c r="AJ66" i="7"/>
  <c r="AL66" i="7" s="1"/>
  <c r="R53" i="13"/>
  <c r="AF66" i="5"/>
  <c r="Z53" i="13"/>
  <c r="X66" i="4"/>
  <c r="AB44" i="13"/>
  <c r="P53" i="13"/>
  <c r="X53" i="4"/>
  <c r="Z53" i="4" s="1"/>
  <c r="Z44" i="4"/>
  <c r="X53" i="13"/>
  <c r="T53" i="13"/>
  <c r="H160" i="1"/>
  <c r="AB53" i="13" l="1"/>
  <c r="AD53" i="13" s="1"/>
  <c r="AD44" i="13"/>
  <c r="AB66" i="13"/>
  <c r="T44" i="50"/>
  <c r="R44" i="50"/>
  <c r="V44" i="50"/>
  <c r="V66" i="50" s="1"/>
  <c r="P44" i="50"/>
  <c r="Z66" i="4"/>
  <c r="L66" i="50"/>
  <c r="D45" i="12"/>
  <c r="F46" i="12" l="1"/>
  <c r="P52" i="7" s="1"/>
  <c r="L46" i="12"/>
  <c r="V52" i="7" s="1"/>
  <c r="X46" i="12"/>
  <c r="AH52" i="7" s="1"/>
  <c r="P46" i="12"/>
  <c r="Z52" i="7" s="1"/>
  <c r="R46" i="12"/>
  <c r="AB52" i="7" s="1"/>
  <c r="V46" i="12"/>
  <c r="AF52" i="7" s="1"/>
  <c r="T46" i="12"/>
  <c r="AD52" i="7" s="1"/>
  <c r="N46" i="12"/>
  <c r="X52" i="7" s="1"/>
  <c r="J46" i="12"/>
  <c r="T52" i="7" s="1"/>
  <c r="H46" i="12"/>
  <c r="R52" i="7" s="1"/>
  <c r="X44" i="50"/>
  <c r="P66" i="50"/>
  <c r="R66" i="50"/>
  <c r="AD66" i="13"/>
  <c r="T66" i="50"/>
  <c r="Z44" i="50" l="1"/>
  <c r="D46" i="12"/>
  <c r="X66" i="50"/>
  <c r="Z66" i="50" l="1"/>
  <c r="AJ52" i="7"/>
  <c r="AL52" i="7" s="1"/>
  <c r="F52" i="50"/>
  <c r="L52" i="50" l="1"/>
  <c r="P52" i="50" l="1"/>
  <c r="T52" i="50"/>
  <c r="V52" i="50"/>
  <c r="R52" i="50"/>
  <c r="F74" i="1"/>
  <c r="F31" i="1"/>
  <c r="F35" i="1" s="1"/>
  <c r="L30" i="1"/>
  <c r="T30" i="1" l="1"/>
  <c r="P30" i="1"/>
  <c r="R30" i="1"/>
  <c r="V30" i="1"/>
  <c r="L31" i="1"/>
  <c r="L35" i="1" s="1"/>
  <c r="L74" i="1"/>
  <c r="L75" i="1" s="1"/>
  <c r="L79" i="1" s="1"/>
  <c r="L92" i="1" s="1"/>
  <c r="F75" i="1"/>
  <c r="F79" i="1" s="1"/>
  <c r="F92" i="1" s="1"/>
  <c r="AO31" i="7"/>
  <c r="X52" i="50"/>
  <c r="V74" i="1" l="1"/>
  <c r="F30" i="7"/>
  <c r="V31" i="1"/>
  <c r="F30" i="13"/>
  <c r="X30" i="1"/>
  <c r="P74" i="1"/>
  <c r="F30" i="4"/>
  <c r="R74" i="1"/>
  <c r="F30" i="5"/>
  <c r="T74" i="1"/>
  <c r="T31" i="1"/>
  <c r="Z52" i="50"/>
  <c r="F74" i="5" l="1"/>
  <c r="T75" i="1"/>
  <c r="X74" i="1"/>
  <c r="F74" i="13"/>
  <c r="L30" i="5"/>
  <c r="F31" i="5"/>
  <c r="Z30" i="1"/>
  <c r="L30" i="13"/>
  <c r="L30" i="7"/>
  <c r="F31" i="7"/>
  <c r="F74" i="4"/>
  <c r="L30" i="4"/>
  <c r="F74" i="7"/>
  <c r="V75" i="1"/>
  <c r="T30" i="7" l="1"/>
  <c r="AF30" i="7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V30" i="4"/>
  <c r="T30" i="4"/>
  <c r="R30" i="4"/>
  <c r="P30" i="4"/>
  <c r="R30" i="13"/>
  <c r="P30" i="13"/>
  <c r="Z30" i="13"/>
  <c r="V30" i="13"/>
  <c r="X30" i="13"/>
  <c r="T30" i="13"/>
  <c r="L31" i="5"/>
  <c r="L74" i="13"/>
  <c r="Z74" i="1"/>
  <c r="L74" i="7"/>
  <c r="L75" i="7" s="1"/>
  <c r="F75" i="7"/>
  <c r="L74" i="5"/>
  <c r="L75" i="5" s="1"/>
  <c r="F75" i="5"/>
  <c r="F103" i="4"/>
  <c r="L103" i="4" s="1"/>
  <c r="L74" i="4"/>
  <c r="L31" i="7"/>
  <c r="R74" i="13" l="1"/>
  <c r="P74" i="13"/>
  <c r="Z74" i="13"/>
  <c r="V74" i="13"/>
  <c r="T74" i="13"/>
  <c r="X74" i="13"/>
  <c r="AD74" i="7"/>
  <c r="X30" i="4"/>
  <c r="AF30" i="4" s="1"/>
  <c r="P74" i="4"/>
  <c r="AH74" i="7"/>
  <c r="V74" i="4"/>
  <c r="T74" i="5"/>
  <c r="AB74" i="7"/>
  <c r="R74" i="4"/>
  <c r="R74" i="5"/>
  <c r="Z74" i="5"/>
  <c r="D31" i="11"/>
  <c r="F32" i="11" s="1"/>
  <c r="V74" i="7"/>
  <c r="T74" i="4"/>
  <c r="AD30" i="5"/>
  <c r="AV30" i="5" s="1"/>
  <c r="P74" i="5"/>
  <c r="AF74" i="7"/>
  <c r="F30" i="50"/>
  <c r="X74" i="7"/>
  <c r="F103" i="5"/>
  <c r="L103" i="5" s="1"/>
  <c r="F103" i="7"/>
  <c r="L103" i="7" s="1"/>
  <c r="AB74" i="5"/>
  <c r="AJ30" i="7"/>
  <c r="AL30" i="7" s="1"/>
  <c r="P74" i="7"/>
  <c r="AB30" i="13"/>
  <c r="T74" i="7"/>
  <c r="X74" i="5"/>
  <c r="Z74" i="7"/>
  <c r="R74" i="7"/>
  <c r="V74" i="5"/>
  <c r="AJ30" i="4" l="1"/>
  <c r="AT30" i="5"/>
  <c r="AL30" i="5"/>
  <c r="AX30" i="5"/>
  <c r="AR30" i="5"/>
  <c r="AP30" i="5"/>
  <c r="AT30" i="7"/>
  <c r="AZ30" i="7"/>
  <c r="AL30" i="4"/>
  <c r="Z30" i="4"/>
  <c r="F74" i="50"/>
  <c r="X74" i="4"/>
  <c r="AB74" i="13"/>
  <c r="R32" i="11"/>
  <c r="L32" i="11"/>
  <c r="P32" i="11"/>
  <c r="J32" i="11"/>
  <c r="H32" i="11"/>
  <c r="N32" i="11"/>
  <c r="AN30" i="5"/>
  <c r="BJ30" i="7"/>
  <c r="BD30" i="7"/>
  <c r="BF30" i="7"/>
  <c r="AD30" i="13"/>
  <c r="BB30" i="7"/>
  <c r="AV30" i="7"/>
  <c r="BH30" i="7"/>
  <c r="AD74" i="5"/>
  <c r="AR30" i="7"/>
  <c r="AJ74" i="7"/>
  <c r="AL74" i="7" s="1"/>
  <c r="AX30" i="7"/>
  <c r="L102" i="1"/>
  <c r="F104" i="1"/>
  <c r="L30" i="50"/>
  <c r="AF30" i="5"/>
  <c r="AH30" i="4"/>
  <c r="L104" i="1" l="1"/>
  <c r="P102" i="1"/>
  <c r="T102" i="1"/>
  <c r="V102" i="1"/>
  <c r="R102" i="1"/>
  <c r="AZ30" i="5"/>
  <c r="AF74" i="5"/>
  <c r="Z74" i="4"/>
  <c r="L74" i="50"/>
  <c r="AD74" i="13"/>
  <c r="AN30" i="4"/>
  <c r="V30" i="50"/>
  <c r="P30" i="50"/>
  <c r="R30" i="50"/>
  <c r="T30" i="50"/>
  <c r="D32" i="11"/>
  <c r="X103" i="1"/>
  <c r="Z103" i="1" s="1"/>
  <c r="F103" i="13"/>
  <c r="BL30" i="7"/>
  <c r="L103" i="13" l="1"/>
  <c r="R103" i="13" s="1"/>
  <c r="X102" i="1"/>
  <c r="F102" i="13"/>
  <c r="P104" i="1"/>
  <c r="V74" i="50"/>
  <c r="T74" i="50"/>
  <c r="F102" i="4"/>
  <c r="L102" i="4" s="1"/>
  <c r="R104" i="1"/>
  <c r="R74" i="50"/>
  <c r="F102" i="7"/>
  <c r="V104" i="1"/>
  <c r="F102" i="5"/>
  <c r="T104" i="1"/>
  <c r="P74" i="50"/>
  <c r="X30" i="50"/>
  <c r="T103" i="13" l="1"/>
  <c r="X103" i="13"/>
  <c r="Z103" i="13"/>
  <c r="V103" i="13"/>
  <c r="P103" i="13"/>
  <c r="F104" i="4"/>
  <c r="L104" i="4" s="1"/>
  <c r="L102" i="5"/>
  <c r="F104" i="5"/>
  <c r="Z30" i="50"/>
  <c r="F104" i="7"/>
  <c r="L102" i="7"/>
  <c r="X74" i="50"/>
  <c r="X104" i="1"/>
  <c r="Z104" i="1" s="1"/>
  <c r="Z102" i="1"/>
  <c r="L102" i="13"/>
  <c r="F104" i="13"/>
  <c r="AB103" i="13" l="1"/>
  <c r="AD103" i="13" s="1"/>
  <c r="Z102" i="5"/>
  <c r="X102" i="5"/>
  <c r="V102" i="5"/>
  <c r="R102" i="5"/>
  <c r="P102" i="5"/>
  <c r="AB102" i="5"/>
  <c r="T102" i="5"/>
  <c r="Z102" i="13"/>
  <c r="X102" i="13"/>
  <c r="V102" i="13"/>
  <c r="R102" i="13"/>
  <c r="P102" i="13"/>
  <c r="T102" i="13"/>
  <c r="L104" i="7"/>
  <c r="Z74" i="50"/>
  <c r="L104" i="5"/>
  <c r="L104" i="13"/>
  <c r="Z104" i="13" l="1"/>
  <c r="V104" i="13"/>
  <c r="R104" i="13"/>
  <c r="X104" i="13"/>
  <c r="AD102" i="5"/>
  <c r="AF102" i="5" s="1"/>
  <c r="P104" i="13"/>
  <c r="AB102" i="13"/>
  <c r="AD102" i="13" s="1"/>
  <c r="T104" i="13"/>
  <c r="AB104" i="13" l="1"/>
  <c r="AD104" i="13" s="1"/>
  <c r="AJ52" i="16" l="1"/>
  <c r="Z52" i="16" l="1"/>
  <c r="AF52" i="16"/>
  <c r="Z49" i="16"/>
  <c r="AH52" i="16"/>
  <c r="AN52" i="16"/>
  <c r="AM52" i="16"/>
  <c r="AO52" i="16"/>
  <c r="AQ52" i="16"/>
  <c r="AR52" i="16"/>
  <c r="AS52" i="16"/>
  <c r="AT52" i="16"/>
  <c r="H52" i="16"/>
  <c r="AP52" i="16"/>
  <c r="AU52" i="16"/>
  <c r="AI52" i="16"/>
  <c r="AK52" i="16"/>
  <c r="N52" i="16"/>
  <c r="AE52" i="16"/>
  <c r="V52" i="16"/>
  <c r="O52" i="16"/>
  <c r="AC52" i="16"/>
  <c r="P52" i="16"/>
  <c r="L52" i="16"/>
  <c r="J52" i="16"/>
  <c r="K52" i="16"/>
  <c r="I52" i="16"/>
  <c r="M52" i="16"/>
  <c r="Q52" i="16"/>
  <c r="AG52" i="16"/>
  <c r="AA52" i="16"/>
  <c r="G52" i="16"/>
  <c r="F52" i="16"/>
  <c r="Y52" i="16"/>
  <c r="X52" i="16"/>
  <c r="S52" i="16"/>
  <c r="T52" i="16"/>
  <c r="R52" i="16"/>
  <c r="W52" i="16"/>
  <c r="U52" i="16"/>
  <c r="AL52" i="16"/>
  <c r="AD52" i="16"/>
  <c r="AB52" i="16"/>
  <c r="AH49" i="16" l="1"/>
  <c r="AU49" i="16"/>
  <c r="AT49" i="16"/>
  <c r="AP49" i="16"/>
  <c r="AM49" i="16"/>
  <c r="AO49" i="16"/>
  <c r="AS49" i="16"/>
  <c r="AQ49" i="16"/>
  <c r="AN49" i="16"/>
  <c r="AR49" i="16"/>
  <c r="H49" i="16"/>
  <c r="O49" i="16"/>
  <c r="L49" i="16"/>
  <c r="AA49" i="16"/>
  <c r="AK49" i="16"/>
  <c r="AI49" i="16"/>
  <c r="AC49" i="16"/>
  <c r="R49" i="16"/>
  <c r="V49" i="16"/>
  <c r="N49" i="16"/>
  <c r="P49" i="16"/>
  <c r="AE49" i="16"/>
  <c r="Q49" i="16"/>
  <c r="AG49" i="16"/>
  <c r="I49" i="16"/>
  <c r="M49" i="16"/>
  <c r="K49" i="16"/>
  <c r="J49" i="16"/>
  <c r="G49" i="16"/>
  <c r="F49" i="16"/>
  <c r="Y49" i="16"/>
  <c r="X49" i="16"/>
  <c r="S49" i="16"/>
  <c r="T49" i="16"/>
  <c r="W49" i="16"/>
  <c r="U49" i="16"/>
  <c r="AB49" i="16"/>
  <c r="AD49" i="16"/>
  <c r="AL49" i="16"/>
  <c r="AF49" i="16"/>
  <c r="AJ49" i="16"/>
  <c r="D52" i="16"/>
  <c r="D49" i="16" l="1"/>
  <c r="D84" i="16" l="1"/>
  <c r="Y85" i="16" l="1"/>
  <c r="AP85" i="16"/>
  <c r="AO85" i="16"/>
  <c r="AR85" i="16"/>
  <c r="AU85" i="16"/>
  <c r="AQ85" i="16"/>
  <c r="AT85" i="16"/>
  <c r="AS85" i="16"/>
  <c r="AN85" i="16"/>
  <c r="AM85" i="16"/>
  <c r="AC85" i="16"/>
  <c r="AK85" i="16"/>
  <c r="N85" i="16"/>
  <c r="AL85" i="16"/>
  <c r="AI85" i="16"/>
  <c r="I85" i="16"/>
  <c r="M85" i="16"/>
  <c r="O85" i="16"/>
  <c r="U85" i="16"/>
  <c r="Q85" i="16"/>
  <c r="R85" i="16"/>
  <c r="H85" i="16"/>
  <c r="AB85" i="16"/>
  <c r="AJ85" i="16"/>
  <c r="F85" i="16"/>
  <c r="X85" i="16"/>
  <c r="K85" i="16"/>
  <c r="G85" i="16"/>
  <c r="V85" i="16"/>
  <c r="J85" i="16"/>
  <c r="AG85" i="16"/>
  <c r="AD85" i="16"/>
  <c r="L85" i="16"/>
  <c r="P85" i="16"/>
  <c r="W85" i="16"/>
  <c r="AF85" i="16"/>
  <c r="T85" i="16"/>
  <c r="AE85" i="16"/>
  <c r="D12" i="16"/>
  <c r="AE13" i="16" s="1"/>
  <c r="Z85" i="16"/>
  <c r="AH85" i="16"/>
  <c r="S85" i="16"/>
  <c r="AA85" i="16"/>
  <c r="I13" i="16" l="1"/>
  <c r="S13" i="16"/>
  <c r="Y13" i="16"/>
  <c r="G13" i="16"/>
  <c r="AG13" i="16"/>
  <c r="Z13" i="16"/>
  <c r="AB13" i="16"/>
  <c r="AC13" i="16"/>
  <c r="W13" i="16"/>
  <c r="N13" i="16"/>
  <c r="F13" i="16"/>
  <c r="K13" i="16"/>
  <c r="L13" i="16"/>
  <c r="AF13" i="16"/>
  <c r="AO13" i="16"/>
  <c r="AM13" i="16"/>
  <c r="AQ13" i="16"/>
  <c r="AS13" i="16"/>
  <c r="AU13" i="16"/>
  <c r="AT13" i="16"/>
  <c r="AN13" i="16"/>
  <c r="R13" i="16"/>
  <c r="AR13" i="16"/>
  <c r="AK13" i="16"/>
  <c r="AI13" i="16"/>
  <c r="AH13" i="16"/>
  <c r="AP13" i="16"/>
  <c r="AJ13" i="16"/>
  <c r="AL13" i="16"/>
  <c r="H13" i="16"/>
  <c r="T13" i="16"/>
  <c r="AD13" i="16"/>
  <c r="AA13" i="16"/>
  <c r="P13" i="16"/>
  <c r="X13" i="16"/>
  <c r="M13" i="16"/>
  <c r="V13" i="16"/>
  <c r="U13" i="16"/>
  <c r="O13" i="16"/>
  <c r="Q13" i="16"/>
  <c r="J13" i="16"/>
  <c r="D85" i="16"/>
  <c r="D13" i="16" l="1"/>
  <c r="D81" i="16" l="1"/>
  <c r="W82" i="16" s="1"/>
  <c r="D63" i="16"/>
  <c r="R64" i="16" l="1"/>
  <c r="AR64" i="16"/>
  <c r="AS64" i="16"/>
  <c r="AG64" i="16"/>
  <c r="Q64" i="16"/>
  <c r="AU64" i="16"/>
  <c r="P64" i="16"/>
  <c r="AP64" i="16"/>
  <c r="AQ64" i="16"/>
  <c r="AT64" i="16"/>
  <c r="AO64" i="16"/>
  <c r="AN64" i="16"/>
  <c r="AM64" i="16"/>
  <c r="AL64" i="16"/>
  <c r="AF64" i="16"/>
  <c r="H64" i="16"/>
  <c r="F64" i="16"/>
  <c r="G64" i="16"/>
  <c r="T64" i="16"/>
  <c r="X64" i="16"/>
  <c r="Y64" i="16"/>
  <c r="O64" i="16"/>
  <c r="L64" i="16"/>
  <c r="N64" i="16"/>
  <c r="I64" i="16"/>
  <c r="K64" i="16"/>
  <c r="J64" i="16"/>
  <c r="M64" i="16"/>
  <c r="AC64" i="16"/>
  <c r="AB64" i="16"/>
  <c r="AA64" i="16"/>
  <c r="Z64" i="16"/>
  <c r="AK64" i="16"/>
  <c r="AJ64" i="16"/>
  <c r="AH64" i="16"/>
  <c r="AI64" i="16"/>
  <c r="AE64" i="16"/>
  <c r="AD64" i="16"/>
  <c r="S64" i="16"/>
  <c r="U64" i="16"/>
  <c r="V64" i="16"/>
  <c r="W64" i="16"/>
  <c r="AU82" i="16"/>
  <c r="L82" i="16"/>
  <c r="AM82" i="16"/>
  <c r="AA82" i="16"/>
  <c r="Q82" i="16"/>
  <c r="AP82" i="16"/>
  <c r="AG82" i="16"/>
  <c r="F82" i="16"/>
  <c r="AQ82" i="16"/>
  <c r="AT82" i="16"/>
  <c r="AI82" i="16"/>
  <c r="AK82" i="16"/>
  <c r="R82" i="16"/>
  <c r="H82" i="16"/>
  <c r="AO82" i="16"/>
  <c r="AN82" i="16"/>
  <c r="AR82" i="16"/>
  <c r="P82" i="16"/>
  <c r="AS82" i="16"/>
  <c r="AL82" i="16"/>
  <c r="AH82" i="16"/>
  <c r="AF82" i="16"/>
  <c r="AJ82" i="16"/>
  <c r="Z82" i="16"/>
  <c r="J82" i="16"/>
  <c r="K82" i="16"/>
  <c r="G82" i="16"/>
  <c r="O82" i="16"/>
  <c r="M82" i="16"/>
  <c r="I82" i="16"/>
  <c r="N82" i="16"/>
  <c r="AC82" i="16"/>
  <c r="AB82" i="16"/>
  <c r="AE82" i="16"/>
  <c r="AD82" i="16"/>
  <c r="X82" i="16"/>
  <c r="Y82" i="16"/>
  <c r="S82" i="16"/>
  <c r="T82" i="16"/>
  <c r="U82" i="16"/>
  <c r="V82" i="16"/>
  <c r="D82" i="16" l="1"/>
  <c r="D64" i="16"/>
  <c r="D24" i="16" l="1"/>
  <c r="M25" i="16" s="1"/>
  <c r="D54" i="16"/>
  <c r="AC55" i="16" s="1"/>
  <c r="D57" i="16"/>
  <c r="AD55" i="16" l="1"/>
  <c r="W55" i="16"/>
  <c r="J25" i="16"/>
  <c r="L25" i="16"/>
  <c r="O25" i="16"/>
  <c r="Q55" i="16"/>
  <c r="S55" i="16"/>
  <c r="J55" i="16"/>
  <c r="T25" i="16"/>
  <c r="AB25" i="16"/>
  <c r="I25" i="16"/>
  <c r="U25" i="16"/>
  <c r="Q25" i="16"/>
  <c r="P25" i="16"/>
  <c r="Y25" i="16"/>
  <c r="X55" i="16"/>
  <c r="AF25" i="16"/>
  <c r="K55" i="16"/>
  <c r="AG55" i="16"/>
  <c r="Y55" i="16"/>
  <c r="Z25" i="16"/>
  <c r="AD25" i="16"/>
  <c r="I55" i="16"/>
  <c r="AE25" i="16"/>
  <c r="W25" i="16"/>
  <c r="P55" i="16"/>
  <c r="AE55" i="16"/>
  <c r="H25" i="16"/>
  <c r="AC25" i="16"/>
  <c r="F58" i="16"/>
  <c r="AL58" i="16"/>
  <c r="AN58" i="16"/>
  <c r="AJ58" i="16"/>
  <c r="AT58" i="16"/>
  <c r="AQ58" i="16"/>
  <c r="AH58" i="16"/>
  <c r="AP58" i="16"/>
  <c r="AM58" i="16"/>
  <c r="AK58" i="16"/>
  <c r="AU58" i="16"/>
  <c r="AR58" i="16"/>
  <c r="AI58" i="16"/>
  <c r="AS58" i="16"/>
  <c r="AO58" i="16"/>
  <c r="R58" i="16"/>
  <c r="T58" i="16"/>
  <c r="L58" i="16"/>
  <c r="AA58" i="16"/>
  <c r="W58" i="16"/>
  <c r="G58" i="16"/>
  <c r="P58" i="16"/>
  <c r="AD58" i="16"/>
  <c r="AC58" i="16"/>
  <c r="K58" i="16"/>
  <c r="H58" i="16"/>
  <c r="Q58" i="16"/>
  <c r="AF58" i="16"/>
  <c r="AG58" i="16"/>
  <c r="I58" i="16"/>
  <c r="N58" i="16"/>
  <c r="J58" i="16"/>
  <c r="Y58" i="16"/>
  <c r="Z58" i="16"/>
  <c r="S58" i="16"/>
  <c r="U58" i="16"/>
  <c r="V58" i="16"/>
  <c r="M58" i="16"/>
  <c r="X58" i="16"/>
  <c r="AE58" i="16"/>
  <c r="AB58" i="16"/>
  <c r="O58" i="16"/>
  <c r="V55" i="16"/>
  <c r="AG25" i="16"/>
  <c r="M55" i="16"/>
  <c r="G25" i="16"/>
  <c r="X25" i="16"/>
  <c r="F55" i="16"/>
  <c r="AQ55" i="16"/>
  <c r="AT55" i="16"/>
  <c r="AU55" i="16"/>
  <c r="AO55" i="16"/>
  <c r="AM55" i="16"/>
  <c r="AS55" i="16"/>
  <c r="AN55" i="16"/>
  <c r="AP55" i="16"/>
  <c r="AR55" i="16"/>
  <c r="AK55" i="16"/>
  <c r="AL55" i="16"/>
  <c r="AI55" i="16"/>
  <c r="AJ55" i="16"/>
  <c r="AH55" i="16"/>
  <c r="R55" i="16"/>
  <c r="D75" i="16"/>
  <c r="F76" i="16" s="1"/>
  <c r="H55" i="16"/>
  <c r="AF55" i="16"/>
  <c r="AB55" i="16"/>
  <c r="AA25" i="16"/>
  <c r="Z55" i="16"/>
  <c r="K25" i="16"/>
  <c r="O55" i="16"/>
  <c r="V25" i="16"/>
  <c r="L55" i="16"/>
  <c r="N55" i="16"/>
  <c r="T55" i="16"/>
  <c r="F25" i="16"/>
  <c r="AN25" i="16"/>
  <c r="AQ25" i="16"/>
  <c r="AP25" i="16"/>
  <c r="AR25" i="16"/>
  <c r="AT25" i="16"/>
  <c r="AM25" i="16"/>
  <c r="AS25" i="16"/>
  <c r="AU25" i="16"/>
  <c r="AO25" i="16"/>
  <c r="AL25" i="16"/>
  <c r="AJ25" i="16"/>
  <c r="AH25" i="16"/>
  <c r="AI25" i="16"/>
  <c r="AK25" i="16"/>
  <c r="R25" i="16"/>
  <c r="G55" i="16"/>
  <c r="S25" i="16"/>
  <c r="N25" i="16"/>
  <c r="U55" i="16"/>
  <c r="AA55" i="16"/>
  <c r="D58" i="16" l="1"/>
  <c r="D25" i="16"/>
  <c r="D66" i="16"/>
  <c r="AR76" i="16"/>
  <c r="AM76" i="16"/>
  <c r="AP76" i="16"/>
  <c r="AT76" i="16"/>
  <c r="AN76" i="16"/>
  <c r="AO76" i="16"/>
  <c r="AU76" i="16"/>
  <c r="AS76" i="16"/>
  <c r="AQ76" i="16"/>
  <c r="AK76" i="16"/>
  <c r="AJ76" i="16"/>
  <c r="AL76" i="16"/>
  <c r="AI76" i="16"/>
  <c r="AH76" i="16"/>
  <c r="R76" i="16"/>
  <c r="O76" i="16"/>
  <c r="X76" i="16"/>
  <c r="Q76" i="16"/>
  <c r="V76" i="16"/>
  <c r="G76" i="16"/>
  <c r="N76" i="16"/>
  <c r="S76" i="16"/>
  <c r="AB76" i="16"/>
  <c r="L76" i="16"/>
  <c r="J76" i="16"/>
  <c r="AE76" i="16"/>
  <c r="K76" i="16"/>
  <c r="T76" i="16"/>
  <c r="W76" i="16"/>
  <c r="Y76" i="16"/>
  <c r="P76" i="16"/>
  <c r="AG76" i="16"/>
  <c r="M76" i="16"/>
  <c r="AC76" i="16"/>
  <c r="I76" i="16"/>
  <c r="H76" i="16"/>
  <c r="AD76" i="16"/>
  <c r="AF76" i="16"/>
  <c r="AA76" i="16"/>
  <c r="U76" i="16"/>
  <c r="Z76" i="16"/>
  <c r="D55" i="16"/>
  <c r="D76" i="16" l="1"/>
  <c r="AR67" i="16"/>
  <c r="AO67" i="16"/>
  <c r="AP67" i="16"/>
  <c r="AN67" i="16"/>
  <c r="AK67" i="16"/>
  <c r="AU67" i="16"/>
  <c r="AI67" i="16"/>
  <c r="AM67" i="16"/>
  <c r="AS67" i="16"/>
  <c r="AQ67" i="16"/>
  <c r="AT67" i="16"/>
  <c r="L67" i="16"/>
  <c r="Q67" i="16"/>
  <c r="H67" i="16"/>
  <c r="G67" i="16"/>
  <c r="F67" i="16"/>
  <c r="S67" i="16"/>
  <c r="AG67" i="16"/>
  <c r="Y67" i="16"/>
  <c r="X67" i="16"/>
  <c r="T67" i="16"/>
  <c r="I67" i="16"/>
  <c r="O67" i="16"/>
  <c r="K67" i="16"/>
  <c r="J67" i="16"/>
  <c r="M67" i="16"/>
  <c r="P67" i="16"/>
  <c r="N67" i="16"/>
  <c r="AE67" i="16"/>
  <c r="AC67" i="16"/>
  <c r="AA67" i="16"/>
  <c r="V67" i="16"/>
  <c r="R67" i="16"/>
  <c r="W67" i="16"/>
  <c r="AL67" i="16"/>
  <c r="AJ67" i="16"/>
  <c r="AH67" i="16"/>
  <c r="AD67" i="16"/>
  <c r="AB67" i="16"/>
  <c r="AF67" i="16"/>
  <c r="Z67" i="16"/>
  <c r="U67" i="16"/>
  <c r="D67" i="16" l="1"/>
  <c r="AK61" i="16" l="1"/>
  <c r="AI61" i="16" l="1"/>
  <c r="AQ61" i="16"/>
  <c r="AM61" i="16"/>
  <c r="AO61" i="16"/>
  <c r="H61" i="16"/>
  <c r="AS61" i="16"/>
  <c r="AT61" i="16"/>
  <c r="AU61" i="16"/>
  <c r="AN61" i="16"/>
  <c r="AP61" i="16"/>
  <c r="AR61" i="16"/>
  <c r="L61" i="16"/>
  <c r="R61" i="16"/>
  <c r="P61" i="16"/>
  <c r="Q61" i="16"/>
  <c r="AG61" i="16"/>
  <c r="I61" i="16"/>
  <c r="K61" i="16"/>
  <c r="M61" i="16"/>
  <c r="J61" i="16"/>
  <c r="G61" i="16"/>
  <c r="F61" i="16"/>
  <c r="Y61" i="16"/>
  <c r="X61" i="16"/>
  <c r="S61" i="16"/>
  <c r="T61" i="16"/>
  <c r="W61" i="16"/>
  <c r="U61" i="16"/>
  <c r="AB61" i="16"/>
  <c r="Z61" i="16"/>
  <c r="AD61" i="16"/>
  <c r="AL61" i="16"/>
  <c r="AH61" i="16"/>
  <c r="AJ61" i="16"/>
  <c r="AF61" i="16"/>
  <c r="O61" i="16"/>
  <c r="AE61" i="16"/>
  <c r="AA61" i="16"/>
  <c r="V61" i="16"/>
  <c r="AC61" i="16"/>
  <c r="N61" i="16"/>
  <c r="D61" i="16" l="1"/>
  <c r="W30" i="16" l="1"/>
  <c r="D93" i="16"/>
  <c r="W94" i="16" l="1"/>
  <c r="AU94" i="16"/>
  <c r="AR94" i="16"/>
  <c r="AP94" i="16"/>
  <c r="AS94" i="16"/>
  <c r="AN94" i="16"/>
  <c r="AT94" i="16"/>
  <c r="AM94" i="16"/>
  <c r="AO94" i="16"/>
  <c r="AQ94" i="16"/>
  <c r="R94" i="16"/>
  <c r="AA94" i="16"/>
  <c r="AG94" i="16"/>
  <c r="H94" i="16"/>
  <c r="AL94" i="16"/>
  <c r="F94" i="16"/>
  <c r="G94" i="16"/>
  <c r="Q94" i="16"/>
  <c r="X94" i="16"/>
  <c r="T94" i="16"/>
  <c r="Y94" i="16"/>
  <c r="AB94" i="16"/>
  <c r="I94" i="16"/>
  <c r="O94" i="16"/>
  <c r="N94" i="16"/>
  <c r="L94" i="16"/>
  <c r="V94" i="16"/>
  <c r="M94" i="16"/>
  <c r="J94" i="16"/>
  <c r="K94" i="16"/>
  <c r="P94" i="16"/>
  <c r="AC94" i="16"/>
  <c r="AJ94" i="16"/>
  <c r="AH94" i="16"/>
  <c r="AF94" i="16"/>
  <c r="Z94" i="16"/>
  <c r="U94" i="16"/>
  <c r="S94" i="16"/>
  <c r="AK94" i="16"/>
  <c r="AE94" i="16"/>
  <c r="AI94" i="16"/>
  <c r="AD94" i="16"/>
  <c r="D30" i="16"/>
  <c r="W31" i="16" s="1"/>
  <c r="D94" i="16" l="1"/>
  <c r="AP31" i="16"/>
  <c r="AO31" i="16"/>
  <c r="S31" i="16"/>
  <c r="AM31" i="16"/>
  <c r="AT31" i="16"/>
  <c r="X31" i="16"/>
  <c r="AR31" i="16"/>
  <c r="T31" i="16"/>
  <c r="AU31" i="16"/>
  <c r="AN31" i="16"/>
  <c r="R31" i="16"/>
  <c r="AS31" i="16"/>
  <c r="Y31" i="16"/>
  <c r="G31" i="16"/>
  <c r="F31" i="16"/>
  <c r="AQ31" i="16"/>
  <c r="AL31" i="16"/>
  <c r="AA31" i="16"/>
  <c r="AG31" i="16"/>
  <c r="H31" i="16"/>
  <c r="Q31" i="16"/>
  <c r="AB31" i="16"/>
  <c r="L31" i="16"/>
  <c r="I31" i="16"/>
  <c r="N31" i="16"/>
  <c r="V31" i="16"/>
  <c r="O31" i="16"/>
  <c r="K31" i="16"/>
  <c r="J31" i="16"/>
  <c r="M31" i="16"/>
  <c r="P31" i="16"/>
  <c r="AC31" i="16"/>
  <c r="AJ31" i="16"/>
  <c r="AH31" i="16"/>
  <c r="AF31" i="16"/>
  <c r="Z31" i="16"/>
  <c r="U31" i="16"/>
  <c r="AK31" i="16"/>
  <c r="AI31" i="16"/>
  <c r="AE31" i="16"/>
  <c r="AD31" i="16"/>
  <c r="D31" i="16" l="1"/>
  <c r="L131" i="1" l="1"/>
  <c r="L136" i="1"/>
  <c r="L152" i="1"/>
  <c r="L155" i="1"/>
  <c r="L142" i="1"/>
  <c r="R152" i="1" l="1"/>
  <c r="F152" i="4" s="1"/>
  <c r="L152" i="4" s="1"/>
  <c r="T152" i="1"/>
  <c r="F152" i="5" s="1"/>
  <c r="L152" i="5" s="1"/>
  <c r="P152" i="1"/>
  <c r="V152" i="1"/>
  <c r="F152" i="7" s="1"/>
  <c r="L152" i="7" s="1"/>
  <c r="P136" i="1"/>
  <c r="R136" i="1"/>
  <c r="F136" i="4" s="1"/>
  <c r="L136" i="4" s="1"/>
  <c r="T136" i="1"/>
  <c r="F136" i="5" s="1"/>
  <c r="L136" i="5" s="1"/>
  <c r="V136" i="1"/>
  <c r="F136" i="7" s="1"/>
  <c r="L136" i="7" s="1"/>
  <c r="R142" i="1"/>
  <c r="F142" i="4" s="1"/>
  <c r="L142" i="4" s="1"/>
  <c r="T142" i="1"/>
  <c r="F142" i="5" s="1"/>
  <c r="L142" i="5" s="1"/>
  <c r="P142" i="1"/>
  <c r="V142" i="1"/>
  <c r="F142" i="7" s="1"/>
  <c r="L142" i="7" s="1"/>
  <c r="R155" i="1"/>
  <c r="F155" i="4" s="1"/>
  <c r="L155" i="4" s="1"/>
  <c r="T155" i="1"/>
  <c r="F155" i="5" s="1"/>
  <c r="L155" i="5" s="1"/>
  <c r="P155" i="1"/>
  <c r="V155" i="1"/>
  <c r="F155" i="7" s="1"/>
  <c r="L155" i="7" s="1"/>
  <c r="P131" i="1"/>
  <c r="R131" i="1"/>
  <c r="F131" i="4" s="1"/>
  <c r="L131" i="4" s="1"/>
  <c r="T131" i="1"/>
  <c r="F131" i="5" s="1"/>
  <c r="L131" i="5" s="1"/>
  <c r="V131" i="1"/>
  <c r="F131" i="7" s="1"/>
  <c r="L131" i="7" s="1"/>
  <c r="AD157" i="1"/>
  <c r="L151" i="1"/>
  <c r="AD155" i="1"/>
  <c r="L134" i="1"/>
  <c r="L127" i="1"/>
  <c r="L135" i="1"/>
  <c r="L153" i="1"/>
  <c r="L154" i="1"/>
  <c r="L133" i="1"/>
  <c r="L141" i="1"/>
  <c r="L139" i="1"/>
  <c r="L147" i="1"/>
  <c r="L143" i="1"/>
  <c r="L156" i="1"/>
  <c r="T147" i="1" l="1"/>
  <c r="R147" i="1"/>
  <c r="P147" i="1"/>
  <c r="V147" i="1"/>
  <c r="P134" i="1"/>
  <c r="V134" i="1"/>
  <c r="F134" i="7" s="1"/>
  <c r="L134" i="7" s="1"/>
  <c r="T134" i="1"/>
  <c r="F134" i="5" s="1"/>
  <c r="L134" i="5" s="1"/>
  <c r="R134" i="1"/>
  <c r="F134" i="4" s="1"/>
  <c r="L134" i="4" s="1"/>
  <c r="V127" i="1"/>
  <c r="F127" i="7" s="1"/>
  <c r="L127" i="7" s="1"/>
  <c r="R127" i="1"/>
  <c r="F127" i="4" s="1"/>
  <c r="L127" i="4" s="1"/>
  <c r="T127" i="1"/>
  <c r="F127" i="5" s="1"/>
  <c r="L127" i="5" s="1"/>
  <c r="P127" i="1"/>
  <c r="T133" i="1"/>
  <c r="P133" i="1"/>
  <c r="V133" i="1"/>
  <c r="R133" i="1"/>
  <c r="T143" i="1"/>
  <c r="F143" i="5" s="1"/>
  <c r="L143" i="5" s="1"/>
  <c r="R143" i="1"/>
  <c r="F143" i="4" s="1"/>
  <c r="L143" i="4" s="1"/>
  <c r="V143" i="1"/>
  <c r="F143" i="7" s="1"/>
  <c r="L143" i="7" s="1"/>
  <c r="P143" i="1"/>
  <c r="T154" i="1"/>
  <c r="F154" i="5" s="1"/>
  <c r="L154" i="5" s="1"/>
  <c r="R154" i="1"/>
  <c r="F154" i="4" s="1"/>
  <c r="L154" i="4" s="1"/>
  <c r="P154" i="1"/>
  <c r="V154" i="1"/>
  <c r="F154" i="7" s="1"/>
  <c r="L154" i="7" s="1"/>
  <c r="T139" i="1"/>
  <c r="F139" i="5" s="1"/>
  <c r="L139" i="5" s="1"/>
  <c r="R139" i="1"/>
  <c r="F139" i="4" s="1"/>
  <c r="L139" i="4" s="1"/>
  <c r="P139" i="1"/>
  <c r="V139" i="1"/>
  <c r="F139" i="7" s="1"/>
  <c r="L139" i="7" s="1"/>
  <c r="T153" i="1"/>
  <c r="F153" i="5" s="1"/>
  <c r="L153" i="5" s="1"/>
  <c r="R153" i="1"/>
  <c r="F153" i="4" s="1"/>
  <c r="L153" i="4" s="1"/>
  <c r="P153" i="1"/>
  <c r="V153" i="1"/>
  <c r="F153" i="7" s="1"/>
  <c r="L153" i="7" s="1"/>
  <c r="R141" i="1"/>
  <c r="F141" i="4" s="1"/>
  <c r="L141" i="4" s="1"/>
  <c r="T141" i="1"/>
  <c r="F141" i="5" s="1"/>
  <c r="L141" i="5" s="1"/>
  <c r="V141" i="1"/>
  <c r="F141" i="7" s="1"/>
  <c r="L141" i="7" s="1"/>
  <c r="P141" i="1"/>
  <c r="T156" i="1"/>
  <c r="F156" i="5" s="1"/>
  <c r="L156" i="5" s="1"/>
  <c r="R156" i="1"/>
  <c r="F156" i="4" s="1"/>
  <c r="L156" i="4" s="1"/>
  <c r="V156" i="1"/>
  <c r="F156" i="7" s="1"/>
  <c r="L156" i="7" s="1"/>
  <c r="P156" i="1"/>
  <c r="P135" i="1"/>
  <c r="V135" i="1"/>
  <c r="F135" i="7" s="1"/>
  <c r="L135" i="7" s="1"/>
  <c r="R135" i="1"/>
  <c r="F135" i="4" s="1"/>
  <c r="L135" i="4" s="1"/>
  <c r="T135" i="1"/>
  <c r="F135" i="5" s="1"/>
  <c r="L135" i="5" s="1"/>
  <c r="AD136" i="7"/>
  <c r="AB136" i="7"/>
  <c r="Z136" i="7"/>
  <c r="X136" i="7"/>
  <c r="T136" i="7"/>
  <c r="R136" i="7"/>
  <c r="AH136" i="7"/>
  <c r="AF136" i="7"/>
  <c r="F136" i="50" s="1"/>
  <c r="L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L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L131" i="50" s="1"/>
  <c r="T131" i="7"/>
  <c r="Z142" i="7"/>
  <c r="X142" i="7"/>
  <c r="V142" i="7"/>
  <c r="AD142" i="7"/>
  <c r="T142" i="7"/>
  <c r="R142" i="7"/>
  <c r="AB142" i="7"/>
  <c r="P142" i="7"/>
  <c r="AH142" i="7"/>
  <c r="AF142" i="7"/>
  <c r="AH155" i="7"/>
  <c r="R155" i="7"/>
  <c r="AF155" i="7"/>
  <c r="F155" i="50" s="1"/>
  <c r="L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T136" i="4"/>
  <c r="V136" i="4"/>
  <c r="R136" i="4"/>
  <c r="P136" i="4"/>
  <c r="V152" i="4"/>
  <c r="T152" i="4"/>
  <c r="R152" i="4"/>
  <c r="P152" i="4"/>
  <c r="T131" i="4"/>
  <c r="V131" i="4"/>
  <c r="R131" i="4"/>
  <c r="P131" i="4"/>
  <c r="V142" i="4"/>
  <c r="T142" i="4"/>
  <c r="R142" i="4"/>
  <c r="P142" i="4"/>
  <c r="V155" i="4"/>
  <c r="T155" i="4"/>
  <c r="R155" i="4"/>
  <c r="P155" i="4"/>
  <c r="V151" i="1"/>
  <c r="T151" i="1"/>
  <c r="R151" i="1"/>
  <c r="P151" i="1"/>
  <c r="AD128" i="1"/>
  <c r="L128" i="1"/>
  <c r="L124" i="1"/>
  <c r="AD130" i="1"/>
  <c r="L130" i="1"/>
  <c r="AF155" i="1"/>
  <c r="AH155" i="1"/>
  <c r="AC155" i="4" s="1"/>
  <c r="AD155" i="4" s="1"/>
  <c r="AJ155" i="1"/>
  <c r="AI155" i="5" s="1"/>
  <c r="AJ155" i="5" s="1"/>
  <c r="AL155" i="1"/>
  <c r="AO155" i="7" s="1"/>
  <c r="AP155" i="7" s="1"/>
  <c r="F136" i="13"/>
  <c r="X136" i="1"/>
  <c r="Z136" i="1" s="1"/>
  <c r="F131" i="13"/>
  <c r="X131" i="1"/>
  <c r="Z131" i="1" s="1"/>
  <c r="L129" i="1"/>
  <c r="AD129" i="1"/>
  <c r="X155" i="1"/>
  <c r="Z155" i="1" s="1"/>
  <c r="F155" i="13"/>
  <c r="X152" i="1"/>
  <c r="Z152" i="1" s="1"/>
  <c r="F152" i="13"/>
  <c r="F142" i="13"/>
  <c r="X142" i="1"/>
  <c r="Z142" i="1" s="1"/>
  <c r="L126" i="1"/>
  <c r="AD126" i="1"/>
  <c r="L125" i="1"/>
  <c r="AD125" i="1"/>
  <c r="L138" i="1"/>
  <c r="AD138" i="1"/>
  <c r="L136" i="13" l="1"/>
  <c r="X136" i="13" s="1"/>
  <c r="L155" i="13"/>
  <c r="Z155" i="13" s="1"/>
  <c r="L152" i="13"/>
  <c r="T152" i="13" s="1"/>
  <c r="L142" i="13"/>
  <c r="V142" i="13" s="1"/>
  <c r="L131" i="13"/>
  <c r="T131" i="13" s="1"/>
  <c r="P126" i="1"/>
  <c r="AF126" i="1" s="1"/>
  <c r="T126" i="1"/>
  <c r="F126" i="5" s="1"/>
  <c r="L126" i="5" s="1"/>
  <c r="V126" i="1"/>
  <c r="F126" i="7" s="1"/>
  <c r="L126" i="7" s="1"/>
  <c r="R126" i="1"/>
  <c r="F126" i="4" s="1"/>
  <c r="L126" i="4" s="1"/>
  <c r="P129" i="1"/>
  <c r="R129" i="1"/>
  <c r="F129" i="4" s="1"/>
  <c r="L129" i="4" s="1"/>
  <c r="V129" i="1"/>
  <c r="F129" i="7" s="1"/>
  <c r="L129" i="7" s="1"/>
  <c r="T129" i="1"/>
  <c r="F129" i="5" s="1"/>
  <c r="L129" i="5" s="1"/>
  <c r="P128" i="1"/>
  <c r="T128" i="1"/>
  <c r="F128" i="5" s="1"/>
  <c r="L128" i="5" s="1"/>
  <c r="V128" i="1"/>
  <c r="F128" i="7" s="1"/>
  <c r="L128" i="7" s="1"/>
  <c r="R128" i="1"/>
  <c r="F128" i="4" s="1"/>
  <c r="L128" i="4" s="1"/>
  <c r="R138" i="1"/>
  <c r="T138" i="1"/>
  <c r="P138" i="1"/>
  <c r="AF138" i="1" s="1"/>
  <c r="V138" i="1"/>
  <c r="AL138" i="1" s="1"/>
  <c r="AO138" i="7" s="1"/>
  <c r="P124" i="1"/>
  <c r="V124" i="1"/>
  <c r="T124" i="1"/>
  <c r="R124" i="1"/>
  <c r="P130" i="1"/>
  <c r="AF130" i="1" s="1"/>
  <c r="V130" i="1"/>
  <c r="F130" i="7" s="1"/>
  <c r="L130" i="7" s="1"/>
  <c r="T130" i="1"/>
  <c r="F130" i="5" s="1"/>
  <c r="L130" i="5" s="1"/>
  <c r="R130" i="1"/>
  <c r="F130" i="4" s="1"/>
  <c r="L130" i="4" s="1"/>
  <c r="V139" i="7"/>
  <c r="T139" i="7"/>
  <c r="AH139" i="7"/>
  <c r="R139" i="7"/>
  <c r="AD139" i="7"/>
  <c r="AB139" i="7"/>
  <c r="AF139" i="7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L156" i="50" s="1"/>
  <c r="X156" i="7"/>
  <c r="V156" i="7"/>
  <c r="V134" i="7"/>
  <c r="T134" i="7"/>
  <c r="AH134" i="7"/>
  <c r="R134" i="7"/>
  <c r="AF134" i="7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L153" i="50" s="1"/>
  <c r="Z127" i="7"/>
  <c r="X127" i="7"/>
  <c r="V127" i="7"/>
  <c r="AF127" i="7"/>
  <c r="F127" i="50" s="1"/>
  <c r="L127" i="50" s="1"/>
  <c r="AD127" i="7"/>
  <c r="R127" i="7"/>
  <c r="P127" i="7"/>
  <c r="AH127" i="7"/>
  <c r="AB127" i="7"/>
  <c r="T127" i="7"/>
  <c r="AH135" i="7"/>
  <c r="R135" i="7"/>
  <c r="AF135" i="7"/>
  <c r="F135" i="50" s="1"/>
  <c r="L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L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V143" i="4"/>
  <c r="T143" i="4"/>
  <c r="R143" i="4"/>
  <c r="P143" i="4"/>
  <c r="V141" i="4"/>
  <c r="T141" i="4"/>
  <c r="R141" i="4"/>
  <c r="P141" i="4"/>
  <c r="V139" i="4"/>
  <c r="T139" i="4"/>
  <c r="R139" i="4"/>
  <c r="P139" i="4"/>
  <c r="T154" i="4"/>
  <c r="V154" i="4"/>
  <c r="R154" i="4"/>
  <c r="P154" i="4"/>
  <c r="T156" i="4"/>
  <c r="V156" i="4"/>
  <c r="R156" i="4"/>
  <c r="P156" i="4"/>
  <c r="T127" i="4"/>
  <c r="V127" i="4"/>
  <c r="R127" i="4"/>
  <c r="P127" i="4"/>
  <c r="V134" i="4"/>
  <c r="T134" i="4"/>
  <c r="R134" i="4"/>
  <c r="P134" i="4"/>
  <c r="V153" i="4"/>
  <c r="T153" i="4"/>
  <c r="R153" i="4"/>
  <c r="P153" i="4"/>
  <c r="V135" i="4"/>
  <c r="T135" i="4"/>
  <c r="R135" i="4"/>
  <c r="P135" i="4"/>
  <c r="X142" i="13"/>
  <c r="X152" i="13"/>
  <c r="AD131" i="5"/>
  <c r="AF131" i="5" s="1"/>
  <c r="AR155" i="5"/>
  <c r="AX155" i="5"/>
  <c r="AT155" i="5"/>
  <c r="AN155" i="5"/>
  <c r="AL155" i="5"/>
  <c r="AV155" i="5"/>
  <c r="AP155" i="5"/>
  <c r="X154" i="1"/>
  <c r="Z154" i="1" s="1"/>
  <c r="F154" i="13"/>
  <c r="F133" i="7"/>
  <c r="AL133" i="7" s="1"/>
  <c r="F156" i="13"/>
  <c r="X156" i="1"/>
  <c r="Z156" i="1" s="1"/>
  <c r="X151" i="1"/>
  <c r="Z151" i="1" s="1"/>
  <c r="F151" i="13"/>
  <c r="X136" i="4"/>
  <c r="Z136" i="4" s="1"/>
  <c r="X127" i="1"/>
  <c r="Z127" i="1" s="1"/>
  <c r="F127" i="13"/>
  <c r="AF155" i="4"/>
  <c r="AJ155" i="4"/>
  <c r="AH155" i="4"/>
  <c r="AK155" i="4"/>
  <c r="AL155" i="4"/>
  <c r="AD152" i="5"/>
  <c r="AF152" i="5" s="1"/>
  <c r="F133" i="5"/>
  <c r="L133" i="5" s="1"/>
  <c r="F151" i="7"/>
  <c r="L151" i="7" s="1"/>
  <c r="F139" i="13"/>
  <c r="X139" i="1"/>
  <c r="Z139" i="1" s="1"/>
  <c r="P152" i="50"/>
  <c r="V152" i="50"/>
  <c r="R152" i="50"/>
  <c r="T152" i="50"/>
  <c r="AN155" i="1"/>
  <c r="X131" i="4"/>
  <c r="Z131" i="4" s="1"/>
  <c r="X133" i="1"/>
  <c r="Z133" i="1" s="1"/>
  <c r="F133" i="13"/>
  <c r="F151" i="4"/>
  <c r="L151" i="4" s="1"/>
  <c r="AJ131" i="7"/>
  <c r="AL131" i="7" s="1"/>
  <c r="V136" i="50"/>
  <c r="T136" i="50"/>
  <c r="R136" i="50"/>
  <c r="P136" i="50"/>
  <c r="AD136" i="5"/>
  <c r="AF136" i="5" s="1"/>
  <c r="AD142" i="5"/>
  <c r="AF142" i="5" s="1"/>
  <c r="F147" i="7"/>
  <c r="L147" i="7" s="1"/>
  <c r="R155" i="50"/>
  <c r="P155" i="50"/>
  <c r="T155" i="50"/>
  <c r="V155" i="50"/>
  <c r="F133" i="4"/>
  <c r="L133" i="4" s="1"/>
  <c r="F151" i="5"/>
  <c r="L151" i="5" s="1"/>
  <c r="X134" i="1"/>
  <c r="Z134" i="1" s="1"/>
  <c r="F134" i="13"/>
  <c r="X143" i="1"/>
  <c r="Z143" i="1" s="1"/>
  <c r="F143" i="13"/>
  <c r="F147" i="5"/>
  <c r="L147" i="5" s="1"/>
  <c r="AJ155" i="7"/>
  <c r="AL155" i="7" s="1"/>
  <c r="F153" i="13"/>
  <c r="X153" i="1"/>
  <c r="Z153" i="1" s="1"/>
  <c r="P131" i="50"/>
  <c r="T131" i="50"/>
  <c r="V131" i="50"/>
  <c r="R131" i="50"/>
  <c r="X142" i="4"/>
  <c r="Z142" i="4" s="1"/>
  <c r="X152" i="4"/>
  <c r="Z152" i="4" s="1"/>
  <c r="X147" i="1"/>
  <c r="Z147" i="1" s="1"/>
  <c r="F147" i="13"/>
  <c r="F141" i="13"/>
  <c r="X141" i="1"/>
  <c r="Z141" i="1" s="1"/>
  <c r="AJ152" i="7"/>
  <c r="AL152" i="7" s="1"/>
  <c r="F135" i="13"/>
  <c r="X135" i="1"/>
  <c r="Z135" i="1" s="1"/>
  <c r="X155" i="4"/>
  <c r="Z155" i="4" s="1"/>
  <c r="F147" i="4"/>
  <c r="L147" i="4" s="1"/>
  <c r="AD155" i="5"/>
  <c r="AF155" i="5" s="1"/>
  <c r="AJ136" i="7"/>
  <c r="AL136" i="7" s="1"/>
  <c r="AV155" i="7"/>
  <c r="BH155" i="7"/>
  <c r="AB155" i="50" s="1"/>
  <c r="AC155" i="50" s="1"/>
  <c r="BB155" i="7"/>
  <c r="AT155" i="7"/>
  <c r="BD155" i="7"/>
  <c r="BJ155" i="7"/>
  <c r="AZ155" i="7"/>
  <c r="AR155" i="7"/>
  <c r="BF155" i="7"/>
  <c r="AX155" i="7"/>
  <c r="P155" i="13" l="1"/>
  <c r="R152" i="13"/>
  <c r="T136" i="13"/>
  <c r="T155" i="13"/>
  <c r="R155" i="13"/>
  <c r="V155" i="13"/>
  <c r="X155" i="13"/>
  <c r="Z136" i="13"/>
  <c r="AH126" i="1"/>
  <c r="AC126" i="4" s="1"/>
  <c r="AD126" i="4" s="1"/>
  <c r="V136" i="13"/>
  <c r="Z142" i="13"/>
  <c r="V152" i="13"/>
  <c r="Z152" i="13"/>
  <c r="R142" i="13"/>
  <c r="V131" i="13"/>
  <c r="X131" i="13"/>
  <c r="P131" i="13"/>
  <c r="R131" i="13"/>
  <c r="Z131" i="13"/>
  <c r="P152" i="13"/>
  <c r="P136" i="13"/>
  <c r="R136" i="13"/>
  <c r="P142" i="13"/>
  <c r="T142" i="13"/>
  <c r="L154" i="13"/>
  <c r="Z154" i="13" s="1"/>
  <c r="L151" i="13"/>
  <c r="Z151" i="13" s="1"/>
  <c r="L133" i="13"/>
  <c r="T133" i="13" s="1"/>
  <c r="AD133" i="13"/>
  <c r="L134" i="13"/>
  <c r="Z134" i="13" s="1"/>
  <c r="L141" i="13"/>
  <c r="Z141" i="13" s="1"/>
  <c r="L147" i="13"/>
  <c r="Z147" i="13" s="1"/>
  <c r="L156" i="13"/>
  <c r="T156" i="13" s="1"/>
  <c r="L153" i="13"/>
  <c r="X153" i="13" s="1"/>
  <c r="L139" i="13"/>
  <c r="T139" i="13" s="1"/>
  <c r="L127" i="13"/>
  <c r="Z127" i="13" s="1"/>
  <c r="L135" i="13"/>
  <c r="Z135" i="13" s="1"/>
  <c r="L143" i="13"/>
  <c r="T143" i="13" s="1"/>
  <c r="H103" i="2"/>
  <c r="J103" i="2"/>
  <c r="L103" i="2"/>
  <c r="F103" i="2"/>
  <c r="AH129" i="7"/>
  <c r="R129" i="7"/>
  <c r="AF129" i="7"/>
  <c r="F129" i="50" s="1"/>
  <c r="L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V128" i="7"/>
  <c r="T128" i="7"/>
  <c r="AH128" i="7"/>
  <c r="R128" i="7"/>
  <c r="P128" i="7"/>
  <c r="AF128" i="7"/>
  <c r="F128" i="50" s="1"/>
  <c r="L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L126" i="50" s="1"/>
  <c r="T126" i="7"/>
  <c r="R126" i="7"/>
  <c r="P126" i="7"/>
  <c r="AD130" i="7"/>
  <c r="AB130" i="7"/>
  <c r="Z130" i="7"/>
  <c r="AF130" i="7"/>
  <c r="F130" i="50" s="1"/>
  <c r="L130" i="50" s="1"/>
  <c r="V130" i="7"/>
  <c r="T130" i="7"/>
  <c r="AH130" i="7"/>
  <c r="X130" i="7"/>
  <c r="R130" i="7"/>
  <c r="P130" i="7"/>
  <c r="AH151" i="7"/>
  <c r="R151" i="7"/>
  <c r="AF151" i="7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V151" i="4"/>
  <c r="T151" i="4"/>
  <c r="R151" i="4"/>
  <c r="P151" i="4"/>
  <c r="T129" i="4"/>
  <c r="V129" i="4"/>
  <c r="R129" i="4"/>
  <c r="P129" i="4"/>
  <c r="V126" i="4"/>
  <c r="T126" i="4"/>
  <c r="R126" i="4"/>
  <c r="P126" i="4"/>
  <c r="V128" i="4"/>
  <c r="T128" i="4"/>
  <c r="R128" i="4"/>
  <c r="P128" i="4"/>
  <c r="V147" i="4"/>
  <c r="T147" i="4"/>
  <c r="R147" i="4"/>
  <c r="P147" i="4"/>
  <c r="V130" i="4"/>
  <c r="T130" i="4"/>
  <c r="R130" i="4"/>
  <c r="P130" i="4"/>
  <c r="V133" i="4"/>
  <c r="T133" i="4"/>
  <c r="R133" i="4"/>
  <c r="P133" i="4"/>
  <c r="R135" i="13"/>
  <c r="AH128" i="1"/>
  <c r="AC128" i="4" s="1"/>
  <c r="AD128" i="4" s="1"/>
  <c r="AL126" i="1"/>
  <c r="AO126" i="7" s="1"/>
  <c r="AP126" i="7" s="1"/>
  <c r="AL128" i="1"/>
  <c r="AO128" i="7" s="1"/>
  <c r="AP128" i="7" s="1"/>
  <c r="AJ126" i="1"/>
  <c r="AI126" i="5" s="1"/>
  <c r="AJ126" i="5" s="1"/>
  <c r="AJ128" i="1"/>
  <c r="AI128" i="5" s="1"/>
  <c r="AJ128" i="5" s="1"/>
  <c r="AJ129" i="1"/>
  <c r="AI129" i="5" s="1"/>
  <c r="AJ129" i="5" s="1"/>
  <c r="AF129" i="1"/>
  <c r="F129" i="13"/>
  <c r="X129" i="1"/>
  <c r="Z129" i="1" s="1"/>
  <c r="AJ134" i="7"/>
  <c r="AL134" i="7" s="1"/>
  <c r="AJ156" i="7"/>
  <c r="AL156" i="7" s="1"/>
  <c r="X136" i="50"/>
  <c r="Z136" i="50" s="1"/>
  <c r="AJ154" i="7"/>
  <c r="AL154" i="7" s="1"/>
  <c r="F124" i="7"/>
  <c r="L124" i="7" s="1"/>
  <c r="X152" i="50"/>
  <c r="Z152" i="50" s="1"/>
  <c r="X156" i="4"/>
  <c r="Z156" i="4" s="1"/>
  <c r="X139" i="4"/>
  <c r="Z139" i="4" s="1"/>
  <c r="AD153" i="5"/>
  <c r="AF153" i="5" s="1"/>
  <c r="F138" i="4"/>
  <c r="L138" i="4" s="1"/>
  <c r="X134" i="4"/>
  <c r="Z134" i="4" s="1"/>
  <c r="X131" i="50"/>
  <c r="Z131" i="50" s="1"/>
  <c r="AH129" i="1"/>
  <c r="AC129" i="4" s="1"/>
  <c r="AD129" i="4" s="1"/>
  <c r="X153" i="4"/>
  <c r="Z153" i="4" s="1"/>
  <c r="F124" i="5"/>
  <c r="L124" i="5" s="1"/>
  <c r="X154" i="4"/>
  <c r="Z154" i="4" s="1"/>
  <c r="F126" i="13"/>
  <c r="X126" i="1"/>
  <c r="Z126" i="1" s="1"/>
  <c r="AH130" i="1"/>
  <c r="AC130" i="4" s="1"/>
  <c r="AD130" i="4" s="1"/>
  <c r="AD134" i="5"/>
  <c r="AF134" i="5" s="1"/>
  <c r="AI155" i="50"/>
  <c r="AE155" i="50"/>
  <c r="AK155" i="50"/>
  <c r="AG155" i="50"/>
  <c r="F138" i="7"/>
  <c r="L138" i="7" s="1"/>
  <c r="R153" i="50"/>
  <c r="T153" i="50"/>
  <c r="P153" i="50"/>
  <c r="V153" i="50"/>
  <c r="X127" i="4"/>
  <c r="Z127" i="4" s="1"/>
  <c r="AL129" i="1"/>
  <c r="AO129" i="7" s="1"/>
  <c r="AP129" i="7" s="1"/>
  <c r="AF128" i="1"/>
  <c r="F128" i="13"/>
  <c r="X128" i="1"/>
  <c r="Z128" i="1" s="1"/>
  <c r="F124" i="4"/>
  <c r="AL130" i="1"/>
  <c r="AO130" i="7" s="1"/>
  <c r="AP130" i="7" s="1"/>
  <c r="X130" i="1"/>
  <c r="Z130" i="1" s="1"/>
  <c r="F130" i="13"/>
  <c r="X141" i="4"/>
  <c r="Z141" i="4" s="1"/>
  <c r="X138" i="1"/>
  <c r="Z138" i="1" s="1"/>
  <c r="F138" i="13"/>
  <c r="X124" i="1"/>
  <c r="Z124" i="1" s="1"/>
  <c r="F124" i="13"/>
  <c r="AD127" i="5"/>
  <c r="AF127" i="5" s="1"/>
  <c r="AN155" i="4"/>
  <c r="R127" i="50"/>
  <c r="V127" i="50"/>
  <c r="T127" i="50"/>
  <c r="P127" i="50"/>
  <c r="BL155" i="7"/>
  <c r="R135" i="50"/>
  <c r="T135" i="50"/>
  <c r="P135" i="50"/>
  <c r="V135" i="50"/>
  <c r="AJ153" i="7"/>
  <c r="AL153" i="7" s="1"/>
  <c r="F134" i="50"/>
  <c r="L134" i="50" s="1"/>
  <c r="AJ135" i="7"/>
  <c r="AL135" i="7" s="1"/>
  <c r="AD143" i="5"/>
  <c r="AF143" i="5" s="1"/>
  <c r="X135" i="4"/>
  <c r="Z135" i="4" s="1"/>
  <c r="V156" i="50"/>
  <c r="T156" i="50"/>
  <c r="R156" i="50"/>
  <c r="P156" i="50"/>
  <c r="AD156" i="5"/>
  <c r="AF156" i="5" s="1"/>
  <c r="AD154" i="5"/>
  <c r="AF154" i="5" s="1"/>
  <c r="AZ155" i="5"/>
  <c r="AJ127" i="7"/>
  <c r="AL127" i="7" s="1"/>
  <c r="X143" i="4"/>
  <c r="Z143" i="4" s="1"/>
  <c r="AH138" i="1"/>
  <c r="AC138" i="4" s="1"/>
  <c r="AD139" i="5"/>
  <c r="AF139" i="5" s="1"/>
  <c r="P154" i="50"/>
  <c r="T154" i="50"/>
  <c r="R154" i="50"/>
  <c r="V154" i="50"/>
  <c r="AD141" i="5"/>
  <c r="AF141" i="5" s="1"/>
  <c r="AJ138" i="1"/>
  <c r="AI138" i="5" s="1"/>
  <c r="AJ138" i="5" s="1"/>
  <c r="X155" i="50"/>
  <c r="Z155" i="50" s="1"/>
  <c r="AJ130" i="1"/>
  <c r="AI130" i="5" s="1"/>
  <c r="AJ130" i="5" s="1"/>
  <c r="AB155" i="13" l="1"/>
  <c r="AD155" i="13" s="1"/>
  <c r="AB136" i="13"/>
  <c r="AD136" i="13" s="1"/>
  <c r="P153" i="13"/>
  <c r="R154" i="13"/>
  <c r="AB131" i="13"/>
  <c r="AD131" i="13" s="1"/>
  <c r="Z153" i="13"/>
  <c r="P154" i="13"/>
  <c r="AB152" i="13"/>
  <c r="AD152" i="13" s="1"/>
  <c r="R127" i="13"/>
  <c r="P143" i="13"/>
  <c r="R143" i="13"/>
  <c r="R147" i="13"/>
  <c r="P134" i="13"/>
  <c r="R134" i="13"/>
  <c r="V147" i="13"/>
  <c r="X147" i="13"/>
  <c r="P141" i="13"/>
  <c r="P147" i="13"/>
  <c r="AB142" i="13"/>
  <c r="AD142" i="13" s="1"/>
  <c r="T154" i="13"/>
  <c r="T153" i="13"/>
  <c r="V154" i="13"/>
  <c r="X154" i="13"/>
  <c r="T135" i="13"/>
  <c r="R153" i="13"/>
  <c r="T147" i="13"/>
  <c r="V153" i="13"/>
  <c r="P151" i="13"/>
  <c r="T127" i="13"/>
  <c r="R151" i="13"/>
  <c r="P139" i="13"/>
  <c r="Z139" i="13"/>
  <c r="P127" i="13"/>
  <c r="T151" i="13"/>
  <c r="R139" i="13"/>
  <c r="V127" i="13"/>
  <c r="V151" i="13"/>
  <c r="V139" i="13"/>
  <c r="X127" i="13"/>
  <c r="X151" i="13"/>
  <c r="X139" i="13"/>
  <c r="P135" i="13"/>
  <c r="V134" i="13"/>
  <c r="X143" i="13"/>
  <c r="V135" i="13"/>
  <c r="V141" i="13"/>
  <c r="R141" i="13"/>
  <c r="T134" i="13"/>
  <c r="Z143" i="13"/>
  <c r="X135" i="13"/>
  <c r="V143" i="13"/>
  <c r="X134" i="13"/>
  <c r="X141" i="13"/>
  <c r="T141" i="13"/>
  <c r="X156" i="13"/>
  <c r="Z156" i="13"/>
  <c r="V156" i="13"/>
  <c r="P156" i="13"/>
  <c r="R156" i="13"/>
  <c r="L124" i="13"/>
  <c r="P124" i="13" s="1"/>
  <c r="L138" i="13"/>
  <c r="T138" i="13" s="1"/>
  <c r="AD138" i="13"/>
  <c r="L128" i="13"/>
  <c r="X128" i="13" s="1"/>
  <c r="L126" i="13"/>
  <c r="Z126" i="13" s="1"/>
  <c r="L130" i="13"/>
  <c r="R130" i="13" s="1"/>
  <c r="L129" i="13"/>
  <c r="Z129" i="13" s="1"/>
  <c r="D103" i="2"/>
  <c r="F104" i="2" s="1"/>
  <c r="P125" i="1" s="1"/>
  <c r="AK126" i="4"/>
  <c r="V124" i="7"/>
  <c r="T124" i="7"/>
  <c r="AH124" i="7"/>
  <c r="R124" i="7"/>
  <c r="AD124" i="7"/>
  <c r="AB124" i="7"/>
  <c r="AF124" i="7"/>
  <c r="Z124" i="7"/>
  <c r="P124" i="7"/>
  <c r="X124" i="7"/>
  <c r="P124" i="5"/>
  <c r="AB124" i="5"/>
  <c r="X124" i="5"/>
  <c r="V124" i="5"/>
  <c r="Z124" i="5"/>
  <c r="R124" i="5"/>
  <c r="T124" i="5"/>
  <c r="V138" i="4"/>
  <c r="T138" i="4"/>
  <c r="R138" i="4"/>
  <c r="P138" i="4"/>
  <c r="AK128" i="4"/>
  <c r="AL126" i="5"/>
  <c r="AL129" i="5"/>
  <c r="AN128" i="1"/>
  <c r="AR126" i="7"/>
  <c r="AZ126" i="7"/>
  <c r="AN128" i="5"/>
  <c r="AN126" i="1"/>
  <c r="AT126" i="7"/>
  <c r="BH126" i="7"/>
  <c r="AB126" i="50" s="1"/>
  <c r="AC126" i="50" s="1"/>
  <c r="AP128" i="5"/>
  <c r="AR128" i="5"/>
  <c r="AT128" i="5"/>
  <c r="AD138" i="4"/>
  <c r="AV126" i="7"/>
  <c r="AV128" i="5"/>
  <c r="AX126" i="7"/>
  <c r="AX128" i="5"/>
  <c r="BD126" i="7"/>
  <c r="BF126" i="7"/>
  <c r="T129" i="50"/>
  <c r="V129" i="50"/>
  <c r="R129" i="50"/>
  <c r="P129" i="50"/>
  <c r="X126" i="4"/>
  <c r="Z126" i="4" s="1"/>
  <c r="X154" i="50"/>
  <c r="Z154" i="50" s="1"/>
  <c r="X128" i="4"/>
  <c r="Z128" i="4" s="1"/>
  <c r="AD151" i="5"/>
  <c r="AF151" i="5" s="1"/>
  <c r="AL128" i="5"/>
  <c r="AD128" i="5"/>
  <c r="AF128" i="5" s="1"/>
  <c r="BH128" i="7"/>
  <c r="AB128" i="50" s="1"/>
  <c r="AC128" i="50" s="1"/>
  <c r="AH128" i="4"/>
  <c r="AX129" i="5"/>
  <c r="AD147" i="5"/>
  <c r="AF147" i="5" s="1"/>
  <c r="AJ129" i="7"/>
  <c r="AL129" i="7" s="1"/>
  <c r="AN126" i="5"/>
  <c r="BB128" i="7"/>
  <c r="X129" i="4"/>
  <c r="Z129" i="4" s="1"/>
  <c r="AV129" i="5"/>
  <c r="AR130" i="5"/>
  <c r="AL130" i="5"/>
  <c r="AP130" i="5"/>
  <c r="AX130" i="5"/>
  <c r="AN130" i="5"/>
  <c r="AT130" i="5"/>
  <c r="AV130" i="5"/>
  <c r="X147" i="4"/>
  <c r="Z147" i="4" s="1"/>
  <c r="AR126" i="5"/>
  <c r="X135" i="50"/>
  <c r="Z135" i="50" s="1"/>
  <c r="X127" i="50"/>
  <c r="Z127" i="50" s="1"/>
  <c r="F23" i="10"/>
  <c r="D23" i="10" s="1"/>
  <c r="AV129" i="7"/>
  <c r="BH129" i="7"/>
  <c r="AB129" i="50" s="1"/>
  <c r="AC129" i="50" s="1"/>
  <c r="AT129" i="7"/>
  <c r="BD129" i="7"/>
  <c r="AX129" i="7"/>
  <c r="AR129" i="7"/>
  <c r="BJ129" i="7"/>
  <c r="BB129" i="7"/>
  <c r="BF129" i="7"/>
  <c r="AZ129" i="7"/>
  <c r="BF128" i="7"/>
  <c r="AH129" i="4"/>
  <c r="AJ129" i="4"/>
  <c r="AF129" i="4"/>
  <c r="AK129" i="4"/>
  <c r="AL129" i="4"/>
  <c r="AN129" i="5"/>
  <c r="AR130" i="7"/>
  <c r="AJ130" i="7"/>
  <c r="AL130" i="7" s="1"/>
  <c r="AD130" i="5"/>
  <c r="AF130" i="5" s="1"/>
  <c r="F151" i="50"/>
  <c r="L151" i="50" s="1"/>
  <c r="V151" i="50" s="1"/>
  <c r="T128" i="50"/>
  <c r="V128" i="50"/>
  <c r="P128" i="50"/>
  <c r="R128" i="50"/>
  <c r="AL126" i="4"/>
  <c r="BD128" i="7"/>
  <c r="P126" i="50"/>
  <c r="R126" i="50"/>
  <c r="T126" i="50"/>
  <c r="V126" i="50"/>
  <c r="AP129" i="5"/>
  <c r="AX126" i="5"/>
  <c r="V130" i="50"/>
  <c r="P130" i="50"/>
  <c r="R130" i="50"/>
  <c r="T130" i="50"/>
  <c r="AH126" i="4"/>
  <c r="AK130" i="4"/>
  <c r="AJ130" i="4"/>
  <c r="AF130" i="4"/>
  <c r="AH130" i="4"/>
  <c r="AL130" i="4"/>
  <c r="AZ128" i="7"/>
  <c r="BB126" i="7"/>
  <c r="X151" i="4"/>
  <c r="Z151" i="4" s="1"/>
  <c r="AP138" i="7"/>
  <c r="AP126" i="5"/>
  <c r="AR128" i="7"/>
  <c r="AJ128" i="7"/>
  <c r="AL128" i="7" s="1"/>
  <c r="AX130" i="7"/>
  <c r="BB130" i="7"/>
  <c r="BF130" i="7"/>
  <c r="AV130" i="7"/>
  <c r="AT130" i="7"/>
  <c r="BJ130" i="7"/>
  <c r="BH130" i="7"/>
  <c r="AB130" i="50" s="1"/>
  <c r="AC130" i="50" s="1"/>
  <c r="BD130" i="7"/>
  <c r="AZ130" i="7"/>
  <c r="AD129" i="5"/>
  <c r="AF129" i="5" s="1"/>
  <c r="AJ147" i="7"/>
  <c r="AL147" i="7" s="1"/>
  <c r="F147" i="50"/>
  <c r="L147" i="50" s="1"/>
  <c r="BJ128" i="7"/>
  <c r="AX128" i="7"/>
  <c r="AJ126" i="7"/>
  <c r="AL126" i="7" s="1"/>
  <c r="AL128" i="4"/>
  <c r="AT129" i="5"/>
  <c r="AV126" i="5"/>
  <c r="AJ151" i="7"/>
  <c r="AL151" i="7" s="1"/>
  <c r="R134" i="50"/>
  <c r="V134" i="50"/>
  <c r="P134" i="50"/>
  <c r="T134" i="50"/>
  <c r="AJ126" i="4"/>
  <c r="AV128" i="7"/>
  <c r="BJ126" i="7"/>
  <c r="X130" i="4"/>
  <c r="Z130" i="4" s="1"/>
  <c r="X133" i="4"/>
  <c r="Z133" i="4" s="1"/>
  <c r="AF128" i="4"/>
  <c r="AR129" i="5"/>
  <c r="AN138" i="1"/>
  <c r="AD126" i="5"/>
  <c r="AF126" i="5" s="1"/>
  <c r="AX138" i="5"/>
  <c r="AN138" i="5"/>
  <c r="AV138" i="5"/>
  <c r="AR138" i="5"/>
  <c r="AP138" i="5"/>
  <c r="AL138" i="5"/>
  <c r="AT138" i="5"/>
  <c r="AT126" i="5"/>
  <c r="X156" i="50"/>
  <c r="Z156" i="50" s="1"/>
  <c r="X153" i="50"/>
  <c r="Z153" i="50" s="1"/>
  <c r="AF126" i="4"/>
  <c r="AT128" i="7"/>
  <c r="AJ128" i="4"/>
  <c r="AN129" i="1"/>
  <c r="AN130" i="1"/>
  <c r="AD156" i="1"/>
  <c r="AD136" i="1"/>
  <c r="Z124" i="13" l="1"/>
  <c r="AB154" i="13"/>
  <c r="AD154" i="13" s="1"/>
  <c r="Z128" i="13"/>
  <c r="AB153" i="13"/>
  <c r="AD153" i="13" s="1"/>
  <c r="AB147" i="13"/>
  <c r="AD147" i="13" s="1"/>
  <c r="T124" i="13"/>
  <c r="V124" i="13"/>
  <c r="AB151" i="13"/>
  <c r="AD151" i="13" s="1"/>
  <c r="R124" i="13"/>
  <c r="X124" i="13"/>
  <c r="AB127" i="13"/>
  <c r="AD127" i="13" s="1"/>
  <c r="P126" i="13"/>
  <c r="AB141" i="13"/>
  <c r="AD141" i="13" s="1"/>
  <c r="AB143" i="13"/>
  <c r="AD143" i="13" s="1"/>
  <c r="AB139" i="13"/>
  <c r="AD139" i="13" s="1"/>
  <c r="AB134" i="13"/>
  <c r="AD134" i="13" s="1"/>
  <c r="T130" i="13"/>
  <c r="R126" i="13"/>
  <c r="V130" i="13"/>
  <c r="V126" i="13"/>
  <c r="T126" i="13"/>
  <c r="X126" i="13"/>
  <c r="AB156" i="13"/>
  <c r="AD156" i="13" s="1"/>
  <c r="AB135" i="13"/>
  <c r="AD135" i="13" s="1"/>
  <c r="T129" i="13"/>
  <c r="X130" i="13"/>
  <c r="P129" i="13"/>
  <c r="R129" i="13"/>
  <c r="Z130" i="13"/>
  <c r="V129" i="13"/>
  <c r="P130" i="13"/>
  <c r="X129" i="13"/>
  <c r="P128" i="13"/>
  <c r="R128" i="13"/>
  <c r="T128" i="13"/>
  <c r="V128" i="13"/>
  <c r="J104" i="2"/>
  <c r="H104" i="2"/>
  <c r="L104" i="2"/>
  <c r="V125" i="1" s="1"/>
  <c r="AK126" i="50"/>
  <c r="AJ138" i="4"/>
  <c r="AK138" i="4"/>
  <c r="AZ128" i="5"/>
  <c r="AK128" i="50"/>
  <c r="BL126" i="7"/>
  <c r="AG126" i="50"/>
  <c r="AZ126" i="5"/>
  <c r="AZ129" i="5"/>
  <c r="AJ136" i="1"/>
  <c r="AI136" i="5" s="1"/>
  <c r="AJ136" i="5" s="1"/>
  <c r="AL136" i="1"/>
  <c r="AO136" i="7" s="1"/>
  <c r="AP136" i="7" s="1"/>
  <c r="AH136" i="1"/>
  <c r="AC136" i="4" s="1"/>
  <c r="AD136" i="4" s="1"/>
  <c r="AF136" i="1"/>
  <c r="BL129" i="7"/>
  <c r="AF138" i="4"/>
  <c r="X138" i="4"/>
  <c r="Z138" i="4" s="1"/>
  <c r="X134" i="50"/>
  <c r="Z134" i="50" s="1"/>
  <c r="AJ124" i="7"/>
  <c r="AL124" i="7" s="1"/>
  <c r="AZ130" i="5"/>
  <c r="AH138" i="4"/>
  <c r="X129" i="50"/>
  <c r="Z129" i="50" s="1"/>
  <c r="AN128" i="4"/>
  <c r="BL130" i="7"/>
  <c r="AG130" i="50"/>
  <c r="AE130" i="50"/>
  <c r="AK130" i="50"/>
  <c r="AI130" i="50"/>
  <c r="AN130" i="4"/>
  <c r="X130" i="50"/>
  <c r="Z130" i="50" s="1"/>
  <c r="AG128" i="50"/>
  <c r="AI128" i="50"/>
  <c r="AH156" i="1"/>
  <c r="AC156" i="4" s="1"/>
  <c r="AD156" i="4" s="1"/>
  <c r="AJ156" i="1"/>
  <c r="AI156" i="5" s="1"/>
  <c r="AJ156" i="5" s="1"/>
  <c r="AL156" i="1"/>
  <c r="AO156" i="7" s="1"/>
  <c r="AP156" i="7" s="1"/>
  <c r="AF156" i="1"/>
  <c r="AN126" i="4"/>
  <c r="R147" i="50"/>
  <c r="V147" i="50"/>
  <c r="T147" i="50"/>
  <c r="P147" i="50"/>
  <c r="BL128" i="7"/>
  <c r="AI126" i="50"/>
  <c r="AN129" i="4"/>
  <c r="AK129" i="50"/>
  <c r="AI129" i="50"/>
  <c r="AE129" i="50"/>
  <c r="AG129" i="50"/>
  <c r="X126" i="50"/>
  <c r="Z126" i="50" s="1"/>
  <c r="F24" i="10"/>
  <c r="J24" i="10"/>
  <c r="L24" i="10"/>
  <c r="H24" i="10"/>
  <c r="H124" i="4"/>
  <c r="F124" i="50"/>
  <c r="L124" i="50" s="1"/>
  <c r="AE126" i="50"/>
  <c r="AE128" i="50"/>
  <c r="X128" i="50"/>
  <c r="Z128" i="50" s="1"/>
  <c r="AZ138" i="5"/>
  <c r="AD124" i="5"/>
  <c r="AF124" i="5" s="1"/>
  <c r="AL138" i="4"/>
  <c r="AD153" i="1"/>
  <c r="AD139" i="1"/>
  <c r="AD134" i="1"/>
  <c r="AD142" i="1"/>
  <c r="AD133" i="1"/>
  <c r="AD147" i="1"/>
  <c r="AD127" i="1"/>
  <c r="AD154" i="1"/>
  <c r="D27" i="16"/>
  <c r="G28" i="16" s="1"/>
  <c r="AD131" i="1"/>
  <c r="AD135" i="1"/>
  <c r="AD141" i="1"/>
  <c r="AD143" i="1"/>
  <c r="AD152" i="1"/>
  <c r="AD151" i="1"/>
  <c r="AB124" i="13" l="1"/>
  <c r="AD124" i="13" s="1"/>
  <c r="AB128" i="13"/>
  <c r="AD128" i="13" s="1"/>
  <c r="AB130" i="13"/>
  <c r="AD130" i="13" s="1"/>
  <c r="AB126" i="13"/>
  <c r="AD126" i="13" s="1"/>
  <c r="AB129" i="13"/>
  <c r="AD129" i="13" s="1"/>
  <c r="D104" i="2"/>
  <c r="R125" i="1"/>
  <c r="T125" i="1"/>
  <c r="AN138" i="4"/>
  <c r="D24" i="10"/>
  <c r="AN136" i="1"/>
  <c r="AL153" i="1"/>
  <c r="AO153" i="7" s="1"/>
  <c r="AP153" i="7" s="1"/>
  <c r="AH153" i="1"/>
  <c r="AC153" i="4" s="1"/>
  <c r="AD153" i="4" s="1"/>
  <c r="AJ153" i="1"/>
  <c r="AI153" i="5" s="1"/>
  <c r="AJ153" i="5" s="1"/>
  <c r="AF153" i="1"/>
  <c r="AJ142" i="1"/>
  <c r="AI142" i="5" s="1"/>
  <c r="AJ142" i="5" s="1"/>
  <c r="AF142" i="1"/>
  <c r="AH142" i="1"/>
  <c r="AC142" i="4" s="1"/>
  <c r="AD142" i="4" s="1"/>
  <c r="AL142" i="1"/>
  <c r="AO142" i="7" s="1"/>
  <c r="AP142" i="7" s="1"/>
  <c r="AL134" i="1"/>
  <c r="AO134" i="7" s="1"/>
  <c r="AP134" i="7" s="1"/>
  <c r="AF134" i="1"/>
  <c r="AJ134" i="1"/>
  <c r="AI134" i="5" s="1"/>
  <c r="AJ134" i="5" s="1"/>
  <c r="AH134" i="1"/>
  <c r="AC134" i="4" s="1"/>
  <c r="AD134" i="4" s="1"/>
  <c r="T28" i="16"/>
  <c r="AJ156" i="4"/>
  <c r="AF156" i="4"/>
  <c r="AL156" i="4"/>
  <c r="AH156" i="4"/>
  <c r="AK156" i="4"/>
  <c r="Y28" i="16"/>
  <c r="AH139" i="1"/>
  <c r="AC139" i="4" s="1"/>
  <c r="AD139" i="4" s="1"/>
  <c r="AJ139" i="1"/>
  <c r="AI139" i="5" s="1"/>
  <c r="AJ139" i="5" s="1"/>
  <c r="AF139" i="1"/>
  <c r="AL139" i="1"/>
  <c r="AO139" i="7" s="1"/>
  <c r="AP139" i="7" s="1"/>
  <c r="AJ143" i="1"/>
  <c r="AI143" i="5" s="1"/>
  <c r="AJ143" i="5" s="1"/>
  <c r="AF143" i="1"/>
  <c r="AL143" i="1"/>
  <c r="AO143" i="7" s="1"/>
  <c r="AP143" i="7" s="1"/>
  <c r="AH143" i="1"/>
  <c r="AC143" i="4" s="1"/>
  <c r="AD143" i="4" s="1"/>
  <c r="AF127" i="1"/>
  <c r="AL127" i="1"/>
  <c r="AO127" i="7" s="1"/>
  <c r="AP127" i="7" s="1"/>
  <c r="AH127" i="1"/>
  <c r="AC127" i="4" s="1"/>
  <c r="AD127" i="4" s="1"/>
  <c r="AJ127" i="1"/>
  <c r="AI127" i="5" s="1"/>
  <c r="AJ127" i="5" s="1"/>
  <c r="AF131" i="1"/>
  <c r="AJ131" i="1"/>
  <c r="AI131" i="5" s="1"/>
  <c r="AJ131" i="5" s="1"/>
  <c r="AH131" i="1"/>
  <c r="AC131" i="4" s="1"/>
  <c r="AD131" i="4" s="1"/>
  <c r="AL131" i="1"/>
  <c r="AO131" i="7" s="1"/>
  <c r="AP131" i="7" s="1"/>
  <c r="AL151" i="1"/>
  <c r="AO151" i="7" s="1"/>
  <c r="AP151" i="7" s="1"/>
  <c r="AJ151" i="1"/>
  <c r="AI151" i="5" s="1"/>
  <c r="AJ151" i="5" s="1"/>
  <c r="AF151" i="1"/>
  <c r="AH151" i="1"/>
  <c r="AC151" i="4" s="1"/>
  <c r="AD151" i="4" s="1"/>
  <c r="AJ147" i="1"/>
  <c r="AI147" i="5" s="1"/>
  <c r="AJ147" i="5" s="1"/>
  <c r="AF147" i="1"/>
  <c r="AH147" i="1"/>
  <c r="AC147" i="4" s="1"/>
  <c r="AD147" i="4" s="1"/>
  <c r="AL147" i="1"/>
  <c r="AO147" i="7" s="1"/>
  <c r="AP147" i="7" s="1"/>
  <c r="X147" i="50"/>
  <c r="Z147" i="50" s="1"/>
  <c r="AL136" i="4"/>
  <c r="AH136" i="4"/>
  <c r="AK136" i="4"/>
  <c r="AF136" i="4"/>
  <c r="AJ136" i="4"/>
  <c r="AH141" i="1"/>
  <c r="AC141" i="4" s="1"/>
  <c r="AD141" i="4" s="1"/>
  <c r="AJ141" i="1"/>
  <c r="AI141" i="5" s="1"/>
  <c r="AJ141" i="5" s="1"/>
  <c r="AL141" i="1"/>
  <c r="AO141" i="7" s="1"/>
  <c r="AP141" i="7" s="1"/>
  <c r="AF141" i="1"/>
  <c r="AJ133" i="1"/>
  <c r="AI133" i="5" s="1"/>
  <c r="AJ133" i="5" s="1"/>
  <c r="AH133" i="1"/>
  <c r="AC133" i="4" s="1"/>
  <c r="AD133" i="4" s="1"/>
  <c r="AF133" i="1"/>
  <c r="AL133" i="1"/>
  <c r="AO133" i="7" s="1"/>
  <c r="AP133" i="7" s="1"/>
  <c r="BF136" i="7"/>
  <c r="BB136" i="7"/>
  <c r="AT136" i="7"/>
  <c r="BJ136" i="7"/>
  <c r="BH136" i="7"/>
  <c r="AB136" i="50" s="1"/>
  <c r="AC136" i="50" s="1"/>
  <c r="AZ136" i="7"/>
  <c r="AV136" i="7"/>
  <c r="AR136" i="7"/>
  <c r="BD136" i="7"/>
  <c r="AX136" i="7"/>
  <c r="F28" i="16"/>
  <c r="AP28" i="16"/>
  <c r="AU28" i="16"/>
  <c r="AO28" i="16"/>
  <c r="AN28" i="16"/>
  <c r="AM28" i="16"/>
  <c r="AS28" i="16"/>
  <c r="AR28" i="16"/>
  <c r="AT28" i="16"/>
  <c r="AQ28" i="16"/>
  <c r="AH28" i="16"/>
  <c r="AD28" i="16"/>
  <c r="AC28" i="16"/>
  <c r="O28" i="16"/>
  <c r="L28" i="16"/>
  <c r="AE28" i="16"/>
  <c r="AJ28" i="16"/>
  <c r="AG28" i="16"/>
  <c r="AA28" i="16"/>
  <c r="R28" i="16"/>
  <c r="M28" i="16"/>
  <c r="N28" i="16"/>
  <c r="W28" i="16"/>
  <c r="AI28" i="16"/>
  <c r="AB28" i="16"/>
  <c r="K28" i="16"/>
  <c r="Z28" i="16"/>
  <c r="U28" i="16"/>
  <c r="AK28" i="16"/>
  <c r="H28" i="16"/>
  <c r="P28" i="16"/>
  <c r="J28" i="16"/>
  <c r="Q28" i="16"/>
  <c r="AL28" i="16"/>
  <c r="V28" i="16"/>
  <c r="I28" i="16"/>
  <c r="AF28" i="16"/>
  <c r="V124" i="50"/>
  <c r="P124" i="50"/>
  <c r="R124" i="50"/>
  <c r="T124" i="50"/>
  <c r="AH152" i="1"/>
  <c r="AC152" i="4" s="1"/>
  <c r="AD152" i="4" s="1"/>
  <c r="AL152" i="1"/>
  <c r="AO152" i="7" s="1"/>
  <c r="AP152" i="7" s="1"/>
  <c r="AJ152" i="1"/>
  <c r="AI152" i="5" s="1"/>
  <c r="AJ152" i="5" s="1"/>
  <c r="AF152" i="1"/>
  <c r="AF135" i="1"/>
  <c r="AL135" i="1"/>
  <c r="AO135" i="7" s="1"/>
  <c r="AP135" i="7" s="1"/>
  <c r="AJ135" i="1"/>
  <c r="AI135" i="5" s="1"/>
  <c r="AJ135" i="5" s="1"/>
  <c r="AH135" i="1"/>
  <c r="AC135" i="4" s="1"/>
  <c r="AD135" i="4" s="1"/>
  <c r="AF154" i="1"/>
  <c r="AH154" i="1"/>
  <c r="AC154" i="4" s="1"/>
  <c r="AD154" i="4" s="1"/>
  <c r="AJ154" i="1"/>
  <c r="AI154" i="5" s="1"/>
  <c r="AJ154" i="5" s="1"/>
  <c r="AL154" i="1"/>
  <c r="AO154" i="7" s="1"/>
  <c r="AP154" i="7" s="1"/>
  <c r="L124" i="4"/>
  <c r="AN156" i="1"/>
  <c r="X28" i="16"/>
  <c r="AT136" i="5"/>
  <c r="AP136" i="5"/>
  <c r="AL136" i="5"/>
  <c r="AR136" i="5"/>
  <c r="AN136" i="5"/>
  <c r="AX136" i="5"/>
  <c r="AV136" i="5"/>
  <c r="BF156" i="7"/>
  <c r="AV156" i="7"/>
  <c r="BH156" i="7"/>
  <c r="AB156" i="50" s="1"/>
  <c r="AC156" i="50" s="1"/>
  <c r="AR156" i="7"/>
  <c r="AT156" i="7"/>
  <c r="BB156" i="7"/>
  <c r="BD156" i="7"/>
  <c r="AX156" i="7"/>
  <c r="AZ156" i="7"/>
  <c r="BJ156" i="7"/>
  <c r="S28" i="16"/>
  <c r="AP156" i="5"/>
  <c r="AL156" i="5"/>
  <c r="AR156" i="5"/>
  <c r="AX156" i="5"/>
  <c r="AV156" i="5"/>
  <c r="AT156" i="5"/>
  <c r="AN156" i="5"/>
  <c r="F125" i="7"/>
  <c r="AL125" i="7" s="1"/>
  <c r="AL125" i="1"/>
  <c r="AO125" i="7" s="1"/>
  <c r="F125" i="13"/>
  <c r="AF125" i="1"/>
  <c r="L125" i="13" l="1"/>
  <c r="T125" i="13" s="1"/>
  <c r="X125" i="1"/>
  <c r="Z125" i="1" s="1"/>
  <c r="V124" i="4"/>
  <c r="T124" i="4"/>
  <c r="R124" i="4"/>
  <c r="P124" i="4"/>
  <c r="F125" i="5"/>
  <c r="L125" i="5" s="1"/>
  <c r="F125" i="4"/>
  <c r="L125" i="4" s="1"/>
  <c r="AJ125" i="1"/>
  <c r="AI125" i="5" s="1"/>
  <c r="AH125" i="1"/>
  <c r="AC125" i="4" s="1"/>
  <c r="AN139" i="1"/>
  <c r="AP125" i="7"/>
  <c r="AX125" i="7" s="1"/>
  <c r="AN156" i="4"/>
  <c r="AN147" i="1"/>
  <c r="AN153" i="1"/>
  <c r="AN131" i="1"/>
  <c r="AN151" i="1"/>
  <c r="AJ135" i="4"/>
  <c r="AK135" i="4"/>
  <c r="AF135" i="4"/>
  <c r="AL135" i="4"/>
  <c r="AH135" i="4"/>
  <c r="AK154" i="4"/>
  <c r="AL154" i="4"/>
  <c r="AF154" i="4"/>
  <c r="AH154" i="4"/>
  <c r="AJ154" i="4"/>
  <c r="BF152" i="7"/>
  <c r="BJ152" i="7"/>
  <c r="AV152" i="7"/>
  <c r="AX152" i="7"/>
  <c r="AT152" i="7"/>
  <c r="AR152" i="7"/>
  <c r="BB152" i="7"/>
  <c r="BH152" i="7"/>
  <c r="AB152" i="50" s="1"/>
  <c r="AC152" i="50" s="1"/>
  <c r="AZ152" i="7"/>
  <c r="BD152" i="7"/>
  <c r="AP147" i="5"/>
  <c r="AT147" i="5"/>
  <c r="AX147" i="5"/>
  <c r="AV147" i="5"/>
  <c r="AN147" i="5"/>
  <c r="AR147" i="5"/>
  <c r="AL147" i="5"/>
  <c r="AK139" i="4"/>
  <c r="AF139" i="4"/>
  <c r="AJ139" i="4"/>
  <c r="AL139" i="4"/>
  <c r="AH139" i="4"/>
  <c r="AN142" i="1"/>
  <c r="AE136" i="50"/>
  <c r="AK136" i="50"/>
  <c r="AI136" i="50"/>
  <c r="AG136" i="50"/>
  <c r="AL143" i="5"/>
  <c r="AN143" i="5"/>
  <c r="AP143" i="5"/>
  <c r="AX143" i="5"/>
  <c r="AR143" i="5"/>
  <c r="AT143" i="5"/>
  <c r="AV143" i="5"/>
  <c r="AN154" i="1"/>
  <c r="AF152" i="4"/>
  <c r="AL152" i="4"/>
  <c r="AJ152" i="4"/>
  <c r="AH152" i="4"/>
  <c r="AK152" i="4"/>
  <c r="AN141" i="1"/>
  <c r="AN136" i="4"/>
  <c r="AK151" i="4"/>
  <c r="AH151" i="4"/>
  <c r="AL151" i="4"/>
  <c r="AJ151" i="4"/>
  <c r="AF151" i="4"/>
  <c r="AN143" i="1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X151" i="5"/>
  <c r="AR151" i="5"/>
  <c r="AP151" i="5"/>
  <c r="AN151" i="5"/>
  <c r="AT151" i="5"/>
  <c r="AL151" i="5"/>
  <c r="AV15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AB135" i="50" s="1"/>
  <c r="AC135" i="50" s="1"/>
  <c r="BB135" i="7"/>
  <c r="D28" i="16"/>
  <c r="BD133" i="7"/>
  <c r="BH133" i="7"/>
  <c r="AB133" i="50" s="1"/>
  <c r="AC133" i="50" s="1"/>
  <c r="AZ133" i="7"/>
  <c r="AT133" i="7"/>
  <c r="BF133" i="7"/>
  <c r="AR133" i="7"/>
  <c r="BJ133" i="7"/>
  <c r="AV133" i="7"/>
  <c r="AX133" i="7"/>
  <c r="BB133" i="7"/>
  <c r="AJ141" i="4"/>
  <c r="AH141" i="4"/>
  <c r="AK141" i="4"/>
  <c r="AL141" i="4"/>
  <c r="AF141" i="4"/>
  <c r="AT151" i="7"/>
  <c r="AX151" i="7"/>
  <c r="AR151" i="7"/>
  <c r="AZ151" i="7"/>
  <c r="BF151" i="7"/>
  <c r="AV151" i="7"/>
  <c r="BJ151" i="7"/>
  <c r="BD151" i="7"/>
  <c r="BB151" i="7"/>
  <c r="BH151" i="7"/>
  <c r="AB151" i="50" s="1"/>
  <c r="AC151" i="50" s="1"/>
  <c r="AF127" i="4"/>
  <c r="AL127" i="4"/>
  <c r="AK127" i="4"/>
  <c r="AH127" i="4"/>
  <c r="AJ127" i="4"/>
  <c r="AN134" i="1"/>
  <c r="AH153" i="4"/>
  <c r="AK153" i="4"/>
  <c r="AF153" i="4"/>
  <c r="AL153" i="4"/>
  <c r="AJ153" i="4"/>
  <c r="AJ134" i="4"/>
  <c r="AH134" i="4"/>
  <c r="AF134" i="4"/>
  <c r="AK134" i="4"/>
  <c r="AL134" i="4"/>
  <c r="BL156" i="7"/>
  <c r="AN135" i="1"/>
  <c r="AN133" i="1"/>
  <c r="AR147" i="7"/>
  <c r="BB147" i="7"/>
  <c r="AT147" i="7"/>
  <c r="BF147" i="7"/>
  <c r="AX147" i="7"/>
  <c r="AZ147" i="7"/>
  <c r="BD147" i="7"/>
  <c r="BJ147" i="7"/>
  <c r="AV147" i="7"/>
  <c r="BH147" i="7"/>
  <c r="AB147" i="50" s="1"/>
  <c r="AC147" i="50" s="1"/>
  <c r="AT131" i="7"/>
  <c r="AX131" i="7"/>
  <c r="AV131" i="7"/>
  <c r="BH131" i="7"/>
  <c r="AB131" i="50" s="1"/>
  <c r="AC131" i="50" s="1"/>
  <c r="BD131" i="7"/>
  <c r="AR131" i="7"/>
  <c r="AZ131" i="7"/>
  <c r="BB131" i="7"/>
  <c r="BJ131" i="7"/>
  <c r="BF131" i="7"/>
  <c r="BF127" i="7"/>
  <c r="BH127" i="7"/>
  <c r="AB127" i="50" s="1"/>
  <c r="AC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AB134" i="50" s="1"/>
  <c r="AC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AB153" i="50" s="1"/>
  <c r="AC153" i="50" s="1"/>
  <c r="BJ153" i="7"/>
  <c r="AX153" i="7"/>
  <c r="BB153" i="7"/>
  <c r="AT153" i="7"/>
  <c r="AV153" i="7"/>
  <c r="AZ153" i="7"/>
  <c r="AZ156" i="5"/>
  <c r="AK156" i="50"/>
  <c r="AG156" i="50"/>
  <c r="AI156" i="50"/>
  <c r="AE156" i="50"/>
  <c r="AT154" i="7"/>
  <c r="BH154" i="7"/>
  <c r="AB154" i="50" s="1"/>
  <c r="AC154" i="50" s="1"/>
  <c r="AR154" i="7"/>
  <c r="BD154" i="7"/>
  <c r="BF154" i="7"/>
  <c r="BB154" i="7"/>
  <c r="AX154" i="7"/>
  <c r="BJ154" i="7"/>
  <c r="AV154" i="7"/>
  <c r="AZ154" i="7"/>
  <c r="AN152" i="1"/>
  <c r="X124" i="50"/>
  <c r="Z124" i="50" s="1"/>
  <c r="AK133" i="4"/>
  <c r="AJ133" i="4"/>
  <c r="AF133" i="4"/>
  <c r="AH133" i="4"/>
  <c r="AL133" i="4"/>
  <c r="AK147" i="4"/>
  <c r="AL147" i="4"/>
  <c r="AH147" i="4"/>
  <c r="AF147" i="4"/>
  <c r="AJ147" i="4"/>
  <c r="AL131" i="4"/>
  <c r="AF131" i="4"/>
  <c r="AK131" i="4"/>
  <c r="AH131" i="4"/>
  <c r="AJ131" i="4"/>
  <c r="AN127" i="1"/>
  <c r="AD124" i="1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F143" i="4"/>
  <c r="AH143" i="4"/>
  <c r="AL143" i="4"/>
  <c r="AK143" i="4"/>
  <c r="AJ143" i="4"/>
  <c r="AR139" i="5"/>
  <c r="AN139" i="5"/>
  <c r="AT139" i="5"/>
  <c r="AL139" i="5"/>
  <c r="AP139" i="5"/>
  <c r="AX139" i="5"/>
  <c r="AV139" i="5"/>
  <c r="AH142" i="4"/>
  <c r="AJ142" i="4"/>
  <c r="AK142" i="4"/>
  <c r="AL142" i="4"/>
  <c r="AF142" i="4"/>
  <c r="V125" i="13" l="1"/>
  <c r="R125" i="13"/>
  <c r="Z125" i="13"/>
  <c r="P125" i="13"/>
  <c r="X125" i="13"/>
  <c r="R125" i="5"/>
  <c r="P125" i="5"/>
  <c r="Z125" i="5"/>
  <c r="X125" i="5"/>
  <c r="AB125" i="5"/>
  <c r="T125" i="5"/>
  <c r="V125" i="5"/>
  <c r="AN125" i="1"/>
  <c r="AD125" i="4"/>
  <c r="AK125" i="4" s="1"/>
  <c r="AJ125" i="5"/>
  <c r="AV125" i="7"/>
  <c r="BH125" i="7"/>
  <c r="AB125" i="50" s="1"/>
  <c r="AC125" i="50" s="1"/>
  <c r="AI125" i="50" s="1"/>
  <c r="BB125" i="7"/>
  <c r="AR125" i="7"/>
  <c r="BF125" i="7"/>
  <c r="BJ125" i="7"/>
  <c r="AT125" i="7"/>
  <c r="BD125" i="7"/>
  <c r="AZ125" i="7"/>
  <c r="AZ152" i="5"/>
  <c r="AZ154" i="5"/>
  <c r="AN142" i="4"/>
  <c r="BL135" i="7"/>
  <c r="AZ134" i="5"/>
  <c r="BL154" i="7"/>
  <c r="BL134" i="7"/>
  <c r="AG134" i="50"/>
  <c r="AK134" i="50"/>
  <c r="AE134" i="50"/>
  <c r="AI134" i="50"/>
  <c r="F74" i="10"/>
  <c r="X124" i="4"/>
  <c r="Z124" i="4" s="1"/>
  <c r="BL147" i="7"/>
  <c r="AN131" i="4"/>
  <c r="AG147" i="50"/>
  <c r="AI147" i="50"/>
  <c r="AE147" i="50"/>
  <c r="AK147" i="50"/>
  <c r="J74" i="10"/>
  <c r="AZ147" i="5"/>
  <c r="L74" i="10"/>
  <c r="AZ131" i="5"/>
  <c r="AH124" i="1"/>
  <c r="AC124" i="4" s="1"/>
  <c r="AD124" i="4" s="1"/>
  <c r="AJ124" i="1"/>
  <c r="AI124" i="5" s="1"/>
  <c r="AJ124" i="5" s="1"/>
  <c r="AL124" i="1"/>
  <c r="AO124" i="7" s="1"/>
  <c r="AP124" i="7" s="1"/>
  <c r="AF124" i="1"/>
  <c r="AI154" i="50"/>
  <c r="AG154" i="50"/>
  <c r="AK154" i="50"/>
  <c r="AE154" i="50"/>
  <c r="BL131" i="7"/>
  <c r="AN127" i="4"/>
  <c r="AG133" i="50"/>
  <c r="AK133" i="50"/>
  <c r="AI133" i="50"/>
  <c r="AE133" i="50"/>
  <c r="AZ143" i="5"/>
  <c r="H74" i="10"/>
  <c r="AN134" i="4"/>
  <c r="AN141" i="4"/>
  <c r="AE152" i="50"/>
  <c r="AK152" i="50"/>
  <c r="AI152" i="50"/>
  <c r="AG152" i="50"/>
  <c r="AN135" i="4"/>
  <c r="AZ139" i="5"/>
  <c r="AE153" i="50"/>
  <c r="AG153" i="50"/>
  <c r="AI153" i="50"/>
  <c r="AK153" i="50"/>
  <c r="BL127" i="7"/>
  <c r="AK127" i="50"/>
  <c r="AG127" i="50"/>
  <c r="AE127" i="50"/>
  <c r="AI127" i="50"/>
  <c r="AI131" i="50"/>
  <c r="AK131" i="50"/>
  <c r="AE131" i="50"/>
  <c r="AG131" i="50"/>
  <c r="BL151" i="7"/>
  <c r="AI135" i="50"/>
  <c r="AK135" i="50"/>
  <c r="AG135" i="50"/>
  <c r="AE135" i="50"/>
  <c r="AZ153" i="5"/>
  <c r="AZ127" i="5"/>
  <c r="AZ151" i="5"/>
  <c r="AN139" i="4"/>
  <c r="AN147" i="4"/>
  <c r="BL153" i="7"/>
  <c r="AK151" i="50"/>
  <c r="AZ142" i="5"/>
  <c r="AN151" i="4"/>
  <c r="AN152" i="4"/>
  <c r="BL152" i="7"/>
  <c r="AN143" i="4"/>
  <c r="AN133" i="4"/>
  <c r="H157" i="1"/>
  <c r="AN153" i="4"/>
  <c r="BL133" i="7"/>
  <c r="AZ141" i="5"/>
  <c r="AN154" i="4"/>
  <c r="AB125" i="13" l="1"/>
  <c r="AD125" i="13" s="1"/>
  <c r="AR125" i="5"/>
  <c r="AN125" i="5"/>
  <c r="AD125" i="5"/>
  <c r="AF125" i="5" s="1"/>
  <c r="AT125" i="5"/>
  <c r="AP125" i="5"/>
  <c r="AV125" i="5"/>
  <c r="AX125" i="5"/>
  <c r="AL125" i="5"/>
  <c r="AE125" i="50"/>
  <c r="AG125" i="50"/>
  <c r="AK125" i="50"/>
  <c r="BL125" i="7"/>
  <c r="H162" i="1"/>
  <c r="H164" i="1" s="1"/>
  <c r="H180" i="1" s="1"/>
  <c r="L157" i="1"/>
  <c r="AN124" i="1"/>
  <c r="BF124" i="7"/>
  <c r="BH124" i="7"/>
  <c r="AB124" i="50" s="1"/>
  <c r="AC124" i="50" s="1"/>
  <c r="BJ124" i="7"/>
  <c r="BB124" i="7"/>
  <c r="AR124" i="7"/>
  <c r="AZ124" i="7"/>
  <c r="AX124" i="7"/>
  <c r="AT124" i="7"/>
  <c r="AV124" i="7"/>
  <c r="BD124" i="7"/>
  <c r="D74" i="10"/>
  <c r="AP124" i="5"/>
  <c r="AT124" i="5"/>
  <c r="AL124" i="5"/>
  <c r="AR124" i="5"/>
  <c r="AV124" i="5"/>
  <c r="AN124" i="5"/>
  <c r="AX124" i="5"/>
  <c r="AJ124" i="4"/>
  <c r="AL124" i="4"/>
  <c r="AH124" i="4"/>
  <c r="AF124" i="4"/>
  <c r="AK124" i="4"/>
  <c r="AZ125" i="5" l="1"/>
  <c r="V157" i="1"/>
  <c r="T157" i="1"/>
  <c r="R157" i="1"/>
  <c r="P157" i="1"/>
  <c r="H75" i="10"/>
  <c r="L75" i="10"/>
  <c r="F75" i="10"/>
  <c r="P125" i="4" s="1"/>
  <c r="BL124" i="7"/>
  <c r="AZ124" i="5"/>
  <c r="AI124" i="50"/>
  <c r="AK124" i="50"/>
  <c r="AE124" i="50"/>
  <c r="AG124" i="50"/>
  <c r="J75" i="10"/>
  <c r="T125" i="4" s="1"/>
  <c r="AN124" i="4"/>
  <c r="R125" i="4" l="1"/>
  <c r="V125" i="4"/>
  <c r="X157" i="1"/>
  <c r="Z157" i="1" s="1"/>
  <c r="F157" i="13"/>
  <c r="AF157" i="1"/>
  <c r="AJ125" i="4"/>
  <c r="F157" i="4"/>
  <c r="L157" i="4" s="1"/>
  <c r="AH157" i="1"/>
  <c r="AC157" i="4" s="1"/>
  <c r="F157" i="5"/>
  <c r="L157" i="5" s="1"/>
  <c r="AJ157" i="1"/>
  <c r="AI157" i="5" s="1"/>
  <c r="F157" i="7"/>
  <c r="L157" i="7" s="1"/>
  <c r="AL157" i="1"/>
  <c r="AO157" i="7" s="1"/>
  <c r="D75" i="10"/>
  <c r="L157" i="13" l="1"/>
  <c r="R157" i="13" s="1"/>
  <c r="Z157" i="7"/>
  <c r="X157" i="7"/>
  <c r="V157" i="7"/>
  <c r="AB157" i="7"/>
  <c r="T157" i="7"/>
  <c r="R157" i="7"/>
  <c r="P157" i="7"/>
  <c r="AH157" i="7"/>
  <c r="AF157" i="7"/>
  <c r="AD157" i="7"/>
  <c r="X157" i="5"/>
  <c r="V157" i="5"/>
  <c r="T157" i="5"/>
  <c r="R157" i="5"/>
  <c r="P157" i="5"/>
  <c r="Z157" i="5"/>
  <c r="AB157" i="5"/>
  <c r="AL125" i="4"/>
  <c r="AH125" i="4"/>
  <c r="V157" i="4"/>
  <c r="T157" i="4"/>
  <c r="R157" i="4"/>
  <c r="P157" i="4"/>
  <c r="T157" i="13"/>
  <c r="P157" i="13"/>
  <c r="Z157" i="13"/>
  <c r="X157" i="13"/>
  <c r="V157" i="13"/>
  <c r="AP157" i="7"/>
  <c r="AJ157" i="5"/>
  <c r="AD157" i="4"/>
  <c r="AN157" i="1"/>
  <c r="X125" i="4"/>
  <c r="Z125" i="4" s="1"/>
  <c r="AF125" i="4"/>
  <c r="L145" i="1"/>
  <c r="AD145" i="1"/>
  <c r="AN157" i="5" l="1"/>
  <c r="AX157" i="7"/>
  <c r="AN125" i="4"/>
  <c r="AZ157" i="7"/>
  <c r="V145" i="1"/>
  <c r="T145" i="1"/>
  <c r="R145" i="1"/>
  <c r="P145" i="1"/>
  <c r="BJ157" i="7"/>
  <c r="AL157" i="5"/>
  <c r="AR157" i="7"/>
  <c r="AP157" i="5"/>
  <c r="BH157" i="7"/>
  <c r="AB157" i="50" s="1"/>
  <c r="AX157" i="5"/>
  <c r="AT157" i="7"/>
  <c r="AV157" i="5"/>
  <c r="AH157" i="4"/>
  <c r="AK157" i="4"/>
  <c r="AL157" i="4"/>
  <c r="AF157" i="4"/>
  <c r="AT157" i="5"/>
  <c r="AJ157" i="4"/>
  <c r="AB157" i="13"/>
  <c r="AD157" i="13" s="1"/>
  <c r="AV157" i="7"/>
  <c r="AD157" i="5"/>
  <c r="AF157" i="5" s="1"/>
  <c r="AJ157" i="7"/>
  <c r="AL157" i="7" s="1"/>
  <c r="BF157" i="7"/>
  <c r="AR157" i="5"/>
  <c r="X157" i="4"/>
  <c r="Z157" i="4" s="1"/>
  <c r="BB157" i="7"/>
  <c r="F157" i="50"/>
  <c r="L157" i="50" s="1"/>
  <c r="BD157" i="7"/>
  <c r="AN157" i="4" l="1"/>
  <c r="AZ157" i="5"/>
  <c r="AC157" i="50"/>
  <c r="BL157" i="7"/>
  <c r="R157" i="50"/>
  <c r="H24" i="51" s="1"/>
  <c r="V157" i="50"/>
  <c r="T157" i="50"/>
  <c r="J24" i="51" s="1"/>
  <c r="P157" i="50"/>
  <c r="F24" i="51" s="1"/>
  <c r="D24" i="51" l="1"/>
  <c r="F25" i="51" s="1"/>
  <c r="AG157" i="50"/>
  <c r="AK157" i="50"/>
  <c r="AE157" i="50"/>
  <c r="X157" i="50"/>
  <c r="Z157" i="50" s="1"/>
  <c r="AI157" i="50"/>
  <c r="H25" i="51" l="1"/>
  <c r="J25" i="51"/>
  <c r="D25" i="51" l="1"/>
  <c r="F145" i="7"/>
  <c r="L145" i="7" s="1"/>
  <c r="R151" i="50"/>
  <c r="P151" i="50"/>
  <c r="F145" i="5"/>
  <c r="L145" i="5" s="1"/>
  <c r="AJ145" i="1"/>
  <c r="AI145" i="5" s="1"/>
  <c r="T151" i="50"/>
  <c r="F145" i="4"/>
  <c r="L145" i="4" s="1"/>
  <c r="AH145" i="1"/>
  <c r="AC145" i="4" s="1"/>
  <c r="AL145" i="1" l="1"/>
  <c r="AO145" i="7" s="1"/>
  <c r="AP145" i="7" s="1"/>
  <c r="AJ145" i="5"/>
  <c r="AG151" i="50"/>
  <c r="AD145" i="4"/>
  <c r="X151" i="50"/>
  <c r="Z151" i="50" s="1"/>
  <c r="AE151" i="50"/>
  <c r="AI151" i="50"/>
  <c r="F145" i="13"/>
  <c r="X145" i="1"/>
  <c r="Z145" i="1" s="1"/>
  <c r="AF145" i="1"/>
  <c r="L145" i="13" l="1"/>
  <c r="P145" i="13" s="1"/>
  <c r="AN145" i="1"/>
  <c r="AK145" i="4"/>
  <c r="R145" i="13" l="1"/>
  <c r="T145" i="13"/>
  <c r="X145" i="13"/>
  <c r="V145" i="13"/>
  <c r="Z145" i="13"/>
  <c r="AB145" i="13" l="1"/>
  <c r="AD145" i="13" s="1"/>
  <c r="D15" i="16"/>
  <c r="I16" i="16" s="1"/>
  <c r="F16" i="16" l="1"/>
  <c r="AL16" i="16"/>
  <c r="AE16" i="16"/>
  <c r="AK16" i="16"/>
  <c r="AH16" i="16"/>
  <c r="AI16" i="16"/>
  <c r="L16" i="16"/>
  <c r="T16" i="16"/>
  <c r="M16" i="16"/>
  <c r="G16" i="16"/>
  <c r="O16" i="16"/>
  <c r="U16" i="16"/>
  <c r="AF16" i="16"/>
  <c r="Y16" i="16"/>
  <c r="H49" i="9"/>
  <c r="H49" i="49" s="1"/>
  <c r="H52" i="49" s="1"/>
  <c r="AU16" i="16"/>
  <c r="AO16" i="16"/>
  <c r="AR16" i="16"/>
  <c r="AS16" i="16"/>
  <c r="AP16" i="16"/>
  <c r="AT16" i="16"/>
  <c r="AM16" i="16"/>
  <c r="AQ16" i="16"/>
  <c r="AN16" i="16"/>
  <c r="W16" i="16"/>
  <c r="Q16" i="16"/>
  <c r="K16" i="16"/>
  <c r="AJ16" i="16"/>
  <c r="N16" i="16"/>
  <c r="H16" i="16"/>
  <c r="AG16" i="16"/>
  <c r="S16" i="16"/>
  <c r="AC16" i="16"/>
  <c r="V16" i="16"/>
  <c r="P16" i="16"/>
  <c r="J16" i="16"/>
  <c r="AB16" i="16"/>
  <c r="AA16" i="16"/>
  <c r="Z16" i="16"/>
  <c r="AD16" i="16"/>
  <c r="X16" i="16"/>
  <c r="R16" i="16"/>
  <c r="D16" i="16" l="1"/>
  <c r="L160" i="1" l="1"/>
  <c r="AD160" i="1"/>
  <c r="L108" i="1" l="1"/>
  <c r="L110" i="1" s="1"/>
  <c r="F110" i="1"/>
  <c r="H178" i="7" l="1"/>
  <c r="L176" i="1" l="1"/>
  <c r="F178" i="1"/>
  <c r="R176" i="1" l="1"/>
  <c r="T176" i="1"/>
  <c r="V176" i="1"/>
  <c r="P176" i="1"/>
  <c r="AD121" i="1"/>
  <c r="L121" i="1"/>
  <c r="L178" i="1"/>
  <c r="R121" i="1" l="1"/>
  <c r="AH121" i="1" s="1"/>
  <c r="AC121" i="4" s="1"/>
  <c r="AD121" i="4" s="1"/>
  <c r="P121" i="1"/>
  <c r="V121" i="1"/>
  <c r="AL121" i="1" s="1"/>
  <c r="AO121" i="7" s="1"/>
  <c r="AP121" i="7" s="1"/>
  <c r="T121" i="1"/>
  <c r="F121" i="5" s="1"/>
  <c r="L121" i="5" s="1"/>
  <c r="F176" i="13"/>
  <c r="X176" i="1"/>
  <c r="P178" i="1"/>
  <c r="F176" i="7"/>
  <c r="V178" i="1"/>
  <c r="F176" i="5"/>
  <c r="T178" i="1"/>
  <c r="F176" i="4"/>
  <c r="R178" i="1"/>
  <c r="AB121" i="5" l="1"/>
  <c r="Z121" i="5"/>
  <c r="X121" i="5"/>
  <c r="T121" i="5"/>
  <c r="R121" i="5"/>
  <c r="P121" i="5"/>
  <c r="V121" i="5"/>
  <c r="AJ121" i="1"/>
  <c r="AI121" i="5" s="1"/>
  <c r="AJ121" i="5" s="1"/>
  <c r="F121" i="13"/>
  <c r="X121" i="1"/>
  <c r="Z121" i="1" s="1"/>
  <c r="L176" i="5"/>
  <c r="F178" i="5"/>
  <c r="Z176" i="1"/>
  <c r="X178" i="1"/>
  <c r="Z178" i="1" s="1"/>
  <c r="L176" i="13"/>
  <c r="F178" i="13"/>
  <c r="AF121" i="1"/>
  <c r="L176" i="7"/>
  <c r="F178" i="7"/>
  <c r="AZ121" i="7"/>
  <c r="AX121" i="7"/>
  <c r="AV121" i="7"/>
  <c r="BJ121" i="7"/>
  <c r="BD121" i="7"/>
  <c r="AR121" i="7"/>
  <c r="AT121" i="7"/>
  <c r="BH121" i="7"/>
  <c r="AB121" i="50" s="1"/>
  <c r="AC121" i="50" s="1"/>
  <c r="BB121" i="7"/>
  <c r="BF121" i="7"/>
  <c r="L176" i="4"/>
  <c r="F178" i="4"/>
  <c r="L121" i="13" l="1"/>
  <c r="R121" i="13" s="1"/>
  <c r="L178" i="7"/>
  <c r="AB176" i="5"/>
  <c r="Z176" i="5"/>
  <c r="X176" i="5"/>
  <c r="V176" i="5"/>
  <c r="T176" i="5"/>
  <c r="R176" i="5"/>
  <c r="P176" i="5"/>
  <c r="V176" i="4"/>
  <c r="T176" i="4"/>
  <c r="R176" i="4"/>
  <c r="P176" i="4"/>
  <c r="Z176" i="13"/>
  <c r="X176" i="13"/>
  <c r="V176" i="13"/>
  <c r="T176" i="13"/>
  <c r="R176" i="13"/>
  <c r="P176" i="13"/>
  <c r="AN121" i="1"/>
  <c r="L178" i="13"/>
  <c r="AE121" i="50"/>
  <c r="AG121" i="50"/>
  <c r="AK121" i="50"/>
  <c r="AI121" i="50"/>
  <c r="BL121" i="7"/>
  <c r="L178" i="5"/>
  <c r="L178" i="4"/>
  <c r="V121" i="13" l="1"/>
  <c r="T121" i="13"/>
  <c r="Z121" i="13"/>
  <c r="X121" i="13"/>
  <c r="P121" i="13"/>
  <c r="V178" i="4"/>
  <c r="X178" i="5"/>
  <c r="T178" i="5"/>
  <c r="AB178" i="5"/>
  <c r="V178" i="5"/>
  <c r="AD176" i="5"/>
  <c r="P178" i="5"/>
  <c r="X176" i="4"/>
  <c r="P178" i="4"/>
  <c r="R178" i="5"/>
  <c r="T178" i="4"/>
  <c r="R178" i="4"/>
  <c r="Z178" i="5"/>
  <c r="AB176" i="13"/>
  <c r="AD176" i="13" s="1"/>
  <c r="AB121" i="13" l="1"/>
  <c r="AD121" i="13" s="1"/>
  <c r="Z176" i="4"/>
  <c r="X178" i="4"/>
  <c r="Z178" i="4" s="1"/>
  <c r="AF176" i="5"/>
  <c r="AD178" i="5"/>
  <c r="AF178" i="5" s="1"/>
  <c r="AD120" i="1" l="1"/>
  <c r="L120" i="1"/>
  <c r="P120" i="1" l="1"/>
  <c r="AF120" i="1" s="1"/>
  <c r="T120" i="1"/>
  <c r="F120" i="5" s="1"/>
  <c r="L120" i="5" s="1"/>
  <c r="V120" i="1"/>
  <c r="F120" i="7" s="1"/>
  <c r="L120" i="7" s="1"/>
  <c r="R120" i="1"/>
  <c r="F120" i="4" s="1"/>
  <c r="AH120" i="7" l="1"/>
  <c r="R120" i="7"/>
  <c r="AF120" i="7"/>
  <c r="F120" i="50" s="1"/>
  <c r="L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H120" i="1"/>
  <c r="AC120" i="4" s="1"/>
  <c r="AD120" i="4" s="1"/>
  <c r="AJ120" i="1"/>
  <c r="AI120" i="5" s="1"/>
  <c r="AJ120" i="5" s="1"/>
  <c r="AL120" i="1"/>
  <c r="AO120" i="7" s="1"/>
  <c r="AP120" i="7" s="1"/>
  <c r="X120" i="1"/>
  <c r="Z120" i="1" s="1"/>
  <c r="F120" i="13"/>
  <c r="L120" i="13" l="1"/>
  <c r="Z120" i="13" s="1"/>
  <c r="AD120" i="5"/>
  <c r="AF120" i="5" s="1"/>
  <c r="V120" i="50"/>
  <c r="T120" i="50"/>
  <c r="P120" i="50"/>
  <c r="R120" i="50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AB120" i="50" s="1"/>
  <c r="AC120" i="50" s="1"/>
  <c r="BJ120" i="7"/>
  <c r="AZ120" i="7"/>
  <c r="BD120" i="7"/>
  <c r="AT120" i="7"/>
  <c r="AR120" i="7"/>
  <c r="AJ120" i="7"/>
  <c r="AL120" i="7" s="1"/>
  <c r="AN120" i="1"/>
  <c r="P120" i="13" l="1"/>
  <c r="T120" i="13"/>
  <c r="R120" i="13"/>
  <c r="V120" i="13"/>
  <c r="X120" i="13"/>
  <c r="AZ120" i="5"/>
  <c r="X120" i="50"/>
  <c r="Z120" i="50" s="1"/>
  <c r="AE120" i="50"/>
  <c r="AI120" i="50"/>
  <c r="AG120" i="50"/>
  <c r="AK120" i="50"/>
  <c r="BL120" i="7"/>
  <c r="AB120" i="13" l="1"/>
  <c r="AD120" i="13" s="1"/>
  <c r="D32" i="10"/>
  <c r="L33" i="10" s="1"/>
  <c r="F33" i="10" l="1"/>
  <c r="J33" i="10"/>
  <c r="H33" i="10"/>
  <c r="D33" i="10" l="1"/>
  <c r="D68" i="10" l="1"/>
  <c r="F69" i="10" s="1"/>
  <c r="P109" i="4" s="1"/>
  <c r="L69" i="10" l="1"/>
  <c r="V109" i="4" s="1"/>
  <c r="H69" i="10"/>
  <c r="R109" i="4" s="1"/>
  <c r="J69" i="10"/>
  <c r="T109" i="4" s="1"/>
  <c r="D69" i="10" l="1"/>
  <c r="X109" i="4"/>
  <c r="Z109" i="4" s="1"/>
  <c r="L117" i="1" l="1"/>
  <c r="AD117" i="1"/>
  <c r="D15" i="14"/>
  <c r="P117" i="1" l="1"/>
  <c r="R117" i="1"/>
  <c r="V117" i="1"/>
  <c r="T117" i="1"/>
  <c r="AD118" i="1"/>
  <c r="L118" i="1"/>
  <c r="F16" i="14"/>
  <c r="L16" i="14"/>
  <c r="P16" i="14"/>
  <c r="H16" i="14"/>
  <c r="J16" i="14"/>
  <c r="N16" i="14"/>
  <c r="P118" i="1" l="1"/>
  <c r="T118" i="1"/>
  <c r="V118" i="1"/>
  <c r="R118" i="1"/>
  <c r="D16" i="14"/>
  <c r="F117" i="4" l="1"/>
  <c r="L117" i="4" s="1"/>
  <c r="AH117" i="1"/>
  <c r="AC117" i="4" s="1"/>
  <c r="D41" i="10"/>
  <c r="H42" i="10" s="1"/>
  <c r="V117" i="4" l="1"/>
  <c r="T117" i="4"/>
  <c r="R117" i="4"/>
  <c r="P117" i="4"/>
  <c r="AD117" i="4"/>
  <c r="L42" i="10"/>
  <c r="F42" i="10"/>
  <c r="J42" i="10"/>
  <c r="F117" i="7"/>
  <c r="L117" i="7" s="1"/>
  <c r="AL117" i="1"/>
  <c r="AO117" i="7" s="1"/>
  <c r="F117" i="5"/>
  <c r="L117" i="5" s="1"/>
  <c r="AJ117" i="1"/>
  <c r="AI117" i="5" s="1"/>
  <c r="AD117" i="7" l="1"/>
  <c r="AB117" i="7"/>
  <c r="Z117" i="7"/>
  <c r="P117" i="7"/>
  <c r="AH117" i="7"/>
  <c r="AF117" i="7"/>
  <c r="F117" i="50" s="1"/>
  <c r="L117" i="50" s="1"/>
  <c r="R117" i="7"/>
  <c r="X117" i="7"/>
  <c r="V117" i="7"/>
  <c r="T117" i="7"/>
  <c r="T117" i="5"/>
  <c r="R117" i="5"/>
  <c r="P117" i="5"/>
  <c r="AB117" i="5"/>
  <c r="Z117" i="5"/>
  <c r="X117" i="5"/>
  <c r="V117" i="5"/>
  <c r="AP117" i="7"/>
  <c r="AJ117" i="5"/>
  <c r="D42" i="10"/>
  <c r="H120" i="4" s="1"/>
  <c r="F117" i="13"/>
  <c r="X117" i="1"/>
  <c r="Z117" i="1" s="1"/>
  <c r="AF117" i="1"/>
  <c r="AN117" i="1" s="1"/>
  <c r="X117" i="4"/>
  <c r="Z117" i="4" s="1"/>
  <c r="L117" i="13" l="1"/>
  <c r="R117" i="13" s="1"/>
  <c r="H162" i="4"/>
  <c r="L120" i="4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AJ117" i="7"/>
  <c r="AL117" i="7" s="1"/>
  <c r="BH117" i="7"/>
  <c r="AB117" i="50" s="1"/>
  <c r="AC117" i="50" s="1"/>
  <c r="AZ117" i="7"/>
  <c r="AD119" i="1"/>
  <c r="L119" i="1"/>
  <c r="V117" i="50"/>
  <c r="T117" i="50"/>
  <c r="R117" i="50"/>
  <c r="P117" i="50"/>
  <c r="BB117" i="7"/>
  <c r="BJ117" i="7"/>
  <c r="AX117" i="5"/>
  <c r="H33" i="9"/>
  <c r="AR117" i="7"/>
  <c r="X117" i="13" l="1"/>
  <c r="T117" i="13"/>
  <c r="Z117" i="13"/>
  <c r="P117" i="13"/>
  <c r="V117" i="13"/>
  <c r="H33" i="48"/>
  <c r="H34" i="48" s="1"/>
  <c r="H34" i="9"/>
  <c r="P119" i="1"/>
  <c r="T119" i="1"/>
  <c r="F119" i="5" s="1"/>
  <c r="L119" i="5" s="1"/>
  <c r="R119" i="1"/>
  <c r="F119" i="4" s="1"/>
  <c r="L119" i="4" s="1"/>
  <c r="V119" i="1"/>
  <c r="F119" i="7" s="1"/>
  <c r="L119" i="7" s="1"/>
  <c r="BL117" i="7"/>
  <c r="AZ117" i="5"/>
  <c r="X117" i="50"/>
  <c r="Z117" i="50" s="1"/>
  <c r="AE117" i="50"/>
  <c r="AG117" i="50"/>
  <c r="AI117" i="50"/>
  <c r="AK117" i="50"/>
  <c r="AB117" i="13" l="1"/>
  <c r="AD117" i="13" s="1"/>
  <c r="V119" i="7"/>
  <c r="T119" i="7"/>
  <c r="AH119" i="7"/>
  <c r="R119" i="7"/>
  <c r="Z119" i="7"/>
  <c r="P119" i="7"/>
  <c r="AF119" i="7"/>
  <c r="F119" i="50" s="1"/>
  <c r="L119" i="50" s="1"/>
  <c r="AD119" i="7"/>
  <c r="AB119" i="7"/>
  <c r="X119" i="7"/>
  <c r="X119" i="5"/>
  <c r="V119" i="5"/>
  <c r="T119" i="5"/>
  <c r="P119" i="5"/>
  <c r="R119" i="5"/>
  <c r="AB119" i="5"/>
  <c r="Z119" i="5"/>
  <c r="V119" i="4"/>
  <c r="T119" i="4"/>
  <c r="R119" i="4"/>
  <c r="P119" i="4"/>
  <c r="F119" i="13"/>
  <c r="X119" i="1"/>
  <c r="AH119" i="1"/>
  <c r="AC119" i="4" s="1"/>
  <c r="AD119" i="4" s="1"/>
  <c r="AJ119" i="1"/>
  <c r="AI119" i="5" s="1"/>
  <c r="AJ119" i="5" s="1"/>
  <c r="AL119" i="1"/>
  <c r="AO119" i="7" s="1"/>
  <c r="AP119" i="7" s="1"/>
  <c r="AF119" i="1"/>
  <c r="L119" i="13" l="1"/>
  <c r="Z119" i="13" s="1"/>
  <c r="AN119" i="1"/>
  <c r="T119" i="50"/>
  <c r="P119" i="50"/>
  <c r="R119" i="50"/>
  <c r="V119" i="50"/>
  <c r="AJ119" i="7"/>
  <c r="BF119" i="7"/>
  <c r="BJ119" i="7"/>
  <c r="AZ119" i="7"/>
  <c r="AT119" i="7"/>
  <c r="BB119" i="7"/>
  <c r="AR119" i="7"/>
  <c r="AV119" i="7"/>
  <c r="BD119" i="7"/>
  <c r="AX119" i="7"/>
  <c r="BH119" i="7"/>
  <c r="AB119" i="50" s="1"/>
  <c r="AC119" i="50" s="1"/>
  <c r="X119" i="4"/>
  <c r="AD119" i="5"/>
  <c r="AT119" i="5"/>
  <c r="AP119" i="5"/>
  <c r="AX119" i="5"/>
  <c r="AN119" i="5"/>
  <c r="AV119" i="5"/>
  <c r="AR119" i="5"/>
  <c r="AL119" i="5"/>
  <c r="P119" i="13" l="1"/>
  <c r="T119" i="13"/>
  <c r="R119" i="13"/>
  <c r="V119" i="13"/>
  <c r="X119" i="13"/>
  <c r="AG119" i="50"/>
  <c r="AE119" i="50"/>
  <c r="AK119" i="50"/>
  <c r="AI119" i="50"/>
  <c r="X119" i="50"/>
  <c r="BL119" i="7"/>
  <c r="AZ119" i="5"/>
  <c r="AB119" i="13" l="1"/>
  <c r="AD119" i="13" s="1"/>
  <c r="D42" i="16"/>
  <c r="AA43" i="16" s="1"/>
  <c r="D45" i="16"/>
  <c r="AB46" i="16" s="1"/>
  <c r="AC43" i="16" l="1"/>
  <c r="AI43" i="16"/>
  <c r="AE46" i="16"/>
  <c r="AD148" i="1"/>
  <c r="L148" i="1"/>
  <c r="AI46" i="16"/>
  <c r="AA46" i="16"/>
  <c r="L149" i="1"/>
  <c r="AD149" i="1"/>
  <c r="AU43" i="16"/>
  <c r="AQ43" i="16"/>
  <c r="Q43" i="16"/>
  <c r="AP43" i="16"/>
  <c r="AR43" i="16"/>
  <c r="AT43" i="16"/>
  <c r="R43" i="16"/>
  <c r="AO43" i="16"/>
  <c r="AM43" i="16"/>
  <c r="AS43" i="16"/>
  <c r="AG43" i="16"/>
  <c r="AN43" i="16"/>
  <c r="O43" i="16"/>
  <c r="H43" i="16"/>
  <c r="P43" i="16"/>
  <c r="M43" i="16"/>
  <c r="V43" i="16"/>
  <c r="X43" i="16"/>
  <c r="I43" i="16"/>
  <c r="N43" i="16"/>
  <c r="J43" i="16"/>
  <c r="AL43" i="16"/>
  <c r="F43" i="16"/>
  <c r="AF43" i="16"/>
  <c r="Y43" i="16"/>
  <c r="U43" i="16"/>
  <c r="G43" i="16"/>
  <c r="K43" i="16"/>
  <c r="T43" i="16"/>
  <c r="W43" i="16"/>
  <c r="L43" i="16"/>
  <c r="S43" i="16"/>
  <c r="AB43" i="16"/>
  <c r="AJ43" i="16"/>
  <c r="AK43" i="16"/>
  <c r="AC46" i="16"/>
  <c r="Z43" i="16"/>
  <c r="AK46" i="16"/>
  <c r="AU46" i="16"/>
  <c r="AS46" i="16"/>
  <c r="AM46" i="16"/>
  <c r="Q46" i="16"/>
  <c r="AP46" i="16"/>
  <c r="AO46" i="16"/>
  <c r="AQ46" i="16"/>
  <c r="AN46" i="16"/>
  <c r="R46" i="16"/>
  <c r="AR46" i="16"/>
  <c r="AT46" i="16"/>
  <c r="AG46" i="16"/>
  <c r="V46" i="16"/>
  <c r="Y46" i="16"/>
  <c r="AF46" i="16"/>
  <c r="M46" i="16"/>
  <c r="X46" i="16"/>
  <c r="W46" i="16"/>
  <c r="AL46" i="16"/>
  <c r="J46" i="16"/>
  <c r="N46" i="16"/>
  <c r="U46" i="16"/>
  <c r="S46" i="16"/>
  <c r="G46" i="16"/>
  <c r="K46" i="16"/>
  <c r="F46" i="16"/>
  <c r="L46" i="16"/>
  <c r="T46" i="16"/>
  <c r="P46" i="16"/>
  <c r="O46" i="16"/>
  <c r="H46" i="16"/>
  <c r="I46" i="16"/>
  <c r="AH46" i="16"/>
  <c r="Z46" i="16"/>
  <c r="AD46" i="16"/>
  <c r="AJ46" i="16"/>
  <c r="AH43" i="16"/>
  <c r="AD43" i="16"/>
  <c r="AE43" i="16"/>
  <c r="R148" i="1" l="1"/>
  <c r="T148" i="1"/>
  <c r="AJ148" i="1" s="1"/>
  <c r="AI148" i="5" s="1"/>
  <c r="P148" i="1"/>
  <c r="AF148" i="1" s="1"/>
  <c r="V148" i="1"/>
  <c r="AL148" i="1" s="1"/>
  <c r="AO148" i="7" s="1"/>
  <c r="R149" i="1"/>
  <c r="F149" i="4" s="1"/>
  <c r="L149" i="4" s="1"/>
  <c r="T149" i="1"/>
  <c r="F149" i="5" s="1"/>
  <c r="L149" i="5" s="1"/>
  <c r="V149" i="1"/>
  <c r="F149" i="7" s="1"/>
  <c r="L149" i="7" s="1"/>
  <c r="P149" i="1"/>
  <c r="AF149" i="1" s="1"/>
  <c r="D46" i="16"/>
  <c r="D43" i="16"/>
  <c r="V149" i="7" l="1"/>
  <c r="T149" i="7"/>
  <c r="AH149" i="7"/>
  <c r="R149" i="7"/>
  <c r="AF149" i="7"/>
  <c r="F149" i="50" s="1"/>
  <c r="L149" i="50" s="1"/>
  <c r="AD149" i="7"/>
  <c r="AB149" i="7"/>
  <c r="Z149" i="7"/>
  <c r="X149" i="7"/>
  <c r="P149" i="7"/>
  <c r="Z149" i="5"/>
  <c r="X149" i="5"/>
  <c r="V149" i="5"/>
  <c r="T149" i="5"/>
  <c r="R149" i="5"/>
  <c r="P149" i="5"/>
  <c r="AB149" i="5"/>
  <c r="V149" i="4"/>
  <c r="T149" i="4"/>
  <c r="R149" i="4"/>
  <c r="P149" i="4"/>
  <c r="F148" i="4"/>
  <c r="L148" i="4" s="1"/>
  <c r="AL149" i="1"/>
  <c r="AO149" i="7" s="1"/>
  <c r="AP149" i="7" s="1"/>
  <c r="F148" i="5"/>
  <c r="L148" i="5" s="1"/>
  <c r="AH149" i="1"/>
  <c r="AC149" i="4" s="1"/>
  <c r="AD149" i="4" s="1"/>
  <c r="F148" i="7"/>
  <c r="AJ149" i="1"/>
  <c r="AI149" i="5" s="1"/>
  <c r="AJ149" i="5" s="1"/>
  <c r="AH148" i="1"/>
  <c r="AC148" i="4" s="1"/>
  <c r="F148" i="13"/>
  <c r="X148" i="1"/>
  <c r="Z148" i="1" s="1"/>
  <c r="F149" i="13"/>
  <c r="X149" i="1"/>
  <c r="Z149" i="1" s="1"/>
  <c r="D102" i="16"/>
  <c r="L149" i="13" l="1"/>
  <c r="R149" i="13" s="1"/>
  <c r="L148" i="13"/>
  <c r="X148" i="13" s="1"/>
  <c r="X148" i="5"/>
  <c r="V148" i="5"/>
  <c r="T148" i="5"/>
  <c r="R148" i="5"/>
  <c r="P148" i="5"/>
  <c r="AB148" i="5"/>
  <c r="Z148" i="5"/>
  <c r="V148" i="4"/>
  <c r="T148" i="4"/>
  <c r="R148" i="4"/>
  <c r="P148" i="4"/>
  <c r="P149" i="13"/>
  <c r="AJ148" i="5"/>
  <c r="F103" i="16"/>
  <c r="AT103" i="16"/>
  <c r="AS103" i="16"/>
  <c r="AU103" i="16"/>
  <c r="AQ103" i="16"/>
  <c r="AM103" i="16"/>
  <c r="AR103" i="16"/>
  <c r="AP103" i="16"/>
  <c r="AO103" i="16"/>
  <c r="AN103" i="16"/>
  <c r="AI103" i="16"/>
  <c r="AJ103" i="16"/>
  <c r="AK103" i="16"/>
  <c r="AL103" i="16"/>
  <c r="AH103" i="16"/>
  <c r="X103" i="16"/>
  <c r="AD103" i="16"/>
  <c r="AC103" i="16"/>
  <c r="AF103" i="16"/>
  <c r="AA103" i="16"/>
  <c r="AB103" i="16"/>
  <c r="AG103" i="16"/>
  <c r="Y103" i="16"/>
  <c r="AE103" i="16"/>
  <c r="Z103" i="16"/>
  <c r="J103" i="16"/>
  <c r="S103" i="16"/>
  <c r="I103" i="16"/>
  <c r="G103" i="16"/>
  <c r="W103" i="16"/>
  <c r="V103" i="16"/>
  <c r="U103" i="16"/>
  <c r="N103" i="16"/>
  <c r="K103" i="16"/>
  <c r="H103" i="16"/>
  <c r="R103" i="16"/>
  <c r="O103" i="16"/>
  <c r="M103" i="16"/>
  <c r="L103" i="16"/>
  <c r="T103" i="16"/>
  <c r="P103" i="16"/>
  <c r="Q103" i="16"/>
  <c r="AR149" i="7"/>
  <c r="AX149" i="7"/>
  <c r="AZ149" i="7"/>
  <c r="BB149" i="7"/>
  <c r="AV149" i="7"/>
  <c r="BH149" i="7"/>
  <c r="AB149" i="50" s="1"/>
  <c r="AC149" i="50" s="1"/>
  <c r="AT149" i="7"/>
  <c r="BJ149" i="7"/>
  <c r="BD149" i="7"/>
  <c r="BF149" i="7"/>
  <c r="X149" i="4"/>
  <c r="Z149" i="4" s="1"/>
  <c r="V149" i="50"/>
  <c r="P149" i="50"/>
  <c r="R149" i="50"/>
  <c r="T149" i="50"/>
  <c r="L148" i="7"/>
  <c r="AF149" i="4"/>
  <c r="AK149" i="4"/>
  <c r="AJ149" i="4"/>
  <c r="AH149" i="4"/>
  <c r="AL149" i="4"/>
  <c r="AD148" i="4"/>
  <c r="AN148" i="1"/>
  <c r="AP148" i="7"/>
  <c r="AX149" i="5"/>
  <c r="AN149" i="5"/>
  <c r="AV149" i="5"/>
  <c r="AT149" i="5"/>
  <c r="AL149" i="5"/>
  <c r="AP149" i="5"/>
  <c r="AR149" i="5"/>
  <c r="AD149" i="5"/>
  <c r="AF149" i="5" s="1"/>
  <c r="AJ149" i="7"/>
  <c r="AL149" i="7" s="1"/>
  <c r="AN149" i="1"/>
  <c r="X149" i="13" l="1"/>
  <c r="Z149" i="13"/>
  <c r="T149" i="13"/>
  <c r="V149" i="13"/>
  <c r="P148" i="13"/>
  <c r="R148" i="13"/>
  <c r="Z148" i="13"/>
  <c r="T148" i="13"/>
  <c r="V148" i="13"/>
  <c r="AP148" i="5"/>
  <c r="Z148" i="7"/>
  <c r="BB148" i="7" s="1"/>
  <c r="X148" i="7"/>
  <c r="AZ148" i="7" s="1"/>
  <c r="V148" i="7"/>
  <c r="AX148" i="7" s="1"/>
  <c r="AF148" i="7"/>
  <c r="BH148" i="7" s="1"/>
  <c r="AB148" i="50" s="1"/>
  <c r="AD148" i="7"/>
  <c r="BF148" i="7" s="1"/>
  <c r="AB148" i="7"/>
  <c r="BD148" i="7" s="1"/>
  <c r="T148" i="7"/>
  <c r="AV148" i="7" s="1"/>
  <c r="R148" i="7"/>
  <c r="AT148" i="7" s="1"/>
  <c r="P148" i="7"/>
  <c r="AR148" i="7" s="1"/>
  <c r="AH148" i="7"/>
  <c r="BJ148" i="7" s="1"/>
  <c r="AV148" i="5"/>
  <c r="AN149" i="4"/>
  <c r="D103" i="16"/>
  <c r="AZ149" i="5"/>
  <c r="AD148" i="5"/>
  <c r="AF148" i="5" s="1"/>
  <c r="AI149" i="50"/>
  <c r="AK149" i="50"/>
  <c r="AG149" i="50"/>
  <c r="AE149" i="50"/>
  <c r="AL148" i="5"/>
  <c r="AK148" i="4"/>
  <c r="AH148" i="4"/>
  <c r="AJ148" i="4"/>
  <c r="AL148" i="4"/>
  <c r="AR148" i="5"/>
  <c r="X149" i="50"/>
  <c r="Z149" i="50" s="1"/>
  <c r="BL149" i="7"/>
  <c r="AT148" i="5"/>
  <c r="AF148" i="4"/>
  <c r="X148" i="4"/>
  <c r="Z148" i="4" s="1"/>
  <c r="AX148" i="5"/>
  <c r="AN148" i="5"/>
  <c r="AB149" i="13" l="1"/>
  <c r="AD149" i="13" s="1"/>
  <c r="AB148" i="13"/>
  <c r="AD148" i="13" s="1"/>
  <c r="AN148" i="4"/>
  <c r="AJ148" i="7"/>
  <c r="AZ148" i="5"/>
  <c r="F148" i="50"/>
  <c r="L148" i="50" s="1"/>
  <c r="BL148" i="7"/>
  <c r="AC148" i="50" l="1"/>
  <c r="V148" i="50"/>
  <c r="T148" i="50"/>
  <c r="R148" i="50"/>
  <c r="P148" i="50"/>
  <c r="D41" i="9"/>
  <c r="AL148" i="7"/>
  <c r="AK148" i="50" l="1"/>
  <c r="X148" i="50"/>
  <c r="Z148" i="50" s="1"/>
  <c r="D41" i="49"/>
  <c r="F41" i="9"/>
  <c r="AI148" i="50"/>
  <c r="AE148" i="50"/>
  <c r="AG148" i="50"/>
  <c r="F41" i="49" l="1"/>
  <c r="L41" i="49" s="1"/>
  <c r="L41" i="9"/>
  <c r="BA41" i="49" l="1"/>
  <c r="AS41" i="49"/>
  <c r="AK41" i="49"/>
  <c r="AC41" i="49"/>
  <c r="U41" i="49"/>
  <c r="AZ41" i="49"/>
  <c r="AR41" i="49"/>
  <c r="AJ41" i="49"/>
  <c r="AB41" i="49"/>
  <c r="T41" i="49"/>
  <c r="AY41" i="49"/>
  <c r="AQ41" i="49"/>
  <c r="AI41" i="49"/>
  <c r="AA41" i="49"/>
  <c r="S41" i="49"/>
  <c r="AX41" i="49"/>
  <c r="AP41" i="49"/>
  <c r="AH41" i="49"/>
  <c r="Z41" i="49"/>
  <c r="R41" i="49"/>
  <c r="BE41" i="49"/>
  <c r="AW41" i="49"/>
  <c r="AO41" i="49"/>
  <c r="AG41" i="49"/>
  <c r="Y41" i="49"/>
  <c r="Q41" i="49"/>
  <c r="BB41" i="49"/>
  <c r="AE41" i="49"/>
  <c r="AV41" i="49"/>
  <c r="AD41" i="49"/>
  <c r="AU41" i="49"/>
  <c r="X41" i="49"/>
  <c r="AT41" i="49"/>
  <c r="W41" i="49"/>
  <c r="AN41" i="49"/>
  <c r="V41" i="49"/>
  <c r="AM41" i="49"/>
  <c r="P41" i="49"/>
  <c r="BD41" i="49"/>
  <c r="BC41" i="49"/>
  <c r="AL41" i="49"/>
  <c r="AF41" i="49"/>
  <c r="BA41" i="9"/>
  <c r="AS41" i="9"/>
  <c r="AK41" i="9"/>
  <c r="AC41" i="9"/>
  <c r="U41" i="9"/>
  <c r="AZ41" i="9"/>
  <c r="AR41" i="9"/>
  <c r="AJ41" i="9"/>
  <c r="AB41" i="9"/>
  <c r="T41" i="9"/>
  <c r="AX41" i="9"/>
  <c r="AP41" i="9"/>
  <c r="AH41" i="9"/>
  <c r="Z41" i="9"/>
  <c r="R41" i="9"/>
  <c r="BE41" i="9"/>
  <c r="AW41" i="9"/>
  <c r="AO41" i="9"/>
  <c r="AG41" i="9"/>
  <c r="Y41" i="9"/>
  <c r="Q41" i="9"/>
  <c r="BD41" i="9"/>
  <c r="AV41" i="9"/>
  <c r="AN41" i="9"/>
  <c r="AF41" i="9"/>
  <c r="X41" i="9"/>
  <c r="P41" i="9"/>
  <c r="BB41" i="9"/>
  <c r="AT41" i="9"/>
  <c r="AL41" i="9"/>
  <c r="AD41" i="9"/>
  <c r="V41" i="9"/>
  <c r="AA41" i="9"/>
  <c r="BC41" i="9"/>
  <c r="W41" i="9"/>
  <c r="AY41" i="9"/>
  <c r="S41" i="9"/>
  <c r="AQ41" i="9"/>
  <c r="AM41" i="9"/>
  <c r="AE41" i="9"/>
  <c r="AU41" i="9"/>
  <c r="AI41" i="9"/>
  <c r="AD116" i="1" l="1"/>
  <c r="L116" i="1"/>
  <c r="F162" i="1"/>
  <c r="P116" i="1" l="1"/>
  <c r="AF116" i="1" s="1"/>
  <c r="T116" i="1"/>
  <c r="V116" i="1"/>
  <c r="AL116" i="1" s="1"/>
  <c r="R116" i="1"/>
  <c r="L162" i="1"/>
  <c r="AO116" i="7" l="1"/>
  <c r="F116" i="7"/>
  <c r="L116" i="7" s="1"/>
  <c r="X116" i="1"/>
  <c r="Z116" i="1" s="1"/>
  <c r="F116" i="13"/>
  <c r="AH116" i="1"/>
  <c r="F116" i="4"/>
  <c r="L116" i="4" s="1"/>
  <c r="F116" i="5"/>
  <c r="L116" i="5" s="1"/>
  <c r="AJ116" i="1"/>
  <c r="AC116" i="4" l="1"/>
  <c r="AD116" i="4" s="1"/>
  <c r="AI116" i="5"/>
  <c r="AJ116" i="5" s="1"/>
  <c r="L116" i="13"/>
  <c r="Z116" i="13" s="1"/>
  <c r="AH116" i="7"/>
  <c r="R116" i="7"/>
  <c r="AF116" i="7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T116" i="4"/>
  <c r="V116" i="4"/>
  <c r="R116" i="4"/>
  <c r="P116" i="4"/>
  <c r="T116" i="13"/>
  <c r="P116" i="13"/>
  <c r="AN116" i="1"/>
  <c r="AP116" i="7"/>
  <c r="R116" i="13" l="1"/>
  <c r="X116" i="13"/>
  <c r="AL116" i="5"/>
  <c r="V116" i="13"/>
  <c r="AB116" i="13" s="1"/>
  <c r="AD116" i="13" s="1"/>
  <c r="AP116" i="5"/>
  <c r="BF116" i="7"/>
  <c r="BD116" i="7"/>
  <c r="AR116" i="5"/>
  <c r="F116" i="50"/>
  <c r="L116" i="50" s="1"/>
  <c r="AX116" i="7"/>
  <c r="AD116" i="5"/>
  <c r="AF116" i="5" s="1"/>
  <c r="AN116" i="5"/>
  <c r="AV116" i="5"/>
  <c r="AX116" i="5"/>
  <c r="AJ116" i="7"/>
  <c r="AL116" i="7" s="1"/>
  <c r="X116" i="4"/>
  <c r="Z116" i="4" s="1"/>
  <c r="AT116" i="7"/>
  <c r="BH116" i="7"/>
  <c r="BJ116" i="7"/>
  <c r="AR116" i="7"/>
  <c r="BB116" i="7"/>
  <c r="AZ116" i="7"/>
  <c r="AV116" i="7"/>
  <c r="AT116" i="5"/>
  <c r="AB116" i="50" l="1"/>
  <c r="AC116" i="50" s="1"/>
  <c r="AZ116" i="5"/>
  <c r="BL116" i="7"/>
  <c r="R116" i="50"/>
  <c r="T116" i="50"/>
  <c r="P116" i="50"/>
  <c r="V116" i="50"/>
  <c r="AK116" i="50" l="1"/>
  <c r="AG116" i="50"/>
  <c r="AE116" i="50"/>
  <c r="X116" i="50"/>
  <c r="Z116" i="50" s="1"/>
  <c r="AI116" i="50"/>
  <c r="F122" i="5" l="1"/>
  <c r="L122" i="5" s="1"/>
  <c r="AJ122" i="1"/>
  <c r="AI122" i="5" s="1"/>
  <c r="F122" i="4"/>
  <c r="L122" i="4" s="1"/>
  <c r="AH122" i="1"/>
  <c r="AC122" i="4" s="1"/>
  <c r="F122" i="7"/>
  <c r="L122" i="7" s="1"/>
  <c r="AL122" i="1"/>
  <c r="AO122" i="7" s="1"/>
  <c r="AP122" i="7" l="1"/>
  <c r="Z122" i="7"/>
  <c r="X122" i="7"/>
  <c r="V122" i="7"/>
  <c r="AF122" i="7"/>
  <c r="F122" i="50" s="1"/>
  <c r="L122" i="50" s="1"/>
  <c r="AB122" i="7"/>
  <c r="T122" i="7"/>
  <c r="AH122" i="7"/>
  <c r="AD122" i="7"/>
  <c r="R122" i="7"/>
  <c r="P122" i="7"/>
  <c r="AB122" i="5"/>
  <c r="Z122" i="5"/>
  <c r="V122" i="5"/>
  <c r="T122" i="5"/>
  <c r="R122" i="5"/>
  <c r="P122" i="5"/>
  <c r="X122" i="5"/>
  <c r="T122" i="4"/>
  <c r="V122" i="4"/>
  <c r="R122" i="4"/>
  <c r="P122" i="4"/>
  <c r="AD122" i="4"/>
  <c r="AF122" i="1"/>
  <c r="AN122" i="1" s="1"/>
  <c r="F122" i="13"/>
  <c r="X122" i="1"/>
  <c r="Z122" i="1" s="1"/>
  <c r="AJ122" i="5"/>
  <c r="L122" i="13" l="1"/>
  <c r="V122" i="13" s="1"/>
  <c r="AT122" i="7"/>
  <c r="BF122" i="7"/>
  <c r="AD122" i="5"/>
  <c r="AF122" i="5" s="1"/>
  <c r="AX122" i="7"/>
  <c r="AJ122" i="7"/>
  <c r="AL122" i="7" s="1"/>
  <c r="AR122" i="7"/>
  <c r="AZ122" i="7"/>
  <c r="X122" i="4"/>
  <c r="Z122" i="4" s="1"/>
  <c r="BB122" i="7"/>
  <c r="T122" i="50"/>
  <c r="P122" i="50"/>
  <c r="V122" i="50"/>
  <c r="R122" i="50"/>
  <c r="AT122" i="5"/>
  <c r="AP122" i="5"/>
  <c r="AV122" i="5"/>
  <c r="AR122" i="5"/>
  <c r="AX122" i="5"/>
  <c r="AL122" i="5"/>
  <c r="AN122" i="5"/>
  <c r="BH122" i="7"/>
  <c r="AB122" i="50" s="1"/>
  <c r="AC122" i="50" s="1"/>
  <c r="AV122" i="7"/>
  <c r="BJ122" i="7"/>
  <c r="BD122" i="7"/>
  <c r="R122" i="13" l="1"/>
  <c r="Z122" i="13"/>
  <c r="X122" i="13"/>
  <c r="P122" i="13"/>
  <c r="T122" i="13"/>
  <c r="AE122" i="50"/>
  <c r="AI122" i="50"/>
  <c r="AK122" i="50"/>
  <c r="AG122" i="50"/>
  <c r="X122" i="50"/>
  <c r="Z122" i="50" s="1"/>
  <c r="BL122" i="7"/>
  <c r="AZ122" i="5"/>
  <c r="AB122" i="13" l="1"/>
  <c r="AD122" i="13" s="1"/>
  <c r="D57" i="12"/>
  <c r="X58" i="12" s="1"/>
  <c r="AH109" i="7" s="1"/>
  <c r="J58" i="12" l="1"/>
  <c r="T109" i="7" s="1"/>
  <c r="H58" i="12"/>
  <c r="R109" i="7" s="1"/>
  <c r="V58" i="12"/>
  <c r="AF109" i="7" s="1"/>
  <c r="F58" i="12"/>
  <c r="P109" i="7" s="1"/>
  <c r="L58" i="12"/>
  <c r="V109" i="7" s="1"/>
  <c r="N58" i="12"/>
  <c r="X109" i="7" s="1"/>
  <c r="T58" i="12"/>
  <c r="AD109" i="7" s="1"/>
  <c r="R58" i="12"/>
  <c r="AB109" i="7" s="1"/>
  <c r="P58" i="12"/>
  <c r="Z109" i="7" s="1"/>
  <c r="D58" i="12" l="1"/>
  <c r="F109" i="50"/>
  <c r="L109" i="50" s="1"/>
  <c r="R109" i="50" l="1"/>
  <c r="V109" i="50"/>
  <c r="P109" i="50"/>
  <c r="T109" i="50"/>
  <c r="AJ109" i="7"/>
  <c r="AL109" i="7" s="1"/>
  <c r="X109" i="50" l="1"/>
  <c r="Z109" i="50" s="1"/>
  <c r="L95" i="13" l="1"/>
  <c r="R95" i="1"/>
  <c r="L95" i="4"/>
  <c r="F95" i="13"/>
  <c r="H95" i="13"/>
  <c r="H97" i="13" s="1"/>
  <c r="H164" i="13" s="1"/>
  <c r="H180" i="13" s="1"/>
  <c r="H95" i="4"/>
  <c r="H97" i="4" s="1"/>
  <c r="H164" i="4" s="1"/>
  <c r="H180" i="4" s="1"/>
  <c r="L95" i="50"/>
  <c r="F95" i="50"/>
  <c r="L95" i="7"/>
  <c r="H95" i="7"/>
  <c r="H97" i="7" s="1"/>
  <c r="H164" i="7" s="1"/>
  <c r="H180" i="7" s="1"/>
  <c r="F95" i="7"/>
  <c r="V95" i="1"/>
  <c r="L95" i="1"/>
  <c r="P95" i="1"/>
  <c r="F95" i="5"/>
  <c r="F95" i="4"/>
  <c r="H95" i="50"/>
  <c r="H97" i="50" s="1"/>
  <c r="T95" i="1"/>
  <c r="F97" i="1"/>
  <c r="F164" i="1" s="1"/>
  <c r="F180" i="1" s="1"/>
  <c r="X95" i="1"/>
  <c r="V95" i="4" l="1"/>
  <c r="P95" i="4"/>
  <c r="R95" i="4"/>
  <c r="AC90" i="4" s="1"/>
  <c r="T95" i="4"/>
  <c r="Z95" i="1"/>
  <c r="X95" i="5"/>
  <c r="Z95" i="5"/>
  <c r="AB95" i="5"/>
  <c r="P95" i="5"/>
  <c r="T95" i="5"/>
  <c r="V95" i="5"/>
  <c r="R95" i="5"/>
  <c r="Z95" i="13"/>
  <c r="X95" i="13"/>
  <c r="AB95" i="13"/>
  <c r="AD95" i="13" s="1"/>
  <c r="V95" i="13"/>
  <c r="R95" i="13"/>
  <c r="P95" i="13"/>
  <c r="T95" i="13"/>
  <c r="V95" i="50"/>
  <c r="X95" i="50" s="1"/>
  <c r="T95" i="50"/>
  <c r="R95" i="50"/>
  <c r="P95" i="50"/>
  <c r="L97" i="1"/>
  <c r="L164" i="1" s="1"/>
  <c r="L180" i="1" s="1"/>
  <c r="L95" i="5"/>
  <c r="P95" i="7"/>
  <c r="R95" i="7"/>
  <c r="AH95" i="7"/>
  <c r="AB95" i="7"/>
  <c r="V95" i="7"/>
  <c r="T95" i="7"/>
  <c r="AF95" i="7"/>
  <c r="Z95" i="7"/>
  <c r="X95" i="7"/>
  <c r="AD95" i="7"/>
  <c r="X95" i="4" l="1"/>
  <c r="Z95" i="4" s="1"/>
  <c r="F118" i="7" l="1"/>
  <c r="L118" i="7" s="1"/>
  <c r="AL118" i="1"/>
  <c r="D36" i="16"/>
  <c r="X37" i="16" s="1"/>
  <c r="AO118" i="7" l="1"/>
  <c r="AP118" i="7" s="1"/>
  <c r="Z118" i="7"/>
  <c r="X118" i="7"/>
  <c r="V118" i="7"/>
  <c r="R118" i="7"/>
  <c r="AH118" i="7"/>
  <c r="AD118" i="7"/>
  <c r="T118" i="7"/>
  <c r="AB118" i="7"/>
  <c r="AF118" i="7"/>
  <c r="P118" i="7"/>
  <c r="F118" i="4"/>
  <c r="L118" i="4" s="1"/>
  <c r="AH118" i="1"/>
  <c r="F118" i="5"/>
  <c r="L118" i="5" s="1"/>
  <c r="AJ118" i="1"/>
  <c r="D105" i="16"/>
  <c r="AU106" i="16" s="1"/>
  <c r="F37" i="16"/>
  <c r="AO37" i="16"/>
  <c r="AU37" i="16"/>
  <c r="AN37" i="16"/>
  <c r="AM37" i="16"/>
  <c r="AR37" i="16"/>
  <c r="AT37" i="16"/>
  <c r="AQ37" i="16"/>
  <c r="H37" i="16"/>
  <c r="AS37" i="16"/>
  <c r="AP37" i="16"/>
  <c r="U37" i="16"/>
  <c r="AB37" i="16"/>
  <c r="Q37" i="16"/>
  <c r="Y37" i="16"/>
  <c r="AL37" i="16"/>
  <c r="AG37" i="16"/>
  <c r="L37" i="16"/>
  <c r="AA37" i="16"/>
  <c r="T37" i="16"/>
  <c r="P37" i="16"/>
  <c r="M37" i="16"/>
  <c r="AH37" i="16"/>
  <c r="G37" i="16"/>
  <c r="AE37" i="16"/>
  <c r="N37" i="16"/>
  <c r="J37" i="16"/>
  <c r="AJ37" i="16"/>
  <c r="W37" i="16"/>
  <c r="AD37" i="16"/>
  <c r="R37" i="16"/>
  <c r="I37" i="16"/>
  <c r="V37" i="16"/>
  <c r="AK37" i="16"/>
  <c r="O37" i="16"/>
  <c r="AF37" i="16"/>
  <c r="AC37" i="16"/>
  <c r="Z37" i="16"/>
  <c r="AI37" i="16"/>
  <c r="K37" i="16"/>
  <c r="S37" i="16"/>
  <c r="D87" i="16"/>
  <c r="F88" i="16" s="1"/>
  <c r="AT106" i="16" l="1"/>
  <c r="AQ106" i="16"/>
  <c r="AC118" i="4"/>
  <c r="AD118" i="4" s="1"/>
  <c r="AI118" i="5"/>
  <c r="AJ118" i="5" s="1"/>
  <c r="BJ118" i="7"/>
  <c r="AV118" i="7"/>
  <c r="V118" i="5"/>
  <c r="T118" i="5"/>
  <c r="R118" i="5"/>
  <c r="AB118" i="5"/>
  <c r="Z118" i="5"/>
  <c r="X118" i="5"/>
  <c r="P118" i="5"/>
  <c r="T118" i="4"/>
  <c r="V118" i="4"/>
  <c r="R118" i="4"/>
  <c r="P118" i="4"/>
  <c r="D38" i="48"/>
  <c r="F38" i="48" s="1"/>
  <c r="L38" i="48" s="1"/>
  <c r="F118" i="50"/>
  <c r="L118" i="50" s="1"/>
  <c r="D37" i="16"/>
  <c r="D46" i="48"/>
  <c r="F46" i="48" s="1"/>
  <c r="L46" i="48" s="1"/>
  <c r="D51" i="48"/>
  <c r="F51" i="48" s="1"/>
  <c r="L51" i="48" s="1"/>
  <c r="BD118" i="7"/>
  <c r="D45" i="48"/>
  <c r="F45" i="48" s="1"/>
  <c r="L45" i="48" s="1"/>
  <c r="BH118" i="7"/>
  <c r="AS106" i="16"/>
  <c r="AM106" i="16"/>
  <c r="AN106" i="16"/>
  <c r="AL106" i="16"/>
  <c r="G106" i="16"/>
  <c r="I106" i="16"/>
  <c r="O106" i="16"/>
  <c r="F106" i="16"/>
  <c r="Z106" i="16"/>
  <c r="U106" i="16"/>
  <c r="K106" i="16"/>
  <c r="AC106" i="16"/>
  <c r="AO106" i="16"/>
  <c r="AE106" i="16"/>
  <c r="AI106" i="16"/>
  <c r="P106" i="16"/>
  <c r="AH106" i="16"/>
  <c r="T106" i="16"/>
  <c r="AA106" i="16"/>
  <c r="AD106" i="16"/>
  <c r="Q106" i="16"/>
  <c r="AJ106" i="16"/>
  <c r="Y106" i="16"/>
  <c r="J106" i="16"/>
  <c r="AB106" i="16"/>
  <c r="V106" i="16"/>
  <c r="L106" i="16"/>
  <c r="N106" i="16"/>
  <c r="S106" i="16"/>
  <c r="M106" i="16"/>
  <c r="AF106" i="16"/>
  <c r="AK106" i="16"/>
  <c r="X106" i="16"/>
  <c r="H106" i="16"/>
  <c r="W106" i="16"/>
  <c r="AG106" i="16"/>
  <c r="R106" i="16"/>
  <c r="D43" i="48"/>
  <c r="F43" i="48" s="1"/>
  <c r="L43" i="48" s="1"/>
  <c r="F118" i="13"/>
  <c r="X118" i="1"/>
  <c r="Z118" i="1" s="1"/>
  <c r="AF118" i="1"/>
  <c r="AZ118" i="7"/>
  <c r="AP106" i="16"/>
  <c r="D39" i="48"/>
  <c r="F39" i="48" s="1"/>
  <c r="L39" i="48" s="1"/>
  <c r="BF118" i="7"/>
  <c r="AR106" i="16"/>
  <c r="D44" i="48"/>
  <c r="F44" i="48" s="1"/>
  <c r="L44" i="48" s="1"/>
  <c r="AT118" i="7"/>
  <c r="AX118" i="7"/>
  <c r="D42" i="48"/>
  <c r="F42" i="48" s="1"/>
  <c r="L42" i="48" s="1"/>
  <c r="BB118" i="7"/>
  <c r="S88" i="16"/>
  <c r="AU88" i="16"/>
  <c r="AO88" i="16"/>
  <c r="AT88" i="16"/>
  <c r="AR88" i="16"/>
  <c r="AM88" i="16"/>
  <c r="AA88" i="16"/>
  <c r="AK88" i="16"/>
  <c r="H88" i="16"/>
  <c r="AP88" i="16"/>
  <c r="AS88" i="16"/>
  <c r="AQ88" i="16"/>
  <c r="AN88" i="16"/>
  <c r="AI88" i="16"/>
  <c r="AB88" i="16"/>
  <c r="AE88" i="16"/>
  <c r="AF88" i="16"/>
  <c r="V88" i="16"/>
  <c r="G88" i="16"/>
  <c r="O88" i="16"/>
  <c r="T88" i="16"/>
  <c r="AG88" i="16"/>
  <c r="AL88" i="16"/>
  <c r="K88" i="16"/>
  <c r="Y88" i="16"/>
  <c r="W88" i="16"/>
  <c r="N88" i="16"/>
  <c r="M88" i="16"/>
  <c r="Z88" i="16"/>
  <c r="P88" i="16"/>
  <c r="AH88" i="16"/>
  <c r="J88" i="16"/>
  <c r="AD88" i="16"/>
  <c r="U88" i="16"/>
  <c r="AC88" i="16"/>
  <c r="Q88" i="16"/>
  <c r="R88" i="16"/>
  <c r="L88" i="16"/>
  <c r="I88" i="16"/>
  <c r="AJ88" i="16"/>
  <c r="X88" i="16"/>
  <c r="AJ118" i="7"/>
  <c r="AL118" i="7" s="1"/>
  <c r="D37" i="48"/>
  <c r="AR118" i="7"/>
  <c r="AN118" i="1" l="1"/>
  <c r="AB118" i="50"/>
  <c r="D52" i="48"/>
  <c r="L118" i="13"/>
  <c r="R118" i="13" s="1"/>
  <c r="AL118" i="5"/>
  <c r="BC43" i="48"/>
  <c r="AU43" i="48"/>
  <c r="AM43" i="48"/>
  <c r="AE43" i="48"/>
  <c r="W43" i="48"/>
  <c r="BB43" i="48"/>
  <c r="AT43" i="48"/>
  <c r="AL43" i="48"/>
  <c r="AD43" i="48"/>
  <c r="V43" i="48"/>
  <c r="AY43" i="48"/>
  <c r="AQ43" i="48"/>
  <c r="AI43" i="48"/>
  <c r="AA43" i="48"/>
  <c r="S43" i="48"/>
  <c r="AX43" i="48"/>
  <c r="AP43" i="48"/>
  <c r="AH43" i="48"/>
  <c r="Z43" i="48"/>
  <c r="R43" i="48"/>
  <c r="BD43" i="48"/>
  <c r="AN43" i="48"/>
  <c r="X43" i="48"/>
  <c r="BA43" i="48"/>
  <c r="AK43" i="48"/>
  <c r="U43" i="48"/>
  <c r="AZ43" i="48"/>
  <c r="AJ43" i="48"/>
  <c r="T43" i="48"/>
  <c r="AW43" i="48"/>
  <c r="AG43" i="48"/>
  <c r="Q43" i="48"/>
  <c r="AR43" i="48"/>
  <c r="AO43" i="48"/>
  <c r="AF43" i="48"/>
  <c r="AB43" i="48"/>
  <c r="AC43" i="48"/>
  <c r="AV43" i="48"/>
  <c r="P43" i="48"/>
  <c r="AS43" i="48"/>
  <c r="BE43" i="48"/>
  <c r="Y43" i="48"/>
  <c r="BA44" i="48"/>
  <c r="AS44" i="48"/>
  <c r="AK44" i="48"/>
  <c r="AC44" i="48"/>
  <c r="U44" i="48"/>
  <c r="AZ44" i="48"/>
  <c r="AR44" i="48"/>
  <c r="AJ44" i="48"/>
  <c r="AB44" i="48"/>
  <c r="T44" i="48"/>
  <c r="BE44" i="48"/>
  <c r="AW44" i="48"/>
  <c r="AO44" i="48"/>
  <c r="AG44" i="48"/>
  <c r="Y44" i="48"/>
  <c r="Q44" i="48"/>
  <c r="BD44" i="48"/>
  <c r="AV44" i="48"/>
  <c r="AN44" i="48"/>
  <c r="AF44" i="48"/>
  <c r="X44" i="48"/>
  <c r="P44" i="48"/>
  <c r="AU44" i="48"/>
  <c r="AT44" i="48"/>
  <c r="AD44" i="48"/>
  <c r="AQ44" i="48"/>
  <c r="AA44" i="48"/>
  <c r="AP44" i="48"/>
  <c r="Z44" i="48"/>
  <c r="BC44" i="48"/>
  <c r="AM44" i="48"/>
  <c r="W44" i="48"/>
  <c r="AH44" i="48"/>
  <c r="AY44" i="48"/>
  <c r="AE44" i="48"/>
  <c r="V44" i="48"/>
  <c r="BB44" i="48"/>
  <c r="S44" i="48"/>
  <c r="R44" i="48"/>
  <c r="AL44" i="48"/>
  <c r="AI44" i="48"/>
  <c r="AX44" i="48"/>
  <c r="BC39" i="48"/>
  <c r="AU39" i="48"/>
  <c r="AM39" i="48"/>
  <c r="AE39" i="48"/>
  <c r="W39" i="48"/>
  <c r="BB39" i="48"/>
  <c r="AT39" i="48"/>
  <c r="AL39" i="48"/>
  <c r="AD39" i="48"/>
  <c r="V39" i="48"/>
  <c r="AX39" i="48"/>
  <c r="AP39" i="48"/>
  <c r="AH39" i="48"/>
  <c r="Z39" i="48"/>
  <c r="R39" i="48"/>
  <c r="BD39" i="48"/>
  <c r="AQ39" i="48"/>
  <c r="AC39" i="48"/>
  <c r="Q39" i="48"/>
  <c r="BA39" i="48"/>
  <c r="AO39" i="48"/>
  <c r="AB39" i="48"/>
  <c r="P39" i="48"/>
  <c r="AZ39" i="48"/>
  <c r="AN39" i="48"/>
  <c r="AA39" i="48"/>
  <c r="AY39" i="48"/>
  <c r="AK39" i="48"/>
  <c r="Y39" i="48"/>
  <c r="AS39" i="48"/>
  <c r="T39" i="48"/>
  <c r="AR39" i="48"/>
  <c r="S39" i="48"/>
  <c r="AJ39" i="48"/>
  <c r="AG39" i="48"/>
  <c r="AI39" i="48"/>
  <c r="AW39" i="48"/>
  <c r="X39" i="48"/>
  <c r="AV39" i="48"/>
  <c r="U39" i="48"/>
  <c r="BE39" i="48"/>
  <c r="AF39" i="48"/>
  <c r="BE51" i="48"/>
  <c r="AW51" i="48"/>
  <c r="AO51" i="48"/>
  <c r="AG51" i="48"/>
  <c r="Y51" i="48"/>
  <c r="Q51" i="48"/>
  <c r="BD51" i="48"/>
  <c r="AV51" i="48"/>
  <c r="AN51" i="48"/>
  <c r="AF51" i="48"/>
  <c r="X51" i="48"/>
  <c r="P51" i="48"/>
  <c r="BA51" i="48"/>
  <c r="AS51" i="48"/>
  <c r="AK51" i="48"/>
  <c r="AC51" i="48"/>
  <c r="U51" i="48"/>
  <c r="AZ51" i="48"/>
  <c r="AR51" i="48"/>
  <c r="AJ51" i="48"/>
  <c r="AB51" i="48"/>
  <c r="T51" i="48"/>
  <c r="BC51" i="48"/>
  <c r="AM51" i="48"/>
  <c r="W51" i="48"/>
  <c r="BB51" i="48"/>
  <c r="AL51" i="48"/>
  <c r="V51" i="48"/>
  <c r="AY51" i="48"/>
  <c r="AI51" i="48"/>
  <c r="S51" i="48"/>
  <c r="AX51" i="48"/>
  <c r="AH51" i="48"/>
  <c r="R51" i="48"/>
  <c r="AU51" i="48"/>
  <c r="AE51" i="48"/>
  <c r="AT51" i="48"/>
  <c r="AQ51" i="48"/>
  <c r="AP51" i="48"/>
  <c r="AD51" i="48"/>
  <c r="AA51" i="48"/>
  <c r="Z51" i="48"/>
  <c r="BE38" i="48"/>
  <c r="AW38" i="48"/>
  <c r="AO38" i="48"/>
  <c r="AG38" i="48"/>
  <c r="Y38" i="48"/>
  <c r="Q38" i="48"/>
  <c r="BD38" i="48"/>
  <c r="AV38" i="48"/>
  <c r="AN38" i="48"/>
  <c r="AF38" i="48"/>
  <c r="X38" i="48"/>
  <c r="P38" i="48"/>
  <c r="AZ38" i="48"/>
  <c r="AR38" i="48"/>
  <c r="AJ38" i="48"/>
  <c r="AB38" i="48"/>
  <c r="T38" i="48"/>
  <c r="AT38" i="48"/>
  <c r="AH38" i="48"/>
  <c r="U38" i="48"/>
  <c r="AS38" i="48"/>
  <c r="AE38" i="48"/>
  <c r="S38" i="48"/>
  <c r="BC38" i="48"/>
  <c r="AQ38" i="48"/>
  <c r="AD38" i="48"/>
  <c r="R38" i="48"/>
  <c r="BB38" i="48"/>
  <c r="AP38" i="48"/>
  <c r="AC38" i="48"/>
  <c r="AK38" i="48"/>
  <c r="AI38" i="48"/>
  <c r="AX38" i="48"/>
  <c r="BA38" i="48"/>
  <c r="AA38" i="48"/>
  <c r="AY38" i="48"/>
  <c r="Z38" i="48"/>
  <c r="W38" i="48"/>
  <c r="AM38" i="48"/>
  <c r="AL38" i="48"/>
  <c r="AU38" i="48"/>
  <c r="V38" i="48"/>
  <c r="BE46" i="48"/>
  <c r="AW46" i="48"/>
  <c r="AO46" i="48"/>
  <c r="AG46" i="48"/>
  <c r="Y46" i="48"/>
  <c r="Q46" i="48"/>
  <c r="BD46" i="48"/>
  <c r="AV46" i="48"/>
  <c r="AN46" i="48"/>
  <c r="AF46" i="48"/>
  <c r="X46" i="48"/>
  <c r="P46" i="48"/>
  <c r="BA46" i="48"/>
  <c r="AS46" i="48"/>
  <c r="AK46" i="48"/>
  <c r="AC46" i="48"/>
  <c r="U46" i="48"/>
  <c r="AZ46" i="48"/>
  <c r="AR46" i="48"/>
  <c r="AJ46" i="48"/>
  <c r="AB46" i="48"/>
  <c r="T46" i="48"/>
  <c r="AQ46" i="48"/>
  <c r="AA46" i="48"/>
  <c r="AP46" i="48"/>
  <c r="Z46" i="48"/>
  <c r="BC46" i="48"/>
  <c r="AM46" i="48"/>
  <c r="W46" i="48"/>
  <c r="BB46" i="48"/>
  <c r="AL46" i="48"/>
  <c r="V46" i="48"/>
  <c r="AY46" i="48"/>
  <c r="AI46" i="48"/>
  <c r="S46" i="48"/>
  <c r="AE46" i="48"/>
  <c r="AD46" i="48"/>
  <c r="AX46" i="48"/>
  <c r="R46" i="48"/>
  <c r="AT46" i="48"/>
  <c r="AH46" i="48"/>
  <c r="AU46" i="48"/>
  <c r="AY42" i="48"/>
  <c r="AQ42" i="48"/>
  <c r="AI42" i="48"/>
  <c r="AA42" i="48"/>
  <c r="S42" i="48"/>
  <c r="AX42" i="48"/>
  <c r="AP42" i="48"/>
  <c r="AH42" i="48"/>
  <c r="Z42" i="48"/>
  <c r="R42" i="48"/>
  <c r="BC42" i="48"/>
  <c r="AU42" i="48"/>
  <c r="AM42" i="48"/>
  <c r="AE42" i="48"/>
  <c r="W42" i="48"/>
  <c r="BB42" i="48"/>
  <c r="AT42" i="48"/>
  <c r="AL42" i="48"/>
  <c r="AD42" i="48"/>
  <c r="V42" i="48"/>
  <c r="BD42" i="48"/>
  <c r="AN42" i="48"/>
  <c r="X42" i="48"/>
  <c r="BA42" i="48"/>
  <c r="AK42" i="48"/>
  <c r="U42" i="48"/>
  <c r="AZ42" i="48"/>
  <c r="AJ42" i="48"/>
  <c r="T42" i="48"/>
  <c r="AW42" i="48"/>
  <c r="AG42" i="48"/>
  <c r="Q42" i="48"/>
  <c r="AB42" i="48"/>
  <c r="BE42" i="48"/>
  <c r="Y42" i="48"/>
  <c r="AV42" i="48"/>
  <c r="P42" i="48"/>
  <c r="AS42" i="48"/>
  <c r="AR42" i="48"/>
  <c r="AF42" i="48"/>
  <c r="AC42" i="48"/>
  <c r="AO42" i="48"/>
  <c r="AY45" i="48"/>
  <c r="AQ45" i="48"/>
  <c r="AI45" i="48"/>
  <c r="AA45" i="48"/>
  <c r="S45" i="48"/>
  <c r="AX45" i="48"/>
  <c r="AP45" i="48"/>
  <c r="AH45" i="48"/>
  <c r="Z45" i="48"/>
  <c r="R45" i="48"/>
  <c r="BC45" i="48"/>
  <c r="AU45" i="48"/>
  <c r="AM45" i="48"/>
  <c r="AE45" i="48"/>
  <c r="W45" i="48"/>
  <c r="BB45" i="48"/>
  <c r="AT45" i="48"/>
  <c r="AL45" i="48"/>
  <c r="AD45" i="48"/>
  <c r="V45" i="48"/>
  <c r="BA45" i="48"/>
  <c r="AK45" i="48"/>
  <c r="U45" i="48"/>
  <c r="AZ45" i="48"/>
  <c r="AJ45" i="48"/>
  <c r="T45" i="48"/>
  <c r="AW45" i="48"/>
  <c r="AG45" i="48"/>
  <c r="Q45" i="48"/>
  <c r="AV45" i="48"/>
  <c r="AF45" i="48"/>
  <c r="P45" i="48"/>
  <c r="AS45" i="48"/>
  <c r="AC45" i="48"/>
  <c r="AB45" i="48"/>
  <c r="Y45" i="48"/>
  <c r="X45" i="48"/>
  <c r="BD45" i="48"/>
  <c r="BE45" i="48"/>
  <c r="AO45" i="48"/>
  <c r="AN45" i="48"/>
  <c r="AR45" i="48"/>
  <c r="AT118" i="5"/>
  <c r="AR118" i="5"/>
  <c r="AV118" i="5"/>
  <c r="AC118" i="50"/>
  <c r="BL118" i="7"/>
  <c r="D33" i="48"/>
  <c r="F33" i="48" s="1"/>
  <c r="L33" i="48" s="1"/>
  <c r="F37" i="48"/>
  <c r="F52" i="48" s="1"/>
  <c r="P118" i="50"/>
  <c r="T118" i="50"/>
  <c r="V118" i="50"/>
  <c r="R118" i="50"/>
  <c r="D30" i="48"/>
  <c r="F30" i="48" s="1"/>
  <c r="L30" i="48" s="1"/>
  <c r="D88" i="16"/>
  <c r="D32" i="48"/>
  <c r="F32" i="48" s="1"/>
  <c r="L32" i="48" s="1"/>
  <c r="D31" i="48"/>
  <c r="F31" i="48" s="1"/>
  <c r="L31" i="48" s="1"/>
  <c r="D29" i="48"/>
  <c r="F29" i="48" s="1"/>
  <c r="L29" i="48" s="1"/>
  <c r="AX118" i="5"/>
  <c r="X118" i="4"/>
  <c r="Z118" i="4" s="1"/>
  <c r="AD118" i="5"/>
  <c r="AF118" i="5" s="1"/>
  <c r="D27" i="48"/>
  <c r="AP118" i="5"/>
  <c r="D106" i="16"/>
  <c r="D28" i="48"/>
  <c r="F28" i="48" s="1"/>
  <c r="L28" i="48" s="1"/>
  <c r="AN118" i="5"/>
  <c r="P118" i="13" l="1"/>
  <c r="D11" i="48" s="1"/>
  <c r="T118" i="13"/>
  <c r="D13" i="48" s="1"/>
  <c r="F13" i="48" s="1"/>
  <c r="L13" i="48" s="1"/>
  <c r="V118" i="13"/>
  <c r="D14" i="48" s="1"/>
  <c r="F14" i="48" s="1"/>
  <c r="H14" i="48" s="1"/>
  <c r="H17" i="48" s="1"/>
  <c r="H54" i="48" s="1"/>
  <c r="X118" i="13"/>
  <c r="D15" i="48" s="1"/>
  <c r="F15" i="48" s="1"/>
  <c r="L15" i="48" s="1"/>
  <c r="Z118" i="13"/>
  <c r="D34" i="48"/>
  <c r="BC32" i="48"/>
  <c r="AU32" i="48"/>
  <c r="AM32" i="48"/>
  <c r="AE32" i="48"/>
  <c r="W32" i="48"/>
  <c r="BB32" i="48"/>
  <c r="AT32" i="48"/>
  <c r="AL32" i="48"/>
  <c r="AD32" i="48"/>
  <c r="V32" i="48"/>
  <c r="AX32" i="48"/>
  <c r="AP32" i="48"/>
  <c r="AH32" i="48"/>
  <c r="Z32" i="48"/>
  <c r="R32" i="48"/>
  <c r="BE32" i="48"/>
  <c r="AR32" i="48"/>
  <c r="AF32" i="48"/>
  <c r="S32" i="48"/>
  <c r="BD32" i="48"/>
  <c r="AQ32" i="48"/>
  <c r="AC32" i="48"/>
  <c r="Q32" i="48"/>
  <c r="BA32" i="48"/>
  <c r="AO32" i="48"/>
  <c r="AB32" i="48"/>
  <c r="P32" i="48"/>
  <c r="AZ32" i="48"/>
  <c r="AN32" i="48"/>
  <c r="AA32" i="48"/>
  <c r="AI32" i="48"/>
  <c r="AG32" i="48"/>
  <c r="AV32" i="48"/>
  <c r="AY32" i="48"/>
  <c r="Y32" i="48"/>
  <c r="AW32" i="48"/>
  <c r="X32" i="48"/>
  <c r="U32" i="48"/>
  <c r="AK32" i="48"/>
  <c r="AS32" i="48"/>
  <c r="AJ32" i="48"/>
  <c r="T32" i="48"/>
  <c r="BC28" i="48"/>
  <c r="AU28" i="48"/>
  <c r="AM28" i="48"/>
  <c r="AE28" i="48"/>
  <c r="W28" i="48"/>
  <c r="BB28" i="48"/>
  <c r="AT28" i="48"/>
  <c r="AL28" i="48"/>
  <c r="AD28" i="48"/>
  <c r="V28" i="48"/>
  <c r="AX28" i="48"/>
  <c r="AP28" i="48"/>
  <c r="AH28" i="48"/>
  <c r="Z28" i="48"/>
  <c r="R28" i="48"/>
  <c r="AS28" i="48"/>
  <c r="AG28" i="48"/>
  <c r="BE28" i="48"/>
  <c r="AR28" i="48"/>
  <c r="AF28" i="48"/>
  <c r="S28" i="48"/>
  <c r="BD28" i="48"/>
  <c r="AQ28" i="48"/>
  <c r="AC28" i="48"/>
  <c r="Q28" i="48"/>
  <c r="AZ28" i="48"/>
  <c r="AI28" i="48"/>
  <c r="AY28" i="48"/>
  <c r="AB28" i="48"/>
  <c r="X28" i="48"/>
  <c r="AW28" i="48"/>
  <c r="AA28" i="48"/>
  <c r="AO28" i="48"/>
  <c r="AV28" i="48"/>
  <c r="Y28" i="48"/>
  <c r="AK28" i="48"/>
  <c r="T28" i="48"/>
  <c r="AJ28" i="48"/>
  <c r="U28" i="48"/>
  <c r="P28" i="48"/>
  <c r="BA28" i="48"/>
  <c r="AN28" i="48"/>
  <c r="AY30" i="48"/>
  <c r="AQ30" i="48"/>
  <c r="AI30" i="48"/>
  <c r="AA30" i="48"/>
  <c r="S30" i="48"/>
  <c r="AX30" i="48"/>
  <c r="AP30" i="48"/>
  <c r="AH30" i="48"/>
  <c r="Z30" i="48"/>
  <c r="R30" i="48"/>
  <c r="BB30" i="48"/>
  <c r="AT30" i="48"/>
  <c r="AL30" i="48"/>
  <c r="AD30" i="48"/>
  <c r="V30" i="48"/>
  <c r="AZ30" i="48"/>
  <c r="AM30" i="48"/>
  <c r="Y30" i="48"/>
  <c r="AW30" i="48"/>
  <c r="AK30" i="48"/>
  <c r="X30" i="48"/>
  <c r="AV30" i="48"/>
  <c r="AJ30" i="48"/>
  <c r="W30" i="48"/>
  <c r="AU30" i="48"/>
  <c r="AG30" i="48"/>
  <c r="U30" i="48"/>
  <c r="AO30" i="48"/>
  <c r="P30" i="48"/>
  <c r="AN30" i="48"/>
  <c r="AC30" i="48"/>
  <c r="BE30" i="48"/>
  <c r="AF30" i="48"/>
  <c r="BC30" i="48"/>
  <c r="BD30" i="48"/>
  <c r="AE30" i="48"/>
  <c r="AS30" i="48"/>
  <c r="T30" i="48"/>
  <c r="AR30" i="48"/>
  <c r="AB30" i="48"/>
  <c r="Q30" i="48"/>
  <c r="BA30" i="48"/>
  <c r="BA33" i="48"/>
  <c r="AS33" i="48"/>
  <c r="AK33" i="48"/>
  <c r="AC33" i="48"/>
  <c r="U33" i="48"/>
  <c r="AZ33" i="48"/>
  <c r="AR33" i="48"/>
  <c r="AJ33" i="48"/>
  <c r="AB33" i="48"/>
  <c r="T33" i="48"/>
  <c r="BD33" i="48"/>
  <c r="AV33" i="48"/>
  <c r="AN33" i="48"/>
  <c r="AF33" i="48"/>
  <c r="X33" i="48"/>
  <c r="P33" i="48"/>
  <c r="BB33" i="48"/>
  <c r="AO33" i="48"/>
  <c r="AA33" i="48"/>
  <c r="AY33" i="48"/>
  <c r="AM33" i="48"/>
  <c r="Z33" i="48"/>
  <c r="AX33" i="48"/>
  <c r="AL33" i="48"/>
  <c r="Y33" i="48"/>
  <c r="AW33" i="48"/>
  <c r="AI33" i="48"/>
  <c r="W33" i="48"/>
  <c r="AQ33" i="48"/>
  <c r="R33" i="48"/>
  <c r="AE33" i="48"/>
  <c r="AP33" i="48"/>
  <c r="Q33" i="48"/>
  <c r="AH33" i="48"/>
  <c r="BE33" i="48"/>
  <c r="AG33" i="48"/>
  <c r="AU33" i="48"/>
  <c r="V33" i="48"/>
  <c r="AT33" i="48"/>
  <c r="S33" i="48"/>
  <c r="BC33" i="48"/>
  <c r="AD33" i="48"/>
  <c r="BA29" i="48"/>
  <c r="AS29" i="48"/>
  <c r="AK29" i="48"/>
  <c r="AC29" i="48"/>
  <c r="U29" i="48"/>
  <c r="AZ29" i="48"/>
  <c r="AR29" i="48"/>
  <c r="AJ29" i="48"/>
  <c r="AB29" i="48"/>
  <c r="T29" i="48"/>
  <c r="BD29" i="48"/>
  <c r="AV29" i="48"/>
  <c r="AN29" i="48"/>
  <c r="AF29" i="48"/>
  <c r="X29" i="48"/>
  <c r="P29" i="48"/>
  <c r="BC29" i="48"/>
  <c r="AP29" i="48"/>
  <c r="AD29" i="48"/>
  <c r="Q29" i="48"/>
  <c r="BB29" i="48"/>
  <c r="AO29" i="48"/>
  <c r="AA29" i="48"/>
  <c r="AY29" i="48"/>
  <c r="AM29" i="48"/>
  <c r="Z29" i="48"/>
  <c r="AX29" i="48"/>
  <c r="AL29" i="48"/>
  <c r="AG29" i="48"/>
  <c r="V29" i="48"/>
  <c r="BE29" i="48"/>
  <c r="AE29" i="48"/>
  <c r="AW29" i="48"/>
  <c r="Y29" i="48"/>
  <c r="AU29" i="48"/>
  <c r="W29" i="48"/>
  <c r="AT29" i="48"/>
  <c r="AI29" i="48"/>
  <c r="R29" i="48"/>
  <c r="S29" i="48"/>
  <c r="AQ29" i="48"/>
  <c r="AH29" i="48"/>
  <c r="BE31" i="48"/>
  <c r="AW31" i="48"/>
  <c r="AO31" i="48"/>
  <c r="AG31" i="48"/>
  <c r="Y31" i="48"/>
  <c r="Q31" i="48"/>
  <c r="BD31" i="48"/>
  <c r="AV31" i="48"/>
  <c r="AN31" i="48"/>
  <c r="AF31" i="48"/>
  <c r="X31" i="48"/>
  <c r="P31" i="48"/>
  <c r="AZ31" i="48"/>
  <c r="AR31" i="48"/>
  <c r="AJ31" i="48"/>
  <c r="AB31" i="48"/>
  <c r="T31" i="48"/>
  <c r="AU31" i="48"/>
  <c r="AI31" i="48"/>
  <c r="V31" i="48"/>
  <c r="AT31" i="48"/>
  <c r="AH31" i="48"/>
  <c r="U31" i="48"/>
  <c r="AS31" i="48"/>
  <c r="AE31" i="48"/>
  <c r="S31" i="48"/>
  <c r="BC31" i="48"/>
  <c r="AQ31" i="48"/>
  <c r="AD31" i="48"/>
  <c r="R31" i="48"/>
  <c r="AY31" i="48"/>
  <c r="Z31" i="48"/>
  <c r="AL31" i="48"/>
  <c r="AX31" i="48"/>
  <c r="W31" i="48"/>
  <c r="AP31" i="48"/>
  <c r="AM31" i="48"/>
  <c r="BB31" i="48"/>
  <c r="AC31" i="48"/>
  <c r="BA31" i="48"/>
  <c r="AA31" i="48"/>
  <c r="AK31" i="48"/>
  <c r="AE118" i="50"/>
  <c r="AG118" i="50"/>
  <c r="AK118" i="50"/>
  <c r="AI118" i="50"/>
  <c r="AZ118" i="5"/>
  <c r="X118" i="50"/>
  <c r="Z118" i="50" s="1"/>
  <c r="D12" i="48"/>
  <c r="F12" i="48" s="1"/>
  <c r="L12" i="48" s="1"/>
  <c r="D16" i="48"/>
  <c r="F16" i="48" s="1"/>
  <c r="L16" i="48" s="1"/>
  <c r="L37" i="48"/>
  <c r="L52" i="48" s="1"/>
  <c r="F27" i="48"/>
  <c r="F34" i="48" s="1"/>
  <c r="AB118" i="13" l="1"/>
  <c r="AD118" i="13" s="1"/>
  <c r="D17" i="48"/>
  <c r="L14" i="48"/>
  <c r="AZ12" i="48"/>
  <c r="AR12" i="48"/>
  <c r="AJ12" i="48"/>
  <c r="AB12" i="48"/>
  <c r="T12" i="48"/>
  <c r="AV12" i="48"/>
  <c r="P12" i="48"/>
  <c r="AY12" i="48"/>
  <c r="AQ12" i="48"/>
  <c r="AI12" i="48"/>
  <c r="AA12" i="48"/>
  <c r="S12" i="48"/>
  <c r="BD12" i="48"/>
  <c r="X12" i="48"/>
  <c r="AX12" i="48"/>
  <c r="AP12" i="48"/>
  <c r="AH12" i="48"/>
  <c r="Z12" i="48"/>
  <c r="R12" i="48"/>
  <c r="AF12" i="48"/>
  <c r="BE12" i="48"/>
  <c r="AW12" i="48"/>
  <c r="AO12" i="48"/>
  <c r="AG12" i="48"/>
  <c r="Y12" i="48"/>
  <c r="Q12" i="48"/>
  <c r="AN12" i="48"/>
  <c r="BB12" i="48"/>
  <c r="AT12" i="48"/>
  <c r="AL12" i="48"/>
  <c r="AD12" i="48"/>
  <c r="V12" i="48"/>
  <c r="AK12" i="48"/>
  <c r="AU12" i="48"/>
  <c r="AE12" i="48"/>
  <c r="AC12" i="48"/>
  <c r="U12" i="48"/>
  <c r="BC12" i="48"/>
  <c r="W12" i="48"/>
  <c r="BA12" i="48"/>
  <c r="AS12" i="48"/>
  <c r="AM12" i="48"/>
  <c r="AY37" i="48"/>
  <c r="AY52" i="48" s="1"/>
  <c r="AQ37" i="48"/>
  <c r="AQ52" i="48" s="1"/>
  <c r="AI37" i="48"/>
  <c r="AI52" i="48" s="1"/>
  <c r="AA37" i="48"/>
  <c r="AA52" i="48" s="1"/>
  <c r="S37" i="48"/>
  <c r="S52" i="48" s="1"/>
  <c r="AX37" i="48"/>
  <c r="AX52" i="48" s="1"/>
  <c r="AP37" i="48"/>
  <c r="AP52" i="48" s="1"/>
  <c r="AH37" i="48"/>
  <c r="AH52" i="48" s="1"/>
  <c r="Z37" i="48"/>
  <c r="Z52" i="48" s="1"/>
  <c r="R37" i="48"/>
  <c r="R52" i="48" s="1"/>
  <c r="BB37" i="48"/>
  <c r="BB52" i="48" s="1"/>
  <c r="AT37" i="48"/>
  <c r="AT52" i="48" s="1"/>
  <c r="AL37" i="48"/>
  <c r="AL52" i="48" s="1"/>
  <c r="AD37" i="48"/>
  <c r="AD52" i="48" s="1"/>
  <c r="V37" i="48"/>
  <c r="V52" i="48" s="1"/>
  <c r="AW37" i="48"/>
  <c r="AW52" i="48" s="1"/>
  <c r="AK37" i="48"/>
  <c r="AK52" i="48" s="1"/>
  <c r="X37" i="48"/>
  <c r="X52" i="48" s="1"/>
  <c r="AV37" i="48"/>
  <c r="AV52" i="48" s="1"/>
  <c r="AJ37" i="48"/>
  <c r="AJ52" i="48" s="1"/>
  <c r="W37" i="48"/>
  <c r="W52" i="48" s="1"/>
  <c r="AU37" i="48"/>
  <c r="AU52" i="48" s="1"/>
  <c r="AG37" i="48"/>
  <c r="AG52" i="48" s="1"/>
  <c r="U37" i="48"/>
  <c r="U52" i="48" s="1"/>
  <c r="BE37" i="48"/>
  <c r="BE52" i="48" s="1"/>
  <c r="AS37" i="48"/>
  <c r="AS52" i="48" s="1"/>
  <c r="AF37" i="48"/>
  <c r="AF52" i="48" s="1"/>
  <c r="T37" i="48"/>
  <c r="T52" i="48" s="1"/>
  <c r="BA37" i="48"/>
  <c r="BA52" i="48" s="1"/>
  <c r="AB37" i="48"/>
  <c r="AB52" i="48" s="1"/>
  <c r="AN37" i="48"/>
  <c r="AN52" i="48" s="1"/>
  <c r="AZ37" i="48"/>
  <c r="AZ52" i="48" s="1"/>
  <c r="Y37" i="48"/>
  <c r="Y52" i="48" s="1"/>
  <c r="AR37" i="48"/>
  <c r="AR52" i="48" s="1"/>
  <c r="Q37" i="48"/>
  <c r="Q52" i="48" s="1"/>
  <c r="AO37" i="48"/>
  <c r="AO52" i="48" s="1"/>
  <c r="P37" i="48"/>
  <c r="P52" i="48" s="1"/>
  <c r="BD37" i="48"/>
  <c r="BD52" i="48" s="1"/>
  <c r="AE37" i="48"/>
  <c r="AE52" i="48" s="1"/>
  <c r="BC37" i="48"/>
  <c r="BC52" i="48" s="1"/>
  <c r="AC37" i="48"/>
  <c r="AC52" i="48" s="1"/>
  <c r="AM37" i="48"/>
  <c r="AM52" i="48" s="1"/>
  <c r="AY16" i="48"/>
  <c r="AQ16" i="48"/>
  <c r="AI16" i="48"/>
  <c r="AA16" i="48"/>
  <c r="S16" i="48"/>
  <c r="AX16" i="48"/>
  <c r="AP16" i="48"/>
  <c r="AH16" i="48"/>
  <c r="Z16" i="48"/>
  <c r="R16" i="48"/>
  <c r="BB16" i="48"/>
  <c r="AR16" i="48"/>
  <c r="AF16" i="48"/>
  <c r="V16" i="48"/>
  <c r="AL16" i="48"/>
  <c r="BA16" i="48"/>
  <c r="AO16" i="48"/>
  <c r="AE16" i="48"/>
  <c r="U16" i="48"/>
  <c r="AV16" i="48"/>
  <c r="AZ16" i="48"/>
  <c r="AN16" i="48"/>
  <c r="AD16" i="48"/>
  <c r="T16" i="48"/>
  <c r="P16" i="48"/>
  <c r="AW16" i="48"/>
  <c r="AM16" i="48"/>
  <c r="AC16" i="48"/>
  <c r="Q16" i="48"/>
  <c r="AB16" i="48"/>
  <c r="BD16" i="48"/>
  <c r="AT16" i="48"/>
  <c r="AJ16" i="48"/>
  <c r="X16" i="48"/>
  <c r="BC16" i="48"/>
  <c r="Y16" i="48"/>
  <c r="AU16" i="48"/>
  <c r="AS16" i="48"/>
  <c r="AK16" i="48"/>
  <c r="AG16" i="48"/>
  <c r="W16" i="48"/>
  <c r="BE16" i="48"/>
  <c r="AX13" i="48"/>
  <c r="AP13" i="48"/>
  <c r="AH13" i="48"/>
  <c r="Z13" i="48"/>
  <c r="R13" i="48"/>
  <c r="AL13" i="48"/>
  <c r="BE13" i="48"/>
  <c r="AW13" i="48"/>
  <c r="AO13" i="48"/>
  <c r="AG13" i="48"/>
  <c r="Y13" i="48"/>
  <c r="Q13" i="48"/>
  <c r="AT13" i="48"/>
  <c r="BD13" i="48"/>
  <c r="AV13" i="48"/>
  <c r="AN13" i="48"/>
  <c r="AF13" i="48"/>
  <c r="X13" i="48"/>
  <c r="P13" i="48"/>
  <c r="BB13" i="48"/>
  <c r="V13" i="48"/>
  <c r="BC13" i="48"/>
  <c r="AU13" i="48"/>
  <c r="AM13" i="48"/>
  <c r="AE13" i="48"/>
  <c r="W13" i="48"/>
  <c r="AD13" i="48"/>
  <c r="AZ13" i="48"/>
  <c r="AR13" i="48"/>
  <c r="AJ13" i="48"/>
  <c r="AB13" i="48"/>
  <c r="T13" i="48"/>
  <c r="AA13" i="48"/>
  <c r="BA13" i="48"/>
  <c r="U13" i="48"/>
  <c r="AY13" i="48"/>
  <c r="S13" i="48"/>
  <c r="AS13" i="48"/>
  <c r="AQ13" i="48"/>
  <c r="AI13" i="48"/>
  <c r="AC13" i="48"/>
  <c r="AK13" i="48"/>
  <c r="BA15" i="48"/>
  <c r="AS15" i="48"/>
  <c r="AK15" i="48"/>
  <c r="AC15" i="48"/>
  <c r="U15" i="48"/>
  <c r="AZ15" i="48"/>
  <c r="AR15" i="48"/>
  <c r="AJ15" i="48"/>
  <c r="AB15" i="48"/>
  <c r="T15" i="48"/>
  <c r="BB15" i="48"/>
  <c r="AP15" i="48"/>
  <c r="AF15" i="48"/>
  <c r="V15" i="48"/>
  <c r="AV15" i="48"/>
  <c r="P15" i="48"/>
  <c r="AY15" i="48"/>
  <c r="AO15" i="48"/>
  <c r="AE15" i="48"/>
  <c r="S15" i="48"/>
  <c r="AL15" i="48"/>
  <c r="AX15" i="48"/>
  <c r="AN15" i="48"/>
  <c r="AD15" i="48"/>
  <c r="R15" i="48"/>
  <c r="AW15" i="48"/>
  <c r="AM15" i="48"/>
  <c r="AA15" i="48"/>
  <c r="Q15" i="48"/>
  <c r="Z15" i="48"/>
  <c r="BD15" i="48"/>
  <c r="AT15" i="48"/>
  <c r="AH15" i="48"/>
  <c r="X15" i="48"/>
  <c r="BC15" i="48"/>
  <c r="AU15" i="48"/>
  <c r="AQ15" i="48"/>
  <c r="AI15" i="48"/>
  <c r="AG15" i="48"/>
  <c r="Y15" i="48"/>
  <c r="W15" i="48"/>
  <c r="BE15" i="48"/>
  <c r="F11" i="48"/>
  <c r="F17" i="48" s="1"/>
  <c r="L27" i="48"/>
  <c r="L34" i="48" s="1"/>
  <c r="BD27" i="48" l="1"/>
  <c r="BD34" i="48" s="1"/>
  <c r="AV27" i="48"/>
  <c r="AV34" i="48" s="1"/>
  <c r="AN27" i="48"/>
  <c r="AN34" i="48" s="1"/>
  <c r="AF27" i="48"/>
  <c r="AF34" i="48" s="1"/>
  <c r="X27" i="48"/>
  <c r="X34" i="48" s="1"/>
  <c r="P27" i="48"/>
  <c r="P34" i="48" s="1"/>
  <c r="AZ27" i="48"/>
  <c r="AZ34" i="48" s="1"/>
  <c r="AR27" i="48"/>
  <c r="AR34" i="48" s="1"/>
  <c r="AJ27" i="48"/>
  <c r="AJ34" i="48" s="1"/>
  <c r="AB27" i="48"/>
  <c r="AB34" i="48" s="1"/>
  <c r="T27" i="48"/>
  <c r="T34" i="48" s="1"/>
  <c r="AX27" i="48"/>
  <c r="AX34" i="48" s="1"/>
  <c r="AM27" i="48"/>
  <c r="AM34" i="48" s="1"/>
  <c r="AC27" i="48"/>
  <c r="AC34" i="48" s="1"/>
  <c r="R27" i="48"/>
  <c r="R34" i="48" s="1"/>
  <c r="AW27" i="48"/>
  <c r="AW34" i="48" s="1"/>
  <c r="AL27" i="48"/>
  <c r="AL34" i="48" s="1"/>
  <c r="AA27" i="48"/>
  <c r="AA34" i="48" s="1"/>
  <c r="Q27" i="48"/>
  <c r="Q34" i="48" s="1"/>
  <c r="BE27" i="48"/>
  <c r="BE34" i="48" s="1"/>
  <c r="AQ27" i="48"/>
  <c r="AQ34" i="48" s="1"/>
  <c r="AD27" i="48"/>
  <c r="AD34" i="48" s="1"/>
  <c r="AI27" i="48"/>
  <c r="AI34" i="48" s="1"/>
  <c r="BC27" i="48"/>
  <c r="BC34" i="48" s="1"/>
  <c r="AP27" i="48"/>
  <c r="AP34" i="48" s="1"/>
  <c r="Z27" i="48"/>
  <c r="Z34" i="48" s="1"/>
  <c r="BB27" i="48"/>
  <c r="BB34" i="48" s="1"/>
  <c r="AO27" i="48"/>
  <c r="AO34" i="48" s="1"/>
  <c r="Y27" i="48"/>
  <c r="Y34" i="48" s="1"/>
  <c r="V27" i="48"/>
  <c r="V34" i="48" s="1"/>
  <c r="BA27" i="48"/>
  <c r="BA34" i="48" s="1"/>
  <c r="AK27" i="48"/>
  <c r="AK34" i="48" s="1"/>
  <c r="W27" i="48"/>
  <c r="W34" i="48" s="1"/>
  <c r="AY27" i="48"/>
  <c r="AY34" i="48" s="1"/>
  <c r="AT27" i="48"/>
  <c r="AT34" i="48" s="1"/>
  <c r="AG27" i="48"/>
  <c r="AG34" i="48" s="1"/>
  <c r="S27" i="48"/>
  <c r="S34" i="48" s="1"/>
  <c r="AU27" i="48"/>
  <c r="AU34" i="48" s="1"/>
  <c r="AS27" i="48"/>
  <c r="AS34" i="48" s="1"/>
  <c r="AH27" i="48"/>
  <c r="AH34" i="48" s="1"/>
  <c r="AE27" i="48"/>
  <c r="AE34" i="48" s="1"/>
  <c r="U27" i="48"/>
  <c r="U34" i="48" s="1"/>
  <c r="L11" i="48"/>
  <c r="L17" i="48" s="1"/>
  <c r="BB11" i="48" l="1"/>
  <c r="AT11" i="48"/>
  <c r="AL11" i="48"/>
  <c r="AD11" i="48"/>
  <c r="V11" i="48"/>
  <c r="BA11" i="48"/>
  <c r="AS11" i="48"/>
  <c r="AK11" i="48"/>
  <c r="AC11" i="48"/>
  <c r="U11" i="48"/>
  <c r="AZ11" i="48"/>
  <c r="AR11" i="48"/>
  <c r="AJ11" i="48"/>
  <c r="AB11" i="48"/>
  <c r="T11" i="48"/>
  <c r="AY11" i="48"/>
  <c r="AQ11" i="48"/>
  <c r="AI11" i="48"/>
  <c r="AA11" i="48"/>
  <c r="S11" i="48"/>
  <c r="BD11" i="48"/>
  <c r="AV11" i="48"/>
  <c r="AN11" i="48"/>
  <c r="AF11" i="48"/>
  <c r="X11" i="48"/>
  <c r="P11" i="48"/>
  <c r="AW11" i="48"/>
  <c r="Z11" i="48"/>
  <c r="AU11" i="48"/>
  <c r="Y11" i="48"/>
  <c r="BE11" i="48"/>
  <c r="AP11" i="48"/>
  <c r="W11" i="48"/>
  <c r="AO11" i="48"/>
  <c r="R11" i="48"/>
  <c r="AM11" i="48"/>
  <c r="Q11" i="48"/>
  <c r="AH11" i="48"/>
  <c r="BC11" i="48"/>
  <c r="AG11" i="48"/>
  <c r="AX11" i="48"/>
  <c r="AE11" i="48"/>
  <c r="D39" i="16" l="1"/>
  <c r="U40" i="16" s="1"/>
  <c r="AA40" i="16"/>
  <c r="D33" i="16"/>
  <c r="J34" i="16" s="1"/>
  <c r="T40" i="16" l="1"/>
  <c r="Y40" i="16"/>
  <c r="Q40" i="16"/>
  <c r="P40" i="16"/>
  <c r="H40" i="16"/>
  <c r="W40" i="16"/>
  <c r="S40" i="16"/>
  <c r="V40" i="16"/>
  <c r="V34" i="16"/>
  <c r="L40" i="16"/>
  <c r="M40" i="16"/>
  <c r="O40" i="16"/>
  <c r="AF34" i="16"/>
  <c r="AG40" i="16"/>
  <c r="AD40" i="16"/>
  <c r="Z40" i="16"/>
  <c r="M34" i="16"/>
  <c r="I40" i="16"/>
  <c r="K40" i="16"/>
  <c r="X40" i="16"/>
  <c r="U34" i="16"/>
  <c r="AF40" i="16"/>
  <c r="N40" i="16"/>
  <c r="J40" i="16"/>
  <c r="AE40" i="16"/>
  <c r="AB40" i="16"/>
  <c r="S34" i="16"/>
  <c r="Q34" i="16"/>
  <c r="T34" i="16"/>
  <c r="F34" i="16"/>
  <c r="AN34" i="16"/>
  <c r="AU34" i="16"/>
  <c r="AK34" i="16"/>
  <c r="R34" i="16"/>
  <c r="AQ34" i="16"/>
  <c r="AS34" i="16"/>
  <c r="AL34" i="16"/>
  <c r="AI34" i="16"/>
  <c r="AH34" i="16"/>
  <c r="AT34" i="16"/>
  <c r="AO34" i="16"/>
  <c r="AR34" i="16"/>
  <c r="AM34" i="16"/>
  <c r="AP34" i="16"/>
  <c r="AJ34" i="16"/>
  <c r="X34" i="16"/>
  <c r="AC34" i="16"/>
  <c r="L34" i="16"/>
  <c r="H34" i="16"/>
  <c r="AB34" i="16"/>
  <c r="O34" i="16"/>
  <c r="AG34" i="16"/>
  <c r="I34" i="16"/>
  <c r="AD34" i="16"/>
  <c r="F40" i="16"/>
  <c r="K34" i="16"/>
  <c r="AE34" i="16"/>
  <c r="Y34" i="16"/>
  <c r="AA34" i="16"/>
  <c r="W34" i="16"/>
  <c r="AC40" i="16"/>
  <c r="AJ40" i="16"/>
  <c r="AU40" i="16"/>
  <c r="AM40" i="16"/>
  <c r="AP40" i="16"/>
  <c r="AL40" i="16"/>
  <c r="AO40" i="16"/>
  <c r="AN40" i="16"/>
  <c r="AS40" i="16"/>
  <c r="AK40" i="16"/>
  <c r="AR40" i="16"/>
  <c r="AQ40" i="16"/>
  <c r="AT40" i="16"/>
  <c r="AH40" i="16"/>
  <c r="AI40" i="16"/>
  <c r="R40" i="16"/>
  <c r="N34" i="16"/>
  <c r="G34" i="16"/>
  <c r="Z34" i="16"/>
  <c r="G40" i="16"/>
  <c r="P34" i="16"/>
  <c r="D34" i="16" l="1"/>
  <c r="D40" i="16"/>
  <c r="D78" i="16"/>
  <c r="F79" i="16" s="1"/>
  <c r="G79" i="16" l="1"/>
  <c r="AL79" i="16"/>
  <c r="U79" i="16"/>
  <c r="O79" i="16"/>
  <c r="V79" i="16"/>
  <c r="AN79" i="16"/>
  <c r="AJ79" i="16"/>
  <c r="J79" i="16"/>
  <c r="AR79" i="16"/>
  <c r="AT79" i="16"/>
  <c r="AS79" i="16"/>
  <c r="I79" i="16"/>
  <c r="AG79" i="16"/>
  <c r="K79" i="16"/>
  <c r="AD79" i="16"/>
  <c r="AA79" i="16"/>
  <c r="AM79" i="16"/>
  <c r="W79" i="16"/>
  <c r="AF79" i="16"/>
  <c r="AP79" i="16"/>
  <c r="L79" i="16"/>
  <c r="AI79" i="16"/>
  <c r="AE79" i="16"/>
  <c r="AH79" i="16"/>
  <c r="AC79" i="16"/>
  <c r="Y79" i="16"/>
  <c r="AU79" i="16"/>
  <c r="S79" i="16"/>
  <c r="H79" i="16"/>
  <c r="T79" i="16"/>
  <c r="M79" i="16"/>
  <c r="Z79" i="16"/>
  <c r="AK79" i="16"/>
  <c r="R79" i="16"/>
  <c r="AO79" i="16"/>
  <c r="P79" i="16"/>
  <c r="N79" i="16"/>
  <c r="AQ79" i="16"/>
  <c r="AB79" i="16"/>
  <c r="Q79" i="16"/>
  <c r="X79" i="16"/>
  <c r="D79" i="16" l="1"/>
  <c r="D72" i="16" l="1"/>
  <c r="F73" i="16" s="1"/>
  <c r="R73" i="16" l="1"/>
  <c r="J73" i="16"/>
  <c r="W73" i="16"/>
  <c r="AC73" i="16"/>
  <c r="AH73" i="16"/>
  <c r="M73" i="16"/>
  <c r="T73" i="16"/>
  <c r="AP73" i="16"/>
  <c r="U73" i="16"/>
  <c r="N73" i="16"/>
  <c r="AQ73" i="16"/>
  <c r="AJ73" i="16"/>
  <c r="I73" i="16"/>
  <c r="AI73" i="16"/>
  <c r="O73" i="16"/>
  <c r="X73" i="16"/>
  <c r="Z73" i="16"/>
  <c r="AD73" i="16"/>
  <c r="AT73" i="16"/>
  <c r="G73" i="16"/>
  <c r="V73" i="16"/>
  <c r="H73" i="16"/>
  <c r="AR73" i="16"/>
  <c r="AF73" i="16"/>
  <c r="AL73" i="16"/>
  <c r="Y73" i="16"/>
  <c r="AU73" i="16"/>
  <c r="L73" i="16"/>
  <c r="K73" i="16"/>
  <c r="AN73" i="16"/>
  <c r="Q73" i="16"/>
  <c r="P73" i="16"/>
  <c r="AE73" i="16"/>
  <c r="AK73" i="16"/>
  <c r="AM73" i="16"/>
  <c r="AA73" i="16"/>
  <c r="AS73" i="16"/>
  <c r="AO73" i="16"/>
  <c r="AB73" i="16"/>
  <c r="AG73" i="16"/>
  <c r="S73" i="16"/>
  <c r="D73" i="16" l="1"/>
  <c r="D99" i="16" l="1"/>
  <c r="F100" i="16" l="1"/>
  <c r="P14" i="48" s="1"/>
  <c r="P17" i="48" s="1"/>
  <c r="AP100" i="16"/>
  <c r="AZ14" i="48" s="1"/>
  <c r="AZ17" i="48" s="1"/>
  <c r="AR100" i="16"/>
  <c r="BB14" i="48" s="1"/>
  <c r="BB17" i="48" s="1"/>
  <c r="AJ100" i="16"/>
  <c r="AT14" i="48" s="1"/>
  <c r="AT17" i="48" s="1"/>
  <c r="AT100" i="16"/>
  <c r="BD14" i="48" s="1"/>
  <c r="BD17" i="48" s="1"/>
  <c r="AL100" i="16"/>
  <c r="AV14" i="48" s="1"/>
  <c r="AV17" i="48" s="1"/>
  <c r="AH100" i="16"/>
  <c r="AR14" i="48" s="1"/>
  <c r="AR17" i="48" s="1"/>
  <c r="AU100" i="16"/>
  <c r="AK100" i="16"/>
  <c r="AU14" i="48" s="1"/>
  <c r="AU17" i="48" s="1"/>
  <c r="AO100" i="16"/>
  <c r="AY14" i="48" s="1"/>
  <c r="AY17" i="48" s="1"/>
  <c r="AQ100" i="16"/>
  <c r="BA14" i="48" s="1"/>
  <c r="BA17" i="48" s="1"/>
  <c r="AM100" i="16"/>
  <c r="AW14" i="48" s="1"/>
  <c r="AW17" i="48" s="1"/>
  <c r="AN100" i="16"/>
  <c r="AX14" i="48" s="1"/>
  <c r="AX17" i="48" s="1"/>
  <c r="AI100" i="16"/>
  <c r="AS14" i="48" s="1"/>
  <c r="AS17" i="48" s="1"/>
  <c r="AS100" i="16"/>
  <c r="BC14" i="48" s="1"/>
  <c r="BC17" i="48" s="1"/>
  <c r="N100" i="16"/>
  <c r="X14" i="48" s="1"/>
  <c r="X17" i="48" s="1"/>
  <c r="X100" i="16"/>
  <c r="AH14" i="48" s="1"/>
  <c r="AH17" i="48" s="1"/>
  <c r="AA100" i="16"/>
  <c r="AK14" i="48" s="1"/>
  <c r="AK17" i="48" s="1"/>
  <c r="AE100" i="16"/>
  <c r="AO14" i="48" s="1"/>
  <c r="AO17" i="48" s="1"/>
  <c r="W100" i="16"/>
  <c r="AG14" i="48" s="1"/>
  <c r="AG17" i="48" s="1"/>
  <c r="AC100" i="16"/>
  <c r="AM14" i="48" s="1"/>
  <c r="AM17" i="48" s="1"/>
  <c r="S100" i="16"/>
  <c r="AC14" i="48" s="1"/>
  <c r="AC17" i="48" s="1"/>
  <c r="Q100" i="16"/>
  <c r="AA14" i="48" s="1"/>
  <c r="AA17" i="48" s="1"/>
  <c r="AD100" i="16"/>
  <c r="AN14" i="48" s="1"/>
  <c r="AN17" i="48" s="1"/>
  <c r="AB100" i="16"/>
  <c r="AL14" i="48" s="1"/>
  <c r="AL17" i="48" s="1"/>
  <c r="V100" i="16"/>
  <c r="AF14" i="48" s="1"/>
  <c r="AF17" i="48" s="1"/>
  <c r="M100" i="16"/>
  <c r="W14" i="48" s="1"/>
  <c r="W17" i="48" s="1"/>
  <c r="AF100" i="16"/>
  <c r="AP14" i="48" s="1"/>
  <c r="AP17" i="48" s="1"/>
  <c r="R100" i="16"/>
  <c r="AB14" i="48" s="1"/>
  <c r="AB17" i="48" s="1"/>
  <c r="I100" i="16"/>
  <c r="S14" i="48" s="1"/>
  <c r="S17" i="48" s="1"/>
  <c r="T100" i="16"/>
  <c r="AD14" i="48" s="1"/>
  <c r="AD17" i="48" s="1"/>
  <c r="H100" i="16"/>
  <c r="R14" i="48" s="1"/>
  <c r="R17" i="48" s="1"/>
  <c r="J100" i="16"/>
  <c r="T14" i="48" s="1"/>
  <c r="T17" i="48" s="1"/>
  <c r="Z100" i="16"/>
  <c r="AJ14" i="48" s="1"/>
  <c r="AJ17" i="48" s="1"/>
  <c r="L100" i="16"/>
  <c r="V14" i="48" s="1"/>
  <c r="V17" i="48" s="1"/>
  <c r="P100" i="16"/>
  <c r="Z14" i="48" s="1"/>
  <c r="Z17" i="48" s="1"/>
  <c r="K100" i="16"/>
  <c r="U14" i="48" s="1"/>
  <c r="U17" i="48" s="1"/>
  <c r="O100" i="16"/>
  <c r="Y14" i="48" s="1"/>
  <c r="Y17" i="48" s="1"/>
  <c r="Y100" i="16"/>
  <c r="AI14" i="48" s="1"/>
  <c r="AI17" i="48" s="1"/>
  <c r="AG100" i="16"/>
  <c r="AQ14" i="48" s="1"/>
  <c r="AQ17" i="48" s="1"/>
  <c r="U100" i="16"/>
  <c r="AE14" i="48" s="1"/>
  <c r="AE17" i="48" s="1"/>
  <c r="G100" i="16"/>
  <c r="Q14" i="48" s="1"/>
  <c r="Q17" i="48" s="1"/>
  <c r="BE14" i="48" l="1"/>
  <c r="BE17" i="48" s="1"/>
  <c r="D100" i="16"/>
  <c r="R62" i="1" l="1"/>
  <c r="F18" i="4"/>
  <c r="X18" i="1"/>
  <c r="Z18" i="1" s="1"/>
  <c r="R31" i="1"/>
  <c r="F62" i="4" l="1"/>
  <c r="L18" i="4"/>
  <c r="F31" i="4"/>
  <c r="X62" i="1"/>
  <c r="Z62" i="1" s="1"/>
  <c r="R75" i="1"/>
  <c r="V18" i="4" l="1"/>
  <c r="T18" i="4"/>
  <c r="R18" i="4"/>
  <c r="P18" i="4"/>
  <c r="L31" i="4"/>
  <c r="L62" i="4"/>
  <c r="L75" i="4" s="1"/>
  <c r="F75" i="4"/>
  <c r="V62" i="4" l="1"/>
  <c r="V31" i="4"/>
  <c r="R62" i="4"/>
  <c r="R31" i="4"/>
  <c r="T62" i="4"/>
  <c r="T31" i="4"/>
  <c r="X18" i="4"/>
  <c r="AH18" i="4" s="1"/>
  <c r="P62" i="4"/>
  <c r="P31" i="4"/>
  <c r="AH31" i="4" l="1"/>
  <c r="H53" i="10" s="1"/>
  <c r="AF18" i="4"/>
  <c r="R75" i="4"/>
  <c r="X62" i="4"/>
  <c r="P75" i="4"/>
  <c r="AL18" i="4"/>
  <c r="X31" i="4"/>
  <c r="Z31" i="4" s="1"/>
  <c r="Z18" i="4"/>
  <c r="AJ18" i="4"/>
  <c r="T75" i="4"/>
  <c r="V75" i="4"/>
  <c r="AL31" i="4" l="1"/>
  <c r="L53" i="10" s="1"/>
  <c r="AF31" i="4"/>
  <c r="F53" i="10" s="1"/>
  <c r="AJ31" i="4"/>
  <c r="J53" i="10" s="1"/>
  <c r="AN18" i="4"/>
  <c r="AN31" i="4" s="1"/>
  <c r="X75" i="4"/>
  <c r="Z75" i="4" s="1"/>
  <c r="Z62" i="4"/>
  <c r="V60" i="10"/>
  <c r="J62" i="10"/>
  <c r="X60" i="10"/>
  <c r="L62" i="10"/>
  <c r="H62" i="10"/>
  <c r="H44" i="10"/>
  <c r="T60" i="10"/>
  <c r="F44" i="10"/>
  <c r="R60" i="10"/>
  <c r="F62" i="10"/>
  <c r="D53" i="10" l="1"/>
  <c r="L54" i="10" s="1"/>
  <c r="V102" i="4" s="1"/>
  <c r="T61" i="10"/>
  <c r="R61" i="10"/>
  <c r="V61" i="10"/>
  <c r="X61" i="10"/>
  <c r="D62" i="10"/>
  <c r="D44" i="10"/>
  <c r="F45" i="10" s="1"/>
  <c r="P120" i="4" s="1"/>
  <c r="H54" i="10" l="1"/>
  <c r="F54" i="10"/>
  <c r="P102" i="4" s="1"/>
  <c r="J54" i="10"/>
  <c r="T102" i="4" s="1"/>
  <c r="R102" i="4"/>
  <c r="J63" i="10"/>
  <c r="F63" i="10"/>
  <c r="J45" i="10"/>
  <c r="T120" i="4" s="1"/>
  <c r="L45" i="10"/>
  <c r="V120" i="4" s="1"/>
  <c r="L63" i="10"/>
  <c r="H63" i="10"/>
  <c r="H45" i="10"/>
  <c r="R120" i="4" s="1"/>
  <c r="D54" i="10" l="1"/>
  <c r="P145" i="4"/>
  <c r="AF145" i="4" s="1"/>
  <c r="V145" i="4"/>
  <c r="T145" i="4"/>
  <c r="AJ145" i="4" s="1"/>
  <c r="R145" i="4"/>
  <c r="D22" i="48"/>
  <c r="F22" i="48" s="1"/>
  <c r="L22" i="48" s="1"/>
  <c r="D21" i="48"/>
  <c r="F21" i="48" s="1"/>
  <c r="L21" i="48" s="1"/>
  <c r="X120" i="4"/>
  <c r="Z120" i="4" s="1"/>
  <c r="D20" i="48"/>
  <c r="D45" i="10"/>
  <c r="X102" i="4"/>
  <c r="Z102" i="4" s="1"/>
  <c r="D63" i="10"/>
  <c r="D23" i="48"/>
  <c r="F23" i="48" s="1"/>
  <c r="L23" i="48" s="1"/>
  <c r="F26" i="13"/>
  <c r="L26" i="13" s="1"/>
  <c r="P70" i="1"/>
  <c r="X26" i="1"/>
  <c r="Z26" i="1" s="1"/>
  <c r="X25" i="1"/>
  <c r="Z25" i="1" s="1"/>
  <c r="P69" i="1"/>
  <c r="F25" i="13"/>
  <c r="L25" i="13" s="1"/>
  <c r="F24" i="13"/>
  <c r="X24" i="1"/>
  <c r="P68" i="1"/>
  <c r="P31" i="1"/>
  <c r="D24" i="48" l="1"/>
  <c r="D54" i="48" s="1"/>
  <c r="BA22" i="48"/>
  <c r="AS22" i="48"/>
  <c r="AK22" i="48"/>
  <c r="AC22" i="48"/>
  <c r="U22" i="48"/>
  <c r="AZ22" i="48"/>
  <c r="AR22" i="48"/>
  <c r="AJ22" i="48"/>
  <c r="AB22" i="48"/>
  <c r="T22" i="48"/>
  <c r="BD22" i="48"/>
  <c r="AT22" i="48"/>
  <c r="AH22" i="48"/>
  <c r="X22" i="48"/>
  <c r="AN22" i="48"/>
  <c r="BC22" i="48"/>
  <c r="AQ22" i="48"/>
  <c r="AG22" i="48"/>
  <c r="W22" i="48"/>
  <c r="AD22" i="48"/>
  <c r="BB22" i="48"/>
  <c r="AP22" i="48"/>
  <c r="AF22" i="48"/>
  <c r="V22" i="48"/>
  <c r="AY22" i="48"/>
  <c r="AO22" i="48"/>
  <c r="AE22" i="48"/>
  <c r="S22" i="48"/>
  <c r="AX22" i="48"/>
  <c r="R22" i="48"/>
  <c r="AV22" i="48"/>
  <c r="AL22" i="48"/>
  <c r="Z22" i="48"/>
  <c r="P22" i="48"/>
  <c r="BE22" i="48"/>
  <c r="AA22" i="48"/>
  <c r="AW22" i="48"/>
  <c r="AU22" i="48"/>
  <c r="AM22" i="48"/>
  <c r="AI22" i="48"/>
  <c r="Y22" i="48"/>
  <c r="Q22" i="48"/>
  <c r="AY23" i="48"/>
  <c r="AQ23" i="48"/>
  <c r="AI23" i="48"/>
  <c r="AA23" i="48"/>
  <c r="S23" i="48"/>
  <c r="AX23" i="48"/>
  <c r="AP23" i="48"/>
  <c r="AH23" i="48"/>
  <c r="Z23" i="48"/>
  <c r="R23" i="48"/>
  <c r="BD23" i="48"/>
  <c r="AT23" i="48"/>
  <c r="AJ23" i="48"/>
  <c r="X23" i="48"/>
  <c r="AD23" i="48"/>
  <c r="BC23" i="48"/>
  <c r="AS23" i="48"/>
  <c r="AG23" i="48"/>
  <c r="W23" i="48"/>
  <c r="AN23" i="48"/>
  <c r="BB23" i="48"/>
  <c r="AR23" i="48"/>
  <c r="AF23" i="48"/>
  <c r="V23" i="48"/>
  <c r="T23" i="48"/>
  <c r="BA23" i="48"/>
  <c r="AO23" i="48"/>
  <c r="AE23" i="48"/>
  <c r="U23" i="48"/>
  <c r="AZ23" i="48"/>
  <c r="AV23" i="48"/>
  <c r="AL23" i="48"/>
  <c r="AB23" i="48"/>
  <c r="P23" i="48"/>
  <c r="BE23" i="48"/>
  <c r="AW23" i="48"/>
  <c r="AU23" i="48"/>
  <c r="AM23" i="48"/>
  <c r="AK23" i="48"/>
  <c r="Y23" i="48"/>
  <c r="Q23" i="48"/>
  <c r="AC23" i="48"/>
  <c r="BC21" i="48"/>
  <c r="AU21" i="48"/>
  <c r="AM21" i="48"/>
  <c r="AE21" i="48"/>
  <c r="W21" i="48"/>
  <c r="BB21" i="48"/>
  <c r="AT21" i="48"/>
  <c r="AL21" i="48"/>
  <c r="AD21" i="48"/>
  <c r="V21" i="48"/>
  <c r="BD21" i="48"/>
  <c r="AR21" i="48"/>
  <c r="AH21" i="48"/>
  <c r="X21" i="48"/>
  <c r="AN21" i="48"/>
  <c r="BA21" i="48"/>
  <c r="AQ21" i="48"/>
  <c r="AG21" i="48"/>
  <c r="U21" i="48"/>
  <c r="AB21" i="48"/>
  <c r="AZ21" i="48"/>
  <c r="AP21" i="48"/>
  <c r="AF21" i="48"/>
  <c r="T21" i="48"/>
  <c r="AX21" i="48"/>
  <c r="AY21" i="48"/>
  <c r="AO21" i="48"/>
  <c r="AC21" i="48"/>
  <c r="S21" i="48"/>
  <c r="R21" i="48"/>
  <c r="AV21" i="48"/>
  <c r="AJ21" i="48"/>
  <c r="Z21" i="48"/>
  <c r="P21" i="48"/>
  <c r="BE21" i="48"/>
  <c r="AW21" i="48"/>
  <c r="AS21" i="48"/>
  <c r="AK21" i="48"/>
  <c r="AI21" i="48"/>
  <c r="AA21" i="48"/>
  <c r="Y21" i="48"/>
  <c r="Q21" i="48"/>
  <c r="R26" i="13"/>
  <c r="P26" i="13"/>
  <c r="Z26" i="13"/>
  <c r="V26" i="13"/>
  <c r="T26" i="13"/>
  <c r="X26" i="13"/>
  <c r="Z25" i="13"/>
  <c r="X25" i="13"/>
  <c r="V25" i="13"/>
  <c r="R25" i="13"/>
  <c r="T25" i="13"/>
  <c r="P25" i="13"/>
  <c r="X145" i="4"/>
  <c r="Z145" i="4" s="1"/>
  <c r="AL145" i="4"/>
  <c r="AH145" i="4"/>
  <c r="F20" i="48"/>
  <c r="F24" i="48" s="1"/>
  <c r="F54" i="48" s="1"/>
  <c r="F69" i="13"/>
  <c r="L69" i="13" s="1"/>
  <c r="X69" i="1"/>
  <c r="Z69" i="1" s="1"/>
  <c r="L24" i="13"/>
  <c r="F31" i="13"/>
  <c r="X70" i="1"/>
  <c r="Z70" i="1" s="1"/>
  <c r="F70" i="13"/>
  <c r="L70" i="13" s="1"/>
  <c r="F68" i="13"/>
  <c r="X68" i="1"/>
  <c r="P75" i="1"/>
  <c r="Z24" i="1"/>
  <c r="X31" i="1"/>
  <c r="Z24" i="13" l="1"/>
  <c r="X24" i="13"/>
  <c r="V24" i="13"/>
  <c r="T24" i="13"/>
  <c r="R24" i="13"/>
  <c r="P24" i="13"/>
  <c r="Z69" i="13"/>
  <c r="X69" i="13"/>
  <c r="V69" i="13"/>
  <c r="R69" i="13"/>
  <c r="P69" i="13"/>
  <c r="T69" i="13"/>
  <c r="R70" i="13"/>
  <c r="P70" i="13"/>
  <c r="Z70" i="13"/>
  <c r="V70" i="13"/>
  <c r="X70" i="13"/>
  <c r="T70" i="13"/>
  <c r="AN145" i="4"/>
  <c r="L20" i="48"/>
  <c r="L24" i="48" s="1"/>
  <c r="L54" i="48" s="1"/>
  <c r="AB25" i="13"/>
  <c r="AD25" i="13" s="1"/>
  <c r="Z31" i="1"/>
  <c r="AB26" i="13"/>
  <c r="AD26" i="13" s="1"/>
  <c r="L31" i="13"/>
  <c r="Z68" i="1"/>
  <c r="X75" i="1"/>
  <c r="L68" i="13"/>
  <c r="F75" i="13"/>
  <c r="BE20" i="48" l="1"/>
  <c r="AW20" i="48"/>
  <c r="AW24" i="48" s="1"/>
  <c r="AW54" i="48" s="1"/>
  <c r="AO20" i="48"/>
  <c r="AO24" i="48" s="1"/>
  <c r="AO54" i="48" s="1"/>
  <c r="AG20" i="48"/>
  <c r="AG24" i="48" s="1"/>
  <c r="AG54" i="48" s="1"/>
  <c r="Y20" i="48"/>
  <c r="Y24" i="48" s="1"/>
  <c r="Y54" i="48" s="1"/>
  <c r="Q20" i="48"/>
  <c r="Q24" i="48" s="1"/>
  <c r="Q54" i="48" s="1"/>
  <c r="BD20" i="48"/>
  <c r="AV20" i="48"/>
  <c r="AV24" i="48" s="1"/>
  <c r="AV54" i="48" s="1"/>
  <c r="AN20" i="48"/>
  <c r="AN24" i="48" s="1"/>
  <c r="AN54" i="48" s="1"/>
  <c r="AF20" i="48"/>
  <c r="AF24" i="48" s="1"/>
  <c r="AF54" i="48" s="1"/>
  <c r="X20" i="48"/>
  <c r="X24" i="48" s="1"/>
  <c r="X54" i="48" s="1"/>
  <c r="P20" i="48"/>
  <c r="P24" i="48" s="1"/>
  <c r="P54" i="48" s="1"/>
  <c r="BB20" i="48"/>
  <c r="AR20" i="48"/>
  <c r="AR24" i="48" s="1"/>
  <c r="AR54" i="48" s="1"/>
  <c r="AH20" i="48"/>
  <c r="AH24" i="48" s="1"/>
  <c r="AH54" i="48" s="1"/>
  <c r="V20" i="48"/>
  <c r="V24" i="48" s="1"/>
  <c r="V54" i="48" s="1"/>
  <c r="AL20" i="48"/>
  <c r="AL24" i="48" s="1"/>
  <c r="AL54" i="48" s="1"/>
  <c r="BA20" i="48"/>
  <c r="AQ20" i="48"/>
  <c r="AQ24" i="48" s="1"/>
  <c r="AQ54" i="48" s="1"/>
  <c r="AE20" i="48"/>
  <c r="AE24" i="48" s="1"/>
  <c r="AE54" i="48" s="1"/>
  <c r="U20" i="48"/>
  <c r="U24" i="48" s="1"/>
  <c r="U54" i="48" s="1"/>
  <c r="AZ20" i="48"/>
  <c r="AP20" i="48"/>
  <c r="AP24" i="48" s="1"/>
  <c r="AP54" i="48" s="1"/>
  <c r="AD20" i="48"/>
  <c r="AD24" i="48" s="1"/>
  <c r="AD54" i="48" s="1"/>
  <c r="T20" i="48"/>
  <c r="T24" i="48" s="1"/>
  <c r="T54" i="48" s="1"/>
  <c r="AX20" i="48"/>
  <c r="R20" i="48"/>
  <c r="R24" i="48" s="1"/>
  <c r="R54" i="48" s="1"/>
  <c r="AY20" i="48"/>
  <c r="AM20" i="48"/>
  <c r="AM24" i="48" s="1"/>
  <c r="AM54" i="48" s="1"/>
  <c r="AC20" i="48"/>
  <c r="AC24" i="48" s="1"/>
  <c r="AC54" i="48" s="1"/>
  <c r="S20" i="48"/>
  <c r="S24" i="48" s="1"/>
  <c r="S54" i="48" s="1"/>
  <c r="AB20" i="48"/>
  <c r="AB24" i="48" s="1"/>
  <c r="AB54" i="48" s="1"/>
  <c r="AT20" i="48"/>
  <c r="AT24" i="48" s="1"/>
  <c r="AT54" i="48" s="1"/>
  <c r="AJ20" i="48"/>
  <c r="AJ24" i="48" s="1"/>
  <c r="AJ54" i="48" s="1"/>
  <c r="Z20" i="48"/>
  <c r="Z24" i="48" s="1"/>
  <c r="Z54" i="48" s="1"/>
  <c r="BC20" i="48"/>
  <c r="AU20" i="48"/>
  <c r="AU24" i="48" s="1"/>
  <c r="AU54" i="48" s="1"/>
  <c r="AS20" i="48"/>
  <c r="AS24" i="48" s="1"/>
  <c r="AS54" i="48" s="1"/>
  <c r="AK20" i="48"/>
  <c r="AK24" i="48" s="1"/>
  <c r="AK54" i="48" s="1"/>
  <c r="AI20" i="48"/>
  <c r="AI24" i="48" s="1"/>
  <c r="AI54" i="48" s="1"/>
  <c r="W20" i="48"/>
  <c r="W24" i="48" s="1"/>
  <c r="W54" i="48" s="1"/>
  <c r="AA20" i="48"/>
  <c r="AA24" i="48" s="1"/>
  <c r="AA54" i="48" s="1"/>
  <c r="Z68" i="13"/>
  <c r="X68" i="13"/>
  <c r="V68" i="13"/>
  <c r="T68" i="13"/>
  <c r="R68" i="13"/>
  <c r="P68" i="13"/>
  <c r="Z31" i="13"/>
  <c r="AB69" i="13"/>
  <c r="AD69" i="13" s="1"/>
  <c r="X31" i="13"/>
  <c r="R31" i="13"/>
  <c r="AB24" i="13"/>
  <c r="P31" i="13"/>
  <c r="L75" i="13"/>
  <c r="AB70" i="13"/>
  <c r="AD70" i="13" s="1"/>
  <c r="T31" i="13"/>
  <c r="Z75" i="1"/>
  <c r="V31" i="13"/>
  <c r="BD24" i="48" l="1"/>
  <c r="AZ24" i="48"/>
  <c r="BB24" i="48"/>
  <c r="BC24" i="48"/>
  <c r="AY24" i="48"/>
  <c r="AX24" i="48"/>
  <c r="BA24" i="48"/>
  <c r="BE24" i="48"/>
  <c r="V75" i="13"/>
  <c r="AB68" i="13"/>
  <c r="P75" i="13"/>
  <c r="X75" i="13"/>
  <c r="R75" i="13"/>
  <c r="AD24" i="13"/>
  <c r="AB31" i="13"/>
  <c r="T75" i="13"/>
  <c r="Z75" i="13"/>
  <c r="BA54" i="48" l="1"/>
  <c r="AX54" i="48"/>
  <c r="AY54" i="48"/>
  <c r="BC54" i="48"/>
  <c r="BE54" i="48"/>
  <c r="BB54" i="48"/>
  <c r="AZ54" i="48"/>
  <c r="BD54" i="48"/>
  <c r="AD31" i="13"/>
  <c r="AD68" i="13"/>
  <c r="AB75" i="13"/>
  <c r="AD75" i="13" l="1"/>
  <c r="AD23" i="5" l="1"/>
  <c r="AR23" i="5" s="1"/>
  <c r="P31" i="5"/>
  <c r="R31" i="5"/>
  <c r="T31" i="5"/>
  <c r="V31" i="5"/>
  <c r="X31" i="5"/>
  <c r="Z31" i="5"/>
  <c r="AB31" i="5"/>
  <c r="P67" i="5"/>
  <c r="R67" i="5"/>
  <c r="R75" i="5" s="1"/>
  <c r="T67" i="5"/>
  <c r="T75" i="5" s="1"/>
  <c r="V67" i="5"/>
  <c r="V75" i="5" s="1"/>
  <c r="X67" i="5"/>
  <c r="X75" i="5" s="1"/>
  <c r="AF38" i="11" s="1"/>
  <c r="Z67" i="5"/>
  <c r="Z75" i="5" s="1"/>
  <c r="AB67" i="5"/>
  <c r="AB75" i="5" s="1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F82" i="11"/>
  <c r="H82" i="11"/>
  <c r="J82" i="11"/>
  <c r="L82" i="11"/>
  <c r="N82" i="11"/>
  <c r="P82" i="11"/>
  <c r="R82" i="11"/>
  <c r="AD31" i="5" l="1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H38" i="11"/>
  <c r="AL23" i="5"/>
  <c r="AL31" i="5" s="1"/>
  <c r="D82" i="11"/>
  <c r="H83" i="11" s="1"/>
  <c r="R133" i="5" s="1"/>
  <c r="AZ121" i="5"/>
  <c r="AD67" i="5"/>
  <c r="AD75" i="5" s="1"/>
  <c r="AF23" i="5"/>
  <c r="AD38" i="11"/>
  <c r="AB38" i="11"/>
  <c r="Z38" i="11"/>
  <c r="AJ38" i="11"/>
  <c r="AR31" i="5"/>
  <c r="P75" i="5"/>
  <c r="F83" i="11" l="1"/>
  <c r="P133" i="5" s="1"/>
  <c r="P83" i="11"/>
  <c r="Z133" i="5" s="1"/>
  <c r="AV133" i="5" s="1"/>
  <c r="AF67" i="5"/>
  <c r="N83" i="11"/>
  <c r="X133" i="5" s="1"/>
  <c r="AT133" i="5" s="1"/>
  <c r="L83" i="11"/>
  <c r="V133" i="5" s="1"/>
  <c r="AR133" i="5" s="1"/>
  <c r="J83" i="11"/>
  <c r="T133" i="5" s="1"/>
  <c r="AP133" i="5" s="1"/>
  <c r="R83" i="11"/>
  <c r="AB133" i="5" s="1"/>
  <c r="AX133" i="5" s="1"/>
  <c r="AZ23" i="5"/>
  <c r="AZ31" i="5" s="1"/>
  <c r="AN133" i="5"/>
  <c r="X38" i="11"/>
  <c r="AJ39" i="11" s="1"/>
  <c r="AF75" i="5"/>
  <c r="D83" i="11" l="1"/>
  <c r="AF39" i="11"/>
  <c r="AH39" i="11"/>
  <c r="X39" i="11"/>
  <c r="Z39" i="11"/>
  <c r="AD39" i="11"/>
  <c r="AB39" i="11"/>
  <c r="AD133" i="5"/>
  <c r="AL133" i="5"/>
  <c r="AZ133" i="5" l="1"/>
  <c r="AF133" i="5"/>
  <c r="AJ21" i="7" l="1"/>
  <c r="AV21" i="7" s="1"/>
  <c r="AJ23" i="7"/>
  <c r="AR23" i="7" s="1"/>
  <c r="AJ27" i="7"/>
  <c r="AR27" i="7" s="1"/>
  <c r="AJ28" i="7"/>
  <c r="AX28" i="7" s="1"/>
  <c r="AJ29" i="7"/>
  <c r="AZ29" i="7" s="1"/>
  <c r="AJ43" i="7"/>
  <c r="AL43" i="7" s="1"/>
  <c r="AJ45" i="7"/>
  <c r="AL45" i="7" s="1"/>
  <c r="AJ49" i="7"/>
  <c r="AL49" i="7" s="1"/>
  <c r="AJ50" i="7"/>
  <c r="AL50" i="7" s="1"/>
  <c r="AJ51" i="7"/>
  <c r="AL51" i="7" s="1"/>
  <c r="P65" i="7"/>
  <c r="R65" i="7"/>
  <c r="T65" i="7"/>
  <c r="V65" i="7"/>
  <c r="X65" i="7"/>
  <c r="Z65" i="7"/>
  <c r="AB65" i="7"/>
  <c r="AD65" i="7"/>
  <c r="AF65" i="7"/>
  <c r="F65" i="50" s="1"/>
  <c r="L65" i="50" s="1"/>
  <c r="AH65" i="7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AB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AB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AB142" i="50" s="1"/>
  <c r="BJ142" i="7"/>
  <c r="F21" i="50"/>
  <c r="F23" i="50"/>
  <c r="F27" i="50"/>
  <c r="F28" i="50"/>
  <c r="L28" i="50" s="1"/>
  <c r="F29" i="50"/>
  <c r="L29" i="50" s="1"/>
  <c r="F43" i="50"/>
  <c r="L43" i="50" s="1"/>
  <c r="F45" i="50"/>
  <c r="L45" i="50" s="1"/>
  <c r="F49" i="50"/>
  <c r="L49" i="50" s="1"/>
  <c r="F50" i="50"/>
  <c r="L50" i="50" s="1"/>
  <c r="F51" i="50"/>
  <c r="L51" i="50" s="1"/>
  <c r="F139" i="50"/>
  <c r="F140" i="50"/>
  <c r="L140" i="50" s="1"/>
  <c r="F142" i="50"/>
  <c r="L142" i="50" s="1"/>
  <c r="F48" i="12"/>
  <c r="H48" i="12"/>
  <c r="J48" i="12"/>
  <c r="L48" i="12"/>
  <c r="N48" i="12"/>
  <c r="P48" i="12"/>
  <c r="R48" i="12"/>
  <c r="V48" i="12"/>
  <c r="X48" i="12"/>
  <c r="F69" i="12"/>
  <c r="H69" i="12"/>
  <c r="J69" i="12"/>
  <c r="L69" i="12"/>
  <c r="N69" i="12"/>
  <c r="P69" i="12"/>
  <c r="R69" i="12"/>
  <c r="T69" i="12"/>
  <c r="V69" i="12"/>
  <c r="X69" i="12"/>
  <c r="BJ21" i="7" l="1"/>
  <c r="BH21" i="7"/>
  <c r="BF21" i="7"/>
  <c r="P50" i="50"/>
  <c r="V50" i="50"/>
  <c r="AC142" i="50"/>
  <c r="BH29" i="7"/>
  <c r="BF29" i="7"/>
  <c r="BD29" i="7"/>
  <c r="BB29" i="7"/>
  <c r="AC140" i="50"/>
  <c r="AL29" i="7"/>
  <c r="AL21" i="7"/>
  <c r="BH28" i="7"/>
  <c r="BD21" i="7"/>
  <c r="BJ29" i="7"/>
  <c r="T50" i="50"/>
  <c r="AJ67" i="7"/>
  <c r="AL67" i="7" s="1"/>
  <c r="BL142" i="7"/>
  <c r="R45" i="50"/>
  <c r="P45" i="50"/>
  <c r="BJ28" i="7"/>
  <c r="BF23" i="7"/>
  <c r="BF27" i="7"/>
  <c r="AJ71" i="7"/>
  <c r="AL71" i="7" s="1"/>
  <c r="AX29" i="7"/>
  <c r="BD27" i="7"/>
  <c r="AV29" i="7"/>
  <c r="BB27" i="7"/>
  <c r="BL140" i="7"/>
  <c r="BH23" i="7"/>
  <c r="V49" i="50"/>
  <c r="P49" i="50"/>
  <c r="R49" i="50"/>
  <c r="T49" i="50"/>
  <c r="P51" i="50"/>
  <c r="R51" i="50"/>
  <c r="T51" i="50"/>
  <c r="V51" i="50"/>
  <c r="P43" i="50"/>
  <c r="R43" i="50"/>
  <c r="T43" i="50"/>
  <c r="V43" i="50"/>
  <c r="AL23" i="7"/>
  <c r="BL139" i="7"/>
  <c r="AJ72" i="7"/>
  <c r="AL72" i="7" s="1"/>
  <c r="D48" i="12"/>
  <c r="BF28" i="7"/>
  <c r="BD23" i="7"/>
  <c r="R50" i="50"/>
  <c r="AJ73" i="7"/>
  <c r="AL73" i="7" s="1"/>
  <c r="AJ65" i="7"/>
  <c r="AL65" i="7" s="1"/>
  <c r="BD28" i="7"/>
  <c r="BB23" i="7"/>
  <c r="AT29" i="7"/>
  <c r="BB28" i="7"/>
  <c r="AV27" i="7"/>
  <c r="AZ23" i="7"/>
  <c r="V45" i="50"/>
  <c r="AR29" i="7"/>
  <c r="AV28" i="7"/>
  <c r="AL27" i="7"/>
  <c r="AX23" i="7"/>
  <c r="T45" i="50"/>
  <c r="AR28" i="7"/>
  <c r="AV23" i="7"/>
  <c r="D69" i="12"/>
  <c r="N70" i="12" s="1"/>
  <c r="AC139" i="50"/>
  <c r="AL28" i="7"/>
  <c r="BJ23" i="7"/>
  <c r="AT23" i="7"/>
  <c r="T29" i="50"/>
  <c r="V29" i="50"/>
  <c r="P29" i="50"/>
  <c r="R29" i="50"/>
  <c r="T28" i="50"/>
  <c r="V28" i="50"/>
  <c r="P28" i="50"/>
  <c r="R28" i="50"/>
  <c r="P142" i="50"/>
  <c r="R142" i="50"/>
  <c r="T142" i="50"/>
  <c r="V142" i="50"/>
  <c r="P140" i="50"/>
  <c r="R140" i="50"/>
  <c r="T140" i="50"/>
  <c r="V140" i="50"/>
  <c r="AT21" i="7"/>
  <c r="AT28" i="7"/>
  <c r="AR21" i="7"/>
  <c r="L27" i="50"/>
  <c r="L23" i="50"/>
  <c r="L21" i="50"/>
  <c r="L139" i="50"/>
  <c r="AZ27" i="7"/>
  <c r="AX27" i="7"/>
  <c r="BB21" i="7"/>
  <c r="AZ21" i="7"/>
  <c r="AZ28" i="7"/>
  <c r="BJ27" i="7"/>
  <c r="AT27" i="7"/>
  <c r="AX21" i="7"/>
  <c r="BH27" i="7"/>
  <c r="V72" i="50" l="1"/>
  <c r="F70" i="12"/>
  <c r="P143" i="7" s="1"/>
  <c r="P70" i="12"/>
  <c r="Z141" i="7" s="1"/>
  <c r="J70" i="12"/>
  <c r="T141" i="7" s="1"/>
  <c r="X70" i="12"/>
  <c r="AH141" i="7" s="1"/>
  <c r="V70" i="12"/>
  <c r="AF143" i="7" s="1"/>
  <c r="H70" i="12"/>
  <c r="R141" i="7" s="1"/>
  <c r="T70" i="12"/>
  <c r="AD141" i="7" s="1"/>
  <c r="R70" i="12"/>
  <c r="AB143" i="7" s="1"/>
  <c r="V73" i="50"/>
  <c r="AK140" i="50"/>
  <c r="AK142" i="50"/>
  <c r="L49" i="12"/>
  <c r="V40" i="7" s="1"/>
  <c r="AE140" i="50"/>
  <c r="AE142" i="50"/>
  <c r="N49" i="12"/>
  <c r="X42" i="7" s="1"/>
  <c r="X49" i="12"/>
  <c r="AH19" i="7" s="1"/>
  <c r="P49" i="12"/>
  <c r="R49" i="12"/>
  <c r="AB19" i="7" s="1"/>
  <c r="H49" i="12"/>
  <c r="R40" i="7" s="1"/>
  <c r="V49" i="12"/>
  <c r="AF42" i="7" s="1"/>
  <c r="F42" i="50" s="1"/>
  <c r="L42" i="50" s="1"/>
  <c r="J49" i="12"/>
  <c r="T40" i="7" s="1"/>
  <c r="F49" i="12"/>
  <c r="P20" i="7" s="1"/>
  <c r="T49" i="12"/>
  <c r="AD42" i="7" s="1"/>
  <c r="BL29" i="7"/>
  <c r="BL23" i="7"/>
  <c r="X141" i="7"/>
  <c r="AZ141" i="7" s="1"/>
  <c r="X143" i="7"/>
  <c r="X45" i="50"/>
  <c r="Z45" i="50" s="1"/>
  <c r="L70" i="12"/>
  <c r="X49" i="50"/>
  <c r="Z49" i="50" s="1"/>
  <c r="X50" i="50"/>
  <c r="Z50" i="50" s="1"/>
  <c r="BL27" i="7"/>
  <c r="X43" i="50"/>
  <c r="Z43" i="50" s="1"/>
  <c r="X51" i="50"/>
  <c r="Z51" i="50" s="1"/>
  <c r="T27" i="50"/>
  <c r="V27" i="50"/>
  <c r="V71" i="50" s="1"/>
  <c r="P27" i="50"/>
  <c r="R27" i="50"/>
  <c r="AI140" i="50"/>
  <c r="V139" i="50"/>
  <c r="AK139" i="50" s="1"/>
  <c r="P139" i="50"/>
  <c r="R139" i="50"/>
  <c r="T139" i="50"/>
  <c r="AG140" i="50"/>
  <c r="R72" i="50"/>
  <c r="R73" i="50"/>
  <c r="BL21" i="7"/>
  <c r="X142" i="50"/>
  <c r="Z142" i="50" s="1"/>
  <c r="X28" i="50"/>
  <c r="Z28" i="50" s="1"/>
  <c r="P72" i="50"/>
  <c r="X29" i="50"/>
  <c r="Z29" i="50" s="1"/>
  <c r="P73" i="50"/>
  <c r="BL28" i="7"/>
  <c r="X140" i="50"/>
  <c r="Z140" i="50" s="1"/>
  <c r="T21" i="50"/>
  <c r="V21" i="50"/>
  <c r="V65" i="50" s="1"/>
  <c r="P21" i="50"/>
  <c r="R21" i="50"/>
  <c r="AI142" i="50"/>
  <c r="T72" i="50"/>
  <c r="T73" i="50"/>
  <c r="T23" i="50"/>
  <c r="V23" i="50"/>
  <c r="V67" i="50" s="1"/>
  <c r="P23" i="50"/>
  <c r="R23" i="50"/>
  <c r="AG142" i="50"/>
  <c r="P141" i="7" l="1"/>
  <c r="AR141" i="7" s="1"/>
  <c r="Z143" i="7"/>
  <c r="BB143" i="7" s="1"/>
  <c r="AD40" i="7"/>
  <c r="AD18" i="7"/>
  <c r="AF141" i="7"/>
  <c r="V63" i="12" s="1"/>
  <c r="AD20" i="7"/>
  <c r="AD64" i="7" s="1"/>
  <c r="AD19" i="7"/>
  <c r="AD41" i="7"/>
  <c r="AH143" i="7"/>
  <c r="X63" i="12" s="1"/>
  <c r="V20" i="7"/>
  <c r="R143" i="7"/>
  <c r="H63" i="12" s="1"/>
  <c r="V18" i="7"/>
  <c r="V62" i="7" s="1"/>
  <c r="AF40" i="7"/>
  <c r="F40" i="50" s="1"/>
  <c r="V19" i="7"/>
  <c r="V41" i="7"/>
  <c r="V42" i="7"/>
  <c r="T143" i="7"/>
  <c r="AV143" i="7" s="1"/>
  <c r="D70" i="12"/>
  <c r="AF20" i="7"/>
  <c r="AF64" i="7" s="1"/>
  <c r="F64" i="50" s="1"/>
  <c r="L64" i="50" s="1"/>
  <c r="AB141" i="7"/>
  <c r="R63" i="12" s="1"/>
  <c r="AF18" i="7"/>
  <c r="AF19" i="7"/>
  <c r="F19" i="50" s="1"/>
  <c r="L19" i="50" s="1"/>
  <c r="AF41" i="7"/>
  <c r="F41" i="50" s="1"/>
  <c r="L41" i="50" s="1"/>
  <c r="P41" i="50" s="1"/>
  <c r="AD143" i="7"/>
  <c r="T63" i="12" s="1"/>
  <c r="AH42" i="7"/>
  <c r="AH18" i="7"/>
  <c r="AH40" i="7"/>
  <c r="AH20" i="7"/>
  <c r="AH41" i="7"/>
  <c r="AH63" i="7" s="1"/>
  <c r="X18" i="7"/>
  <c r="X41" i="7"/>
  <c r="X40" i="7"/>
  <c r="P41" i="7"/>
  <c r="P19" i="7"/>
  <c r="P42" i="7"/>
  <c r="P64" i="7" s="1"/>
  <c r="P40" i="7"/>
  <c r="P18" i="7"/>
  <c r="T19" i="7"/>
  <c r="AB42" i="7"/>
  <c r="AZ143" i="7"/>
  <c r="AB40" i="7"/>
  <c r="T20" i="7"/>
  <c r="T18" i="7"/>
  <c r="T62" i="7" s="1"/>
  <c r="T41" i="7"/>
  <c r="T42" i="7"/>
  <c r="X20" i="7"/>
  <c r="X19" i="7"/>
  <c r="R20" i="7"/>
  <c r="AB41" i="7"/>
  <c r="R18" i="7"/>
  <c r="R62" i="7" s="1"/>
  <c r="R41" i="7"/>
  <c r="R19" i="7"/>
  <c r="AB18" i="7"/>
  <c r="R42" i="7"/>
  <c r="AB20" i="7"/>
  <c r="D49" i="12"/>
  <c r="N63" i="12"/>
  <c r="Z19" i="7"/>
  <c r="Z42" i="7"/>
  <c r="Z41" i="7"/>
  <c r="Z18" i="7"/>
  <c r="Z20" i="7"/>
  <c r="Z40" i="7"/>
  <c r="V143" i="7"/>
  <c r="V141" i="7"/>
  <c r="BF141" i="7"/>
  <c r="T67" i="50"/>
  <c r="R42" i="50"/>
  <c r="V42" i="50"/>
  <c r="T42" i="50"/>
  <c r="P42" i="50"/>
  <c r="AI139" i="50"/>
  <c r="AG139" i="50"/>
  <c r="AT141" i="7"/>
  <c r="X73" i="50"/>
  <c r="Z73" i="50" s="1"/>
  <c r="X139" i="50"/>
  <c r="Z139" i="50" s="1"/>
  <c r="AE139" i="50"/>
  <c r="R65" i="50"/>
  <c r="X21" i="50"/>
  <c r="Z21" i="50" s="1"/>
  <c r="P65" i="50"/>
  <c r="BH143" i="7"/>
  <c r="AB143" i="50" s="1"/>
  <c r="F143" i="50"/>
  <c r="L143" i="50" s="1"/>
  <c r="BB141" i="7"/>
  <c r="R71" i="50"/>
  <c r="R67" i="50"/>
  <c r="X72" i="50"/>
  <c r="Z72" i="50" s="1"/>
  <c r="X27" i="50"/>
  <c r="Z27" i="50" s="1"/>
  <c r="P71" i="50"/>
  <c r="X23" i="50"/>
  <c r="Z23" i="50" s="1"/>
  <c r="P67" i="50"/>
  <c r="AR143" i="7"/>
  <c r="T65" i="50"/>
  <c r="BJ141" i="7"/>
  <c r="AV141" i="7"/>
  <c r="BD143" i="7"/>
  <c r="T71" i="50"/>
  <c r="F63" i="12" l="1"/>
  <c r="BD141" i="7"/>
  <c r="P63" i="12"/>
  <c r="F141" i="50"/>
  <c r="L141" i="50" s="1"/>
  <c r="R141" i="50" s="1"/>
  <c r="BH141" i="7"/>
  <c r="AB141" i="50" s="1"/>
  <c r="AT143" i="7"/>
  <c r="F20" i="50"/>
  <c r="L20" i="50" s="1"/>
  <c r="T20" i="50" s="1"/>
  <c r="AD62" i="7"/>
  <c r="V31" i="7"/>
  <c r="V63" i="7"/>
  <c r="AD31" i="7"/>
  <c r="AD53" i="7"/>
  <c r="AD63" i="7"/>
  <c r="BJ143" i="7"/>
  <c r="X62" i="7"/>
  <c r="V64" i="7"/>
  <c r="V53" i="7"/>
  <c r="AF62" i="7"/>
  <c r="F62" i="50" s="1"/>
  <c r="AF53" i="7"/>
  <c r="BF143" i="7"/>
  <c r="J63" i="12"/>
  <c r="AJ143" i="7"/>
  <c r="AL143" i="7" s="1"/>
  <c r="AH64" i="7"/>
  <c r="AF31" i="7"/>
  <c r="F18" i="50"/>
  <c r="L18" i="50" s="1"/>
  <c r="AJ141" i="7"/>
  <c r="AL141" i="7" s="1"/>
  <c r="V41" i="50"/>
  <c r="AF63" i="7"/>
  <c r="F63" i="50" s="1"/>
  <c r="L63" i="50" s="1"/>
  <c r="T41" i="50"/>
  <c r="R41" i="50"/>
  <c r="AH62" i="7"/>
  <c r="AH53" i="7"/>
  <c r="AH31" i="7"/>
  <c r="T63" i="7"/>
  <c r="X53" i="7"/>
  <c r="P63" i="7"/>
  <c r="P31" i="7"/>
  <c r="P62" i="7"/>
  <c r="AJ40" i="7"/>
  <c r="AL40" i="7" s="1"/>
  <c r="P53" i="7"/>
  <c r="AB63" i="7"/>
  <c r="AJ18" i="7"/>
  <c r="AR18" i="7" s="1"/>
  <c r="T53" i="7"/>
  <c r="T31" i="7"/>
  <c r="X63" i="7"/>
  <c r="AB31" i="7"/>
  <c r="T64" i="7"/>
  <c r="R63" i="7"/>
  <c r="X64" i="7"/>
  <c r="X31" i="7"/>
  <c r="AB64" i="7"/>
  <c r="R64" i="7"/>
  <c r="AJ42" i="7"/>
  <c r="AL42" i="7" s="1"/>
  <c r="AJ19" i="7"/>
  <c r="AT19" i="7" s="1"/>
  <c r="R31" i="7"/>
  <c r="AB62" i="7"/>
  <c r="R53" i="7"/>
  <c r="AB53" i="7"/>
  <c r="AJ41" i="7"/>
  <c r="AL41" i="7" s="1"/>
  <c r="Z64" i="7"/>
  <c r="Z62" i="7"/>
  <c r="Z31" i="7"/>
  <c r="AJ20" i="7"/>
  <c r="AR20" i="7" s="1"/>
  <c r="Z63" i="7"/>
  <c r="Z53" i="7"/>
  <c r="AC143" i="50"/>
  <c r="AX143" i="7"/>
  <c r="AX141" i="7"/>
  <c r="L63" i="12"/>
  <c r="L40" i="50"/>
  <c r="F53" i="50"/>
  <c r="X42" i="50"/>
  <c r="Z42" i="50" s="1"/>
  <c r="X67" i="50"/>
  <c r="Z67" i="50" s="1"/>
  <c r="P143" i="50"/>
  <c r="V143" i="50"/>
  <c r="R143" i="50"/>
  <c r="T143" i="50"/>
  <c r="T19" i="50"/>
  <c r="V19" i="50"/>
  <c r="R19" i="50"/>
  <c r="P19" i="50"/>
  <c r="X65" i="50"/>
  <c r="Z65" i="50" s="1"/>
  <c r="X71" i="50"/>
  <c r="Z71" i="50" s="1"/>
  <c r="V141" i="50" l="1"/>
  <c r="T141" i="50"/>
  <c r="P141" i="50"/>
  <c r="V20" i="50"/>
  <c r="V64" i="50" s="1"/>
  <c r="R20" i="50"/>
  <c r="R64" i="50" s="1"/>
  <c r="P20" i="50"/>
  <c r="P64" i="50" s="1"/>
  <c r="AC141" i="50"/>
  <c r="AI141" i="50" s="1"/>
  <c r="BL141" i="7"/>
  <c r="AD75" i="7"/>
  <c r="AR43" i="12" s="1"/>
  <c r="V75" i="7"/>
  <c r="AJ43" i="12" s="1"/>
  <c r="BL143" i="7"/>
  <c r="F31" i="50"/>
  <c r="D63" i="12"/>
  <c r="J64" i="12" s="1"/>
  <c r="T138" i="7" s="1"/>
  <c r="AF75" i="7"/>
  <c r="AT43" i="12" s="1"/>
  <c r="X41" i="50"/>
  <c r="Z41" i="50" s="1"/>
  <c r="V63" i="50"/>
  <c r="AH75" i="7"/>
  <c r="AV43" i="12" s="1"/>
  <c r="AV18" i="7"/>
  <c r="BF18" i="7"/>
  <c r="AZ19" i="7"/>
  <c r="AZ18" i="7"/>
  <c r="BH18" i="7"/>
  <c r="BJ18" i="7"/>
  <c r="AL18" i="7"/>
  <c r="BD18" i="7"/>
  <c r="AT18" i="7"/>
  <c r="BB18" i="7"/>
  <c r="P75" i="7"/>
  <c r="AD43" i="12" s="1"/>
  <c r="AE143" i="50"/>
  <c r="AK143" i="50"/>
  <c r="AG143" i="50"/>
  <c r="AX18" i="7"/>
  <c r="BB19" i="7"/>
  <c r="AL19" i="7"/>
  <c r="AR19" i="7"/>
  <c r="AR31" i="7" s="1"/>
  <c r="F36" i="12" s="1"/>
  <c r="T75" i="7"/>
  <c r="AH43" i="12" s="1"/>
  <c r="BF19" i="7"/>
  <c r="BH19" i="7"/>
  <c r="AI143" i="50"/>
  <c r="R75" i="7"/>
  <c r="AF43" i="12" s="1"/>
  <c r="AX19" i="7"/>
  <c r="BJ19" i="7"/>
  <c r="AV19" i="7"/>
  <c r="AL20" i="7"/>
  <c r="AJ62" i="7"/>
  <c r="AL62" i="7" s="1"/>
  <c r="AB75" i="7"/>
  <c r="AP43" i="12" s="1"/>
  <c r="AT20" i="7"/>
  <c r="BD20" i="7"/>
  <c r="AX20" i="7"/>
  <c r="AJ53" i="7"/>
  <c r="AL53" i="7" s="1"/>
  <c r="BF20" i="7"/>
  <c r="X75" i="7"/>
  <c r="AJ64" i="7"/>
  <c r="AL64" i="7" s="1"/>
  <c r="AV20" i="7"/>
  <c r="BJ20" i="7"/>
  <c r="BB20" i="7"/>
  <c r="BH20" i="7"/>
  <c r="AZ20" i="7"/>
  <c r="AJ63" i="7"/>
  <c r="AL63" i="7" s="1"/>
  <c r="BD19" i="7"/>
  <c r="AJ31" i="7"/>
  <c r="AL31" i="7" s="1"/>
  <c r="Z75" i="7"/>
  <c r="P18" i="50"/>
  <c r="R18" i="50"/>
  <c r="V18" i="50"/>
  <c r="T18" i="50"/>
  <c r="R63" i="50"/>
  <c r="X143" i="50"/>
  <c r="Z143" i="50" s="1"/>
  <c r="L62" i="50"/>
  <c r="F75" i="50"/>
  <c r="T63" i="50"/>
  <c r="V40" i="50"/>
  <c r="P40" i="50"/>
  <c r="T40" i="50"/>
  <c r="R40" i="50"/>
  <c r="T64" i="50"/>
  <c r="X19" i="50"/>
  <c r="Z19" i="50" s="1"/>
  <c r="P63" i="50"/>
  <c r="X141" i="50" l="1"/>
  <c r="Z141" i="50" s="1"/>
  <c r="V31" i="50"/>
  <c r="X20" i="50"/>
  <c r="Z20" i="50" s="1"/>
  <c r="AG141" i="50"/>
  <c r="AE141" i="50"/>
  <c r="AK141" i="50"/>
  <c r="T51" i="12"/>
  <c r="L51" i="12"/>
  <c r="V51" i="12"/>
  <c r="X51" i="12"/>
  <c r="P64" i="12"/>
  <c r="Z138" i="7" s="1"/>
  <c r="BB138" i="7" s="1"/>
  <c r="F64" i="12"/>
  <c r="P138" i="7" s="1"/>
  <c r="L64" i="12"/>
  <c r="V138" i="7" s="1"/>
  <c r="AX138" i="7" s="1"/>
  <c r="H64" i="12"/>
  <c r="R138" i="7" s="1"/>
  <c r="AT138" i="7" s="1"/>
  <c r="N64" i="12"/>
  <c r="X138" i="7" s="1"/>
  <c r="X64" i="12"/>
  <c r="AH138" i="7" s="1"/>
  <c r="BJ138" i="7" s="1"/>
  <c r="AV138" i="7"/>
  <c r="T64" i="12"/>
  <c r="AD138" i="7" s="1"/>
  <c r="BF138" i="7" s="1"/>
  <c r="V64" i="12"/>
  <c r="AF138" i="7" s="1"/>
  <c r="F138" i="50" s="1"/>
  <c r="R64" i="12"/>
  <c r="AB138" i="7" s="1"/>
  <c r="H51" i="12"/>
  <c r="AT31" i="7"/>
  <c r="H36" i="12" s="1"/>
  <c r="BL18" i="7"/>
  <c r="BH31" i="7"/>
  <c r="V36" i="12" s="1"/>
  <c r="F51" i="12"/>
  <c r="AZ31" i="7"/>
  <c r="N36" i="12" s="1"/>
  <c r="AV31" i="7"/>
  <c r="J36" i="12" s="1"/>
  <c r="J51" i="12"/>
  <c r="BB31" i="7"/>
  <c r="P36" i="12" s="1"/>
  <c r="BF31" i="7"/>
  <c r="T36" i="12" s="1"/>
  <c r="AX31" i="7"/>
  <c r="L36" i="12" s="1"/>
  <c r="BJ31" i="7"/>
  <c r="X36" i="12" s="1"/>
  <c r="BL19" i="7"/>
  <c r="BL20" i="7"/>
  <c r="R51" i="12"/>
  <c r="AJ75" i="7"/>
  <c r="AL75" i="7" s="1"/>
  <c r="BD31" i="7"/>
  <c r="R36" i="12" s="1"/>
  <c r="AL43" i="12"/>
  <c r="N51" i="12"/>
  <c r="P51" i="12"/>
  <c r="AN43" i="12"/>
  <c r="X63" i="50"/>
  <c r="Z63" i="50" s="1"/>
  <c r="R53" i="50"/>
  <c r="T53" i="50"/>
  <c r="X40" i="50"/>
  <c r="P53" i="50"/>
  <c r="T62" i="50"/>
  <c r="T31" i="50"/>
  <c r="V62" i="50"/>
  <c r="V75" i="50" s="1"/>
  <c r="V53" i="50"/>
  <c r="X64" i="50"/>
  <c r="Z64" i="50" s="1"/>
  <c r="R62" i="50"/>
  <c r="R31" i="50"/>
  <c r="X18" i="50"/>
  <c r="P62" i="50"/>
  <c r="P31" i="50"/>
  <c r="BH138" i="7" l="1"/>
  <c r="BD138" i="7"/>
  <c r="AZ138" i="7"/>
  <c r="D64" i="12"/>
  <c r="D36" i="12"/>
  <c r="H37" i="12" s="1"/>
  <c r="R102" i="7" s="1"/>
  <c r="BL31" i="7"/>
  <c r="D51" i="12"/>
  <c r="H52" i="12" s="1"/>
  <c r="R145" i="7" s="1"/>
  <c r="AN44" i="12"/>
  <c r="AJ44" i="12"/>
  <c r="AF44" i="12"/>
  <c r="AP44" i="12"/>
  <c r="AT44" i="12"/>
  <c r="AL44" i="12"/>
  <c r="AR44" i="12"/>
  <c r="AV44" i="12"/>
  <c r="AH44" i="12"/>
  <c r="AD44" i="12"/>
  <c r="X53" i="50"/>
  <c r="Z40" i="50"/>
  <c r="T75" i="50"/>
  <c r="X31" i="50"/>
  <c r="Z18" i="50"/>
  <c r="AR138" i="7"/>
  <c r="AJ138" i="7"/>
  <c r="AL138" i="7" s="1"/>
  <c r="AB138" i="50"/>
  <c r="R75" i="50"/>
  <c r="L138" i="50"/>
  <c r="X62" i="50"/>
  <c r="P75" i="50"/>
  <c r="BL138" i="7" l="1"/>
  <c r="L37" i="12"/>
  <c r="V102" i="7" s="1"/>
  <c r="P37" i="12"/>
  <c r="Z102" i="7" s="1"/>
  <c r="J37" i="12"/>
  <c r="T102" i="7" s="1"/>
  <c r="R37" i="12"/>
  <c r="AB102" i="7" s="1"/>
  <c r="T37" i="12"/>
  <c r="AD102" i="7" s="1"/>
  <c r="N37" i="12"/>
  <c r="X102" i="7" s="1"/>
  <c r="F37" i="12"/>
  <c r="P102" i="7" s="1"/>
  <c r="V37" i="12"/>
  <c r="AF102" i="7" s="1"/>
  <c r="F102" i="50" s="1"/>
  <c r="L102" i="50" s="1"/>
  <c r="X37" i="12"/>
  <c r="AH102" i="7" s="1"/>
  <c r="P52" i="12"/>
  <c r="Z145" i="7" s="1"/>
  <c r="BB145" i="7" s="1"/>
  <c r="J52" i="12"/>
  <c r="T145" i="7" s="1"/>
  <c r="N52" i="12"/>
  <c r="X145" i="7" s="1"/>
  <c r="T52" i="12"/>
  <c r="AD145" i="7" s="1"/>
  <c r="F52" i="12"/>
  <c r="P145" i="7" s="1"/>
  <c r="R52" i="12"/>
  <c r="AB145" i="7" s="1"/>
  <c r="BD145" i="7" s="1"/>
  <c r="L52" i="12"/>
  <c r="V145" i="7" s="1"/>
  <c r="AX145" i="7" s="1"/>
  <c r="X52" i="12"/>
  <c r="AH145" i="7" s="1"/>
  <c r="V52" i="12"/>
  <c r="AF145" i="7" s="1"/>
  <c r="AT145" i="7"/>
  <c r="Z31" i="50"/>
  <c r="Z53" i="50"/>
  <c r="V138" i="50"/>
  <c r="P138" i="50"/>
  <c r="R138" i="50"/>
  <c r="T138" i="50"/>
  <c r="X75" i="50"/>
  <c r="Z62" i="50"/>
  <c r="AC138" i="50"/>
  <c r="D37" i="12" l="1"/>
  <c r="AJ102" i="7"/>
  <c r="AL102" i="7" s="1"/>
  <c r="AZ145" i="7"/>
  <c r="D52" i="12"/>
  <c r="BF145" i="7"/>
  <c r="BJ145" i="7"/>
  <c r="AV145" i="7"/>
  <c r="BH145" i="7"/>
  <c r="F145" i="50"/>
  <c r="H145" i="50" s="1"/>
  <c r="H162" i="50" s="1"/>
  <c r="H164" i="50" s="1"/>
  <c r="H180" i="50" s="1"/>
  <c r="R102" i="50"/>
  <c r="T102" i="50"/>
  <c r="V102" i="50"/>
  <c r="P102" i="50"/>
  <c r="AE138" i="50"/>
  <c r="AG138" i="50"/>
  <c r="AI138" i="50"/>
  <c r="AK138" i="50"/>
  <c r="X138" i="50"/>
  <c r="Z138" i="50" s="1"/>
  <c r="Z75" i="50"/>
  <c r="AJ145" i="7"/>
  <c r="AL145" i="7" s="1"/>
  <c r="AR145" i="7"/>
  <c r="AB145" i="50" l="1"/>
  <c r="AC145" i="50" s="1"/>
  <c r="L145" i="50"/>
  <c r="BL145" i="7"/>
  <c r="X102" i="50"/>
  <c r="V145" i="50" l="1"/>
  <c r="AK145" i="50" s="1"/>
  <c r="R145" i="50"/>
  <c r="T145" i="50"/>
  <c r="P145" i="50"/>
  <c r="Z102" i="50"/>
  <c r="X145" i="50" l="1"/>
  <c r="Z145" i="50" s="1"/>
  <c r="AE145" i="50"/>
  <c r="AG145" i="50"/>
  <c r="AI145" i="50"/>
  <c r="AL83" i="7" l="1"/>
  <c r="B103" i="1" l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l="1"/>
  <c r="B170" i="1" s="1"/>
  <c r="B171" i="1" s="1"/>
  <c r="B172" i="1" s="1"/>
  <c r="B173" i="1" s="1"/>
  <c r="B175" i="1" s="1"/>
  <c r="B176" i="1" s="1"/>
  <c r="B178" i="1" s="1"/>
  <c r="B180" i="1" s="1"/>
  <c r="L87" i="7"/>
  <c r="Z87" i="7" s="1"/>
  <c r="L87" i="13"/>
  <c r="T87" i="13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V87" i="13"/>
  <c r="X87" i="13"/>
  <c r="Z87" i="13"/>
  <c r="P87" i="13"/>
  <c r="R87" i="13"/>
  <c r="AJ87" i="7" l="1"/>
  <c r="AL87" i="7" s="1"/>
  <c r="AB87" i="13"/>
  <c r="AD87" i="13" s="1"/>
  <c r="P87" i="50"/>
  <c r="R87" i="50"/>
  <c r="T87" i="50"/>
  <c r="V87" i="50"/>
  <c r="X87" i="50" l="1"/>
  <c r="Z87" i="50" s="1"/>
  <c r="L87" i="4" l="1"/>
  <c r="P87" i="4" s="1"/>
  <c r="V87" i="4" l="1"/>
  <c r="T87" i="4"/>
  <c r="R87" i="4"/>
  <c r="AC89" i="4" s="1"/>
  <c r="AF82" i="5"/>
  <c r="X87" i="4" l="1"/>
  <c r="Z87" i="4" s="1"/>
  <c r="P87" i="5" l="1"/>
  <c r="R87" i="5"/>
  <c r="T87" i="5"/>
  <c r="V87" i="5"/>
  <c r="X87" i="5"/>
  <c r="Z87" i="5"/>
  <c r="AB87" i="5"/>
  <c r="AD87" i="5" l="1"/>
  <c r="AF87" i="5" s="1"/>
  <c r="AL81" i="7" l="1"/>
  <c r="AL82" i="7"/>
  <c r="AC91" i="4"/>
  <c r="U34" i="49"/>
  <c r="U27" i="49"/>
  <c r="W24" i="49"/>
  <c r="W20" i="49"/>
  <c r="D24" i="49"/>
  <c r="D20" i="49"/>
  <c r="AJ24" i="49"/>
  <c r="AJ20" i="49"/>
  <c r="T57" i="50"/>
  <c r="T55" i="50"/>
  <c r="AZ34" i="49"/>
  <c r="AZ27" i="49"/>
  <c r="D21" i="49"/>
  <c r="D21" i="9"/>
  <c r="AP34" i="49"/>
  <c r="AP27" i="49"/>
  <c r="D13" i="49"/>
  <c r="D13" i="9"/>
  <c r="Y24" i="49"/>
  <c r="Y20" i="49"/>
  <c r="AM12" i="49"/>
  <c r="AU12" i="49"/>
  <c r="V12" i="49"/>
  <c r="AN12" i="49"/>
  <c r="AV12" i="49"/>
  <c r="AF12" i="49"/>
  <c r="AI12" i="49"/>
  <c r="AE12" i="49"/>
  <c r="AY12" i="49"/>
  <c r="X12" i="49"/>
  <c r="T12" i="49"/>
  <c r="AR12" i="49"/>
  <c r="AX12" i="49"/>
  <c r="AA12" i="49"/>
  <c r="U12" i="49"/>
  <c r="AC12" i="49"/>
  <c r="AZ12" i="49"/>
  <c r="BB12" i="49"/>
  <c r="AB12" i="49"/>
  <c r="BC12" i="49"/>
  <c r="P12" i="49"/>
  <c r="AQ12" i="49"/>
  <c r="BE12" i="49"/>
  <c r="Q12" i="49"/>
  <c r="AT12" i="49"/>
  <c r="W12" i="49"/>
  <c r="R12" i="49"/>
  <c r="S12" i="49"/>
  <c r="AO12" i="49"/>
  <c r="AS12" i="49"/>
  <c r="AL12" i="49"/>
  <c r="AG12" i="49"/>
  <c r="AH12" i="49"/>
  <c r="Y12" i="49"/>
  <c r="BD12" i="49"/>
  <c r="Z12" i="49"/>
  <c r="AJ12" i="49"/>
  <c r="AW12" i="49"/>
  <c r="AP12" i="49"/>
  <c r="AD12" i="49"/>
  <c r="AK12" i="49"/>
  <c r="F12" i="49"/>
  <c r="L12" i="49"/>
  <c r="BA12" i="49"/>
  <c r="BD13" i="49"/>
  <c r="AR13" i="49"/>
  <c r="BC13" i="49"/>
  <c r="AF13" i="49"/>
  <c r="AN13" i="49"/>
  <c r="AO13" i="49"/>
  <c r="BB13" i="49"/>
  <c r="Z13" i="49"/>
  <c r="AC13" i="49"/>
  <c r="U13" i="49"/>
  <c r="AH13" i="49"/>
  <c r="X13" i="49"/>
  <c r="AA13" i="49"/>
  <c r="BA13" i="49"/>
  <c r="AT13" i="49"/>
  <c r="AB13" i="49"/>
  <c r="Q13" i="49"/>
  <c r="AG13" i="49"/>
  <c r="AJ13" i="49"/>
  <c r="AQ13" i="49"/>
  <c r="AV13" i="49"/>
  <c r="Y13" i="49"/>
  <c r="AP13" i="49"/>
  <c r="R13" i="49"/>
  <c r="AK13" i="49"/>
  <c r="AY13" i="49"/>
  <c r="V13" i="49"/>
  <c r="W13" i="49"/>
  <c r="AS13" i="49"/>
  <c r="P13" i="49"/>
  <c r="AU13" i="49"/>
  <c r="AL13" i="49"/>
  <c r="AI13" i="49"/>
  <c r="AZ13" i="49"/>
  <c r="AM13" i="49"/>
  <c r="T13" i="49"/>
  <c r="AW13" i="49"/>
  <c r="AE13" i="49"/>
  <c r="AD13" i="49"/>
  <c r="AX13" i="49"/>
  <c r="S13" i="49"/>
  <c r="F13" i="49"/>
  <c r="L13" i="49"/>
  <c r="BE13" i="49"/>
  <c r="T14" i="49"/>
  <c r="AQ14" i="49"/>
  <c r="AJ14" i="49"/>
  <c r="AU14" i="49"/>
  <c r="U14" i="49"/>
  <c r="AP14" i="49"/>
  <c r="V14" i="49"/>
  <c r="Z14" i="49"/>
  <c r="AG14" i="49"/>
  <c r="AV14" i="49"/>
  <c r="P14" i="49"/>
  <c r="R14" i="49"/>
  <c r="AK14" i="49"/>
  <c r="X14" i="49"/>
  <c r="Q14" i="49"/>
  <c r="S14" i="49"/>
  <c r="AY14" i="49"/>
  <c r="AH14" i="49"/>
  <c r="AD14" i="49"/>
  <c r="AX14" i="49"/>
  <c r="AO14" i="49"/>
  <c r="BB14" i="49"/>
  <c r="AA14" i="49"/>
  <c r="Y14" i="49"/>
  <c r="AS14" i="49"/>
  <c r="BD14" i="49"/>
  <c r="AZ14" i="49"/>
  <c r="AE14" i="49"/>
  <c r="BC14" i="49"/>
  <c r="AT14" i="49"/>
  <c r="AF14" i="49"/>
  <c r="AW14" i="49"/>
  <c r="AR14" i="49"/>
  <c r="AC14" i="49"/>
  <c r="AL14" i="49"/>
  <c r="BA14" i="49"/>
  <c r="AI14" i="49"/>
  <c r="BE14" i="49"/>
  <c r="AB14" i="49"/>
  <c r="AN14" i="49"/>
  <c r="AM14" i="49"/>
  <c r="L14" i="49"/>
  <c r="W14" i="49"/>
  <c r="AW15" i="49"/>
  <c r="AU15" i="49"/>
  <c r="X15" i="49"/>
  <c r="AF15" i="49"/>
  <c r="AY15" i="49"/>
  <c r="AK15" i="49"/>
  <c r="T15" i="49"/>
  <c r="Q15" i="49"/>
  <c r="AQ15" i="49"/>
  <c r="AT15" i="49"/>
  <c r="AL15" i="49"/>
  <c r="AN15" i="49"/>
  <c r="U15" i="49"/>
  <c r="Z15" i="49"/>
  <c r="AD15" i="49"/>
  <c r="AM15" i="49"/>
  <c r="AV15" i="49"/>
  <c r="AG15" i="49"/>
  <c r="BB15" i="49"/>
  <c r="AJ15" i="49"/>
  <c r="BD15" i="49"/>
  <c r="AX15" i="49"/>
  <c r="AE15" i="49"/>
  <c r="AO15" i="49"/>
  <c r="BE15" i="49"/>
  <c r="AH15" i="49"/>
  <c r="AZ15" i="49"/>
  <c r="AS15" i="49"/>
  <c r="BC15" i="49"/>
  <c r="R15" i="49"/>
  <c r="V15" i="49"/>
  <c r="S15" i="49"/>
  <c r="P15" i="49"/>
  <c r="AP15" i="49"/>
  <c r="Y15" i="49"/>
  <c r="AI15" i="49"/>
  <c r="AR15" i="49"/>
  <c r="AB15" i="49"/>
  <c r="W15" i="49"/>
  <c r="BA15" i="49"/>
  <c r="AA15" i="49"/>
  <c r="F15" i="49"/>
  <c r="L15" i="49"/>
  <c r="AC15" i="49"/>
  <c r="AC16" i="49"/>
  <c r="BE16" i="49"/>
  <c r="W16" i="49"/>
  <c r="AD16" i="49"/>
  <c r="AL16" i="49"/>
  <c r="Y16" i="49"/>
  <c r="BC16" i="49"/>
  <c r="AG16" i="49"/>
  <c r="AJ16" i="49"/>
  <c r="AV16" i="49"/>
  <c r="AR16" i="49"/>
  <c r="AH16" i="49"/>
  <c r="AZ16" i="49"/>
  <c r="AK16" i="49"/>
  <c r="AY16" i="49"/>
  <c r="BA16" i="49"/>
  <c r="AI16" i="49"/>
  <c r="AF16" i="49"/>
  <c r="Z16" i="49"/>
  <c r="S16" i="49"/>
  <c r="AN16" i="49"/>
  <c r="BD16" i="49"/>
  <c r="R16" i="49"/>
  <c r="AT16" i="49"/>
  <c r="AO16" i="49"/>
  <c r="AA16" i="49"/>
  <c r="AW16" i="49"/>
  <c r="AX16" i="49"/>
  <c r="AB16" i="49"/>
  <c r="AQ16" i="49"/>
  <c r="AU16" i="49"/>
  <c r="T16" i="49"/>
  <c r="X16" i="49"/>
  <c r="V16" i="49"/>
  <c r="U16" i="49"/>
  <c r="AM16" i="49"/>
  <c r="P16" i="49"/>
  <c r="BB16" i="49"/>
  <c r="AP16" i="49"/>
  <c r="AS16" i="49"/>
  <c r="Q16" i="49"/>
  <c r="F16" i="49"/>
  <c r="L16" i="49"/>
  <c r="AE16" i="49"/>
  <c r="AS21" i="49"/>
  <c r="Z21" i="49"/>
  <c r="AQ21" i="49"/>
  <c r="AC21" i="49"/>
  <c r="BE21" i="49"/>
  <c r="AW21" i="49"/>
  <c r="X21" i="49"/>
  <c r="BC21" i="49"/>
  <c r="AL21" i="49"/>
  <c r="AJ21" i="49"/>
  <c r="AP21" i="49"/>
  <c r="S21" i="49"/>
  <c r="AI21" i="49"/>
  <c r="W21" i="49"/>
  <c r="AG21" i="49"/>
  <c r="BB21" i="49"/>
  <c r="BA21" i="49"/>
  <c r="AN21" i="49"/>
  <c r="AE21" i="49"/>
  <c r="P21" i="49"/>
  <c r="AA21" i="49"/>
  <c r="AH21" i="49"/>
  <c r="AZ21" i="49"/>
  <c r="R21" i="49"/>
  <c r="V21" i="49"/>
  <c r="U21" i="49"/>
  <c r="AU21" i="49"/>
  <c r="AM21" i="49"/>
  <c r="AX21" i="49"/>
  <c r="T21" i="49"/>
  <c r="BD21" i="49"/>
  <c r="Q21" i="49"/>
  <c r="AO21" i="49"/>
  <c r="AF21" i="49"/>
  <c r="AY21" i="49"/>
  <c r="AT21" i="49"/>
  <c r="Y21" i="49"/>
  <c r="AB21" i="49"/>
  <c r="AK21" i="49"/>
  <c r="AR21" i="49"/>
  <c r="AD21" i="49"/>
  <c r="F21" i="49"/>
  <c r="L21" i="49"/>
  <c r="AV21" i="49"/>
  <c r="AG34" i="49"/>
  <c r="AG27" i="49"/>
  <c r="AT24" i="49"/>
  <c r="AT20" i="49"/>
  <c r="X89" i="7"/>
  <c r="X84" i="7"/>
  <c r="F34" i="49"/>
  <c r="AV52" i="49"/>
  <c r="AV37" i="49"/>
  <c r="AF34" i="49"/>
  <c r="AF27" i="49"/>
  <c r="BA24" i="49"/>
  <c r="BA20" i="49"/>
  <c r="S24" i="49"/>
  <c r="S20" i="49"/>
  <c r="D30" i="49"/>
  <c r="D30" i="9"/>
  <c r="V89" i="50"/>
  <c r="V84" i="50"/>
  <c r="AC24" i="49"/>
  <c r="AC20" i="49"/>
  <c r="BB34" i="49"/>
  <c r="BB27" i="49"/>
  <c r="V34" i="49"/>
  <c r="V27" i="49"/>
  <c r="AV34" i="49"/>
  <c r="AV27" i="49"/>
  <c r="AK24" i="49"/>
  <c r="AK20" i="49"/>
  <c r="U24" i="49"/>
  <c r="U20" i="49"/>
  <c r="R24" i="49"/>
  <c r="R20" i="49"/>
  <c r="AH34" i="49"/>
  <c r="AH27" i="49"/>
  <c r="AJ86" i="7"/>
  <c r="P86" i="7"/>
  <c r="S34" i="49"/>
  <c r="S27" i="49"/>
  <c r="AD24" i="49"/>
  <c r="AD20" i="49"/>
  <c r="T35" i="7"/>
  <c r="AB24" i="49"/>
  <c r="AB20" i="49"/>
  <c r="S52" i="49"/>
  <c r="S37" i="49"/>
  <c r="AN52" i="49"/>
  <c r="AN37" i="49"/>
  <c r="BD24" i="49"/>
  <c r="BD20" i="49"/>
  <c r="D16" i="9"/>
  <c r="D16" i="49"/>
  <c r="Y34" i="49"/>
  <c r="Y27" i="49"/>
  <c r="AR24" i="49"/>
  <c r="AR20" i="49"/>
  <c r="H24" i="9"/>
  <c r="BD52" i="49"/>
  <c r="BD37" i="49"/>
  <c r="BE34" i="49"/>
  <c r="BE27" i="49"/>
  <c r="X24" i="49"/>
  <c r="X20" i="49"/>
  <c r="AT34" i="49"/>
  <c r="AT27" i="49"/>
  <c r="T110" i="7"/>
  <c r="J60" i="12"/>
  <c r="J61" i="12"/>
  <c r="T108" i="7"/>
  <c r="D31" i="49"/>
  <c r="D31" i="9"/>
  <c r="D29" i="9"/>
  <c r="D29" i="49"/>
  <c r="R97" i="4"/>
  <c r="AC92" i="4"/>
  <c r="AC93" i="4"/>
  <c r="H21" i="9"/>
  <c r="H21" i="49"/>
  <c r="H24" i="49"/>
  <c r="AY24" i="49"/>
  <c r="AY20" i="49"/>
  <c r="AB34" i="49"/>
  <c r="AB27" i="49"/>
  <c r="P22" i="49"/>
  <c r="R22" i="49"/>
  <c r="AB22" i="49"/>
  <c r="AG22" i="49"/>
  <c r="AC22" i="49"/>
  <c r="AK22" i="49"/>
  <c r="Z22" i="49"/>
  <c r="AT22" i="49"/>
  <c r="AD22" i="49"/>
  <c r="AE22" i="49"/>
  <c r="BA22" i="49"/>
  <c r="BC22" i="49"/>
  <c r="AV22" i="49"/>
  <c r="BB22" i="49"/>
  <c r="AW22" i="49"/>
  <c r="X22" i="49"/>
  <c r="W22" i="49"/>
  <c r="AN22" i="49"/>
  <c r="AZ22" i="49"/>
  <c r="AM22" i="49"/>
  <c r="V22" i="49"/>
  <c r="AX22" i="49"/>
  <c r="T22" i="49"/>
  <c r="AR22" i="49"/>
  <c r="BD22" i="49"/>
  <c r="AP22" i="49"/>
  <c r="AL22" i="49"/>
  <c r="AJ22" i="49"/>
  <c r="BE22" i="49"/>
  <c r="AH22" i="49"/>
  <c r="AS22" i="49"/>
  <c r="AY22" i="49"/>
  <c r="AU22" i="49"/>
  <c r="AQ22" i="49"/>
  <c r="AO22" i="49"/>
  <c r="Q22" i="49"/>
  <c r="AA22" i="49"/>
  <c r="AI22" i="49"/>
  <c r="AF22" i="49"/>
  <c r="Y22" i="49"/>
  <c r="S22" i="49"/>
  <c r="F22" i="49"/>
  <c r="L22" i="49"/>
  <c r="U22" i="49"/>
  <c r="AO23" i="49"/>
  <c r="AG23" i="49"/>
  <c r="AY23" i="49"/>
  <c r="AC23" i="49"/>
  <c r="AA23" i="49"/>
  <c r="BB23" i="49"/>
  <c r="AZ23" i="49"/>
  <c r="AU23" i="49"/>
  <c r="Q23" i="49"/>
  <c r="Y23" i="49"/>
  <c r="AH23" i="49"/>
  <c r="AQ23" i="49"/>
  <c r="X23" i="49"/>
  <c r="AJ23" i="49"/>
  <c r="AP23" i="49"/>
  <c r="AI23" i="49"/>
  <c r="AR23" i="49"/>
  <c r="R23" i="49"/>
  <c r="AB23" i="49"/>
  <c r="AL23" i="49"/>
  <c r="BC23" i="49"/>
  <c r="AE23" i="49"/>
  <c r="AT23" i="49"/>
  <c r="AD23" i="49"/>
  <c r="AF23" i="49"/>
  <c r="BD23" i="49"/>
  <c r="AM23" i="49"/>
  <c r="Z23" i="49"/>
  <c r="BE23" i="49"/>
  <c r="AN23" i="49"/>
  <c r="W23" i="49"/>
  <c r="AS23" i="49"/>
  <c r="P23" i="49"/>
  <c r="T23" i="49"/>
  <c r="V23" i="49"/>
  <c r="S23" i="49"/>
  <c r="AV23" i="49"/>
  <c r="AW23" i="49"/>
  <c r="U23" i="49"/>
  <c r="AX23" i="49"/>
  <c r="BA23" i="49"/>
  <c r="F23" i="49"/>
  <c r="L23" i="49"/>
  <c r="AK23" i="49"/>
  <c r="AH28" i="49"/>
  <c r="W28" i="49"/>
  <c r="AF28" i="49"/>
  <c r="AR28" i="49"/>
  <c r="AV28" i="49"/>
  <c r="BE28" i="49"/>
  <c r="AJ28" i="49"/>
  <c r="AG28" i="49"/>
  <c r="AS28" i="49"/>
  <c r="AM28" i="49"/>
  <c r="AD28" i="49"/>
  <c r="Y28" i="49"/>
  <c r="AX28" i="49"/>
  <c r="AU28" i="49"/>
  <c r="P28" i="49"/>
  <c r="T28" i="49"/>
  <c r="U28" i="49"/>
  <c r="AT28" i="49"/>
  <c r="Z28" i="49"/>
  <c r="BA28" i="49"/>
  <c r="BD28" i="49"/>
  <c r="Q28" i="49"/>
  <c r="X28" i="49"/>
  <c r="AW28" i="49"/>
  <c r="AI28" i="49"/>
  <c r="AK28" i="49"/>
  <c r="V28" i="49"/>
  <c r="AL28" i="49"/>
  <c r="AC28" i="49"/>
  <c r="AZ28" i="49"/>
  <c r="S28" i="49"/>
  <c r="AQ28" i="49"/>
  <c r="BC28" i="49"/>
  <c r="AP28" i="49"/>
  <c r="AY28" i="49"/>
  <c r="BB28" i="49"/>
  <c r="AA28" i="49"/>
  <c r="AB28" i="49"/>
  <c r="AN28" i="49"/>
  <c r="AE28" i="49"/>
  <c r="R28" i="49"/>
  <c r="F28" i="49"/>
  <c r="L28" i="49"/>
  <c r="AO28" i="49"/>
  <c r="T29" i="49"/>
  <c r="BC29" i="49"/>
  <c r="AD29" i="49"/>
  <c r="V29" i="49"/>
  <c r="P29" i="49"/>
  <c r="U29" i="49"/>
  <c r="AN29" i="49"/>
  <c r="AI29" i="49"/>
  <c r="AS29" i="49"/>
  <c r="AP29" i="49"/>
  <c r="AZ29" i="49"/>
  <c r="AU29" i="49"/>
  <c r="AW29" i="49"/>
  <c r="BB29" i="49"/>
  <c r="AR29" i="49"/>
  <c r="AB29" i="49"/>
  <c r="W29" i="49"/>
  <c r="S29" i="49"/>
  <c r="AE29" i="49"/>
  <c r="Z29" i="49"/>
  <c r="AA29" i="49"/>
  <c r="AG29" i="49"/>
  <c r="AY29" i="49"/>
  <c r="AQ29" i="49"/>
  <c r="AV29" i="49"/>
  <c r="AT29" i="49"/>
  <c r="AH29" i="49"/>
  <c r="Y29" i="49"/>
  <c r="Q29" i="49"/>
  <c r="AM29" i="49"/>
  <c r="BA29" i="49"/>
  <c r="AX29" i="49"/>
  <c r="AF29" i="49"/>
  <c r="BE29" i="49"/>
  <c r="AJ29" i="49"/>
  <c r="BD29" i="49"/>
  <c r="AL29" i="49"/>
  <c r="AC29" i="49"/>
  <c r="R29" i="49"/>
  <c r="X29" i="49"/>
  <c r="AK29" i="49"/>
  <c r="F29" i="49"/>
  <c r="L29" i="49"/>
  <c r="AO29" i="49"/>
  <c r="AV30" i="49"/>
  <c r="X30" i="49"/>
  <c r="AF30" i="49"/>
  <c r="AC30" i="49"/>
  <c r="AN30" i="49"/>
  <c r="Z30" i="49"/>
  <c r="Q30" i="49"/>
  <c r="BA30" i="49"/>
  <c r="AP30" i="49"/>
  <c r="AA30" i="49"/>
  <c r="AU30" i="49"/>
  <c r="U30" i="49"/>
  <c r="AD30" i="49"/>
  <c r="S30" i="49"/>
  <c r="BB30" i="49"/>
  <c r="AS30" i="49"/>
  <c r="AM30" i="49"/>
  <c r="AJ30" i="49"/>
  <c r="AQ30" i="49"/>
  <c r="AW30" i="49"/>
  <c r="W30" i="49"/>
  <c r="AX30" i="49"/>
  <c r="AO30" i="49"/>
  <c r="BC30" i="49"/>
  <c r="AE30" i="49"/>
  <c r="P30" i="49"/>
  <c r="T30" i="49"/>
  <c r="AK30" i="49"/>
  <c r="V30" i="49"/>
  <c r="Y30" i="49"/>
  <c r="AH30" i="49"/>
  <c r="AR30" i="49"/>
  <c r="R30" i="49"/>
  <c r="AI30" i="49"/>
  <c r="AT30" i="49"/>
  <c r="AZ30" i="49"/>
  <c r="AY30" i="49"/>
  <c r="AL30" i="49"/>
  <c r="BE30" i="49"/>
  <c r="AG30" i="49"/>
  <c r="BD30" i="49"/>
  <c r="F30" i="49"/>
  <c r="L30" i="49"/>
  <c r="AB30" i="49"/>
  <c r="AS31" i="49"/>
  <c r="AV31" i="49"/>
  <c r="BC31" i="49"/>
  <c r="AU31" i="49"/>
  <c r="AN31" i="49"/>
  <c r="AB31" i="49"/>
  <c r="R31" i="49"/>
  <c r="AG31" i="49"/>
  <c r="BB31" i="49"/>
  <c r="AZ31" i="49"/>
  <c r="BD31" i="49"/>
  <c r="S31" i="49"/>
  <c r="AM31" i="49"/>
  <c r="AE31" i="49"/>
  <c r="AR31" i="49"/>
  <c r="AT31" i="49"/>
  <c r="AD31" i="49"/>
  <c r="Q31" i="49"/>
  <c r="Z31" i="49"/>
  <c r="AP31" i="49"/>
  <c r="AO31" i="49"/>
  <c r="AH31" i="49"/>
  <c r="AQ31" i="49"/>
  <c r="BA31" i="49"/>
  <c r="AK31" i="49"/>
  <c r="W31" i="49"/>
  <c r="AI31" i="49"/>
  <c r="AF31" i="49"/>
  <c r="U31" i="49"/>
  <c r="BE31" i="49"/>
  <c r="AC31" i="49"/>
  <c r="AA31" i="49"/>
  <c r="X31" i="49"/>
  <c r="V31" i="49"/>
  <c r="AY31" i="49"/>
  <c r="AW31" i="49"/>
  <c r="AJ31" i="49"/>
  <c r="Y31" i="49"/>
  <c r="AL31" i="49"/>
  <c r="T31" i="49"/>
  <c r="AX31" i="49"/>
  <c r="F31" i="49"/>
  <c r="L31" i="49"/>
  <c r="P31" i="49"/>
  <c r="AY34" i="49"/>
  <c r="AY27" i="49"/>
  <c r="T104" i="7"/>
  <c r="T103" i="7"/>
  <c r="AI24" i="49"/>
  <c r="AI20" i="49"/>
  <c r="BC24" i="49"/>
  <c r="BC20" i="49"/>
  <c r="AU32" i="49"/>
  <c r="AB32" i="49"/>
  <c r="AC32" i="49"/>
  <c r="AD32" i="49"/>
  <c r="AM32" i="49"/>
  <c r="AV32" i="49"/>
  <c r="AX32" i="49"/>
  <c r="AJ32" i="49"/>
  <c r="BC32" i="49"/>
  <c r="AT32" i="49"/>
  <c r="AG32" i="49"/>
  <c r="AW32" i="49"/>
  <c r="AZ32" i="49"/>
  <c r="AH32" i="49"/>
  <c r="Y32" i="49"/>
  <c r="S32" i="49"/>
  <c r="W32" i="49"/>
  <c r="AQ32" i="49"/>
  <c r="AF32" i="49"/>
  <c r="AY32" i="49"/>
  <c r="AI32" i="49"/>
  <c r="Q32" i="49"/>
  <c r="BD32" i="49"/>
  <c r="X32" i="49"/>
  <c r="AA32" i="49"/>
  <c r="AL32" i="49"/>
  <c r="T32" i="49"/>
  <c r="AE32" i="49"/>
  <c r="BE32" i="49"/>
  <c r="P32" i="49"/>
  <c r="BA32" i="49"/>
  <c r="U32" i="49"/>
  <c r="AO32" i="49"/>
  <c r="AR32" i="49"/>
  <c r="V32" i="49"/>
  <c r="R32" i="49"/>
  <c r="AK32" i="49"/>
  <c r="AP32" i="49"/>
  <c r="AN32" i="49"/>
  <c r="Z32" i="49"/>
  <c r="AS32" i="49"/>
  <c r="F32" i="49"/>
  <c r="L32" i="49"/>
  <c r="BB32" i="49"/>
  <c r="AI33" i="49"/>
  <c r="AH33" i="49"/>
  <c r="BE33" i="49"/>
  <c r="AA33" i="49"/>
  <c r="AJ33" i="49"/>
  <c r="AB33" i="49"/>
  <c r="P33" i="49"/>
  <c r="AR33" i="49"/>
  <c r="AS33" i="49"/>
  <c r="V33" i="49"/>
  <c r="AQ33" i="49"/>
  <c r="AD33" i="49"/>
  <c r="AV33" i="49"/>
  <c r="AW33" i="49"/>
  <c r="AY33" i="49"/>
  <c r="AE33" i="49"/>
  <c r="AU33" i="49"/>
  <c r="AN33" i="49"/>
  <c r="AM33" i="49"/>
  <c r="AL33" i="49"/>
  <c r="AP33" i="49"/>
  <c r="W33" i="49"/>
  <c r="AZ33" i="49"/>
  <c r="AT33" i="49"/>
  <c r="AC33" i="49"/>
  <c r="BD33" i="49"/>
  <c r="X33" i="49"/>
  <c r="BB33" i="49"/>
  <c r="Z33" i="49"/>
  <c r="AF33" i="49"/>
  <c r="BC33" i="49"/>
  <c r="AK33" i="49"/>
  <c r="Y33" i="49"/>
  <c r="AO33" i="49"/>
  <c r="S33" i="49"/>
  <c r="U33" i="49"/>
  <c r="BA33" i="49"/>
  <c r="AG33" i="49"/>
  <c r="R33" i="49"/>
  <c r="AX33" i="49"/>
  <c r="T33" i="49"/>
  <c r="F33" i="49"/>
  <c r="L33" i="49"/>
  <c r="Q33" i="49"/>
  <c r="AA38" i="49"/>
  <c r="AE38" i="49"/>
  <c r="AC38" i="49"/>
  <c r="BB38" i="49"/>
  <c r="AO38" i="49"/>
  <c r="BC38" i="49"/>
  <c r="AS38" i="49"/>
  <c r="AI38" i="49"/>
  <c r="S38" i="49"/>
  <c r="AD38" i="49"/>
  <c r="BD38" i="49"/>
  <c r="AH38" i="49"/>
  <c r="V38" i="49"/>
  <c r="Y38" i="49"/>
  <c r="AK38" i="49"/>
  <c r="BE38" i="49"/>
  <c r="AV38" i="49"/>
  <c r="Q38" i="49"/>
  <c r="AZ38" i="49"/>
  <c r="AY38" i="49"/>
  <c r="AT38" i="49"/>
  <c r="AW38" i="49"/>
  <c r="R38" i="49"/>
  <c r="AM38" i="49"/>
  <c r="AN38" i="49"/>
  <c r="AU38" i="49"/>
  <c r="AQ38" i="49"/>
  <c r="AJ38" i="49"/>
  <c r="U38" i="49"/>
  <c r="AP38" i="49"/>
  <c r="AB38" i="49"/>
  <c r="AF38" i="49"/>
  <c r="P38" i="49"/>
  <c r="W38" i="49"/>
  <c r="X38" i="49"/>
  <c r="AL38" i="49"/>
  <c r="AG38" i="49"/>
  <c r="AX38" i="49"/>
  <c r="T38" i="49"/>
  <c r="BA38" i="49"/>
  <c r="AR38" i="49"/>
  <c r="F38" i="49"/>
  <c r="L38" i="49"/>
  <c r="Z38" i="49"/>
  <c r="D42" i="49"/>
  <c r="V57" i="50"/>
  <c r="V55" i="50"/>
  <c r="AD57" i="7"/>
  <c r="AD55" i="7"/>
  <c r="AJ89" i="7"/>
  <c r="AJ84" i="7"/>
  <c r="D15" i="9"/>
  <c r="D15" i="49"/>
  <c r="W52" i="49"/>
  <c r="W37" i="49"/>
  <c r="AX34" i="49"/>
  <c r="AX27" i="49"/>
  <c r="AL24" i="49"/>
  <c r="AL20" i="49"/>
  <c r="D14" i="49"/>
  <c r="D14" i="9"/>
  <c r="BA34" i="49"/>
  <c r="BA27" i="49"/>
  <c r="AS34" i="49"/>
  <c r="AS27" i="49"/>
  <c r="P178" i="50"/>
  <c r="AC34" i="49"/>
  <c r="AC27" i="49"/>
  <c r="AL92" i="7"/>
  <c r="X52" i="49"/>
  <c r="X37" i="49"/>
  <c r="F24" i="49"/>
  <c r="P176" i="50"/>
  <c r="X176" i="50"/>
  <c r="X178" i="50"/>
  <c r="X97" i="13"/>
  <c r="X92" i="13"/>
  <c r="X79" i="13"/>
  <c r="X77" i="13"/>
  <c r="V97" i="50"/>
  <c r="V92" i="50"/>
  <c r="V79" i="50"/>
  <c r="V77" i="50"/>
  <c r="BB24" i="49"/>
  <c r="BB20" i="49"/>
  <c r="AM34" i="49"/>
  <c r="AM27" i="49"/>
  <c r="AH24" i="49"/>
  <c r="AH20" i="49"/>
  <c r="F92" i="7"/>
  <c r="F97" i="7"/>
  <c r="AL97" i="7"/>
  <c r="P52" i="49"/>
  <c r="P37" i="49"/>
  <c r="D60" i="10"/>
  <c r="AE24" i="49"/>
  <c r="AE20" i="49"/>
  <c r="P89" i="4"/>
  <c r="D39" i="12"/>
  <c r="AX24" i="49"/>
  <c r="AX20" i="49"/>
  <c r="X104" i="7"/>
  <c r="X103" i="7"/>
  <c r="AW52" i="49"/>
  <c r="AW37" i="49"/>
  <c r="P84" i="4"/>
  <c r="X84" i="4"/>
  <c r="X89" i="4"/>
  <c r="Y52" i="49"/>
  <c r="Y37" i="49"/>
  <c r="P34" i="49"/>
  <c r="P27" i="49"/>
  <c r="BC34" i="49"/>
  <c r="BC27" i="49"/>
  <c r="AP24" i="49"/>
  <c r="AP20" i="49"/>
  <c r="V24" i="49"/>
  <c r="V20" i="49"/>
  <c r="AA24" i="49"/>
  <c r="AA20" i="49"/>
  <c r="Z35" i="1"/>
  <c r="X35" i="1"/>
  <c r="AD178" i="13"/>
  <c r="AB178" i="13"/>
  <c r="L54" i="49"/>
  <c r="L17" i="49"/>
  <c r="T33" i="7"/>
  <c r="T77" i="7"/>
  <c r="T79" i="7"/>
  <c r="T92" i="7"/>
  <c r="T97" i="7"/>
  <c r="X33" i="1"/>
  <c r="Z33" i="1"/>
  <c r="AF24" i="49"/>
  <c r="AF20" i="49"/>
  <c r="V52" i="49"/>
  <c r="V37" i="49"/>
  <c r="AH39" i="49"/>
  <c r="AD39" i="49"/>
  <c r="U39" i="49"/>
  <c r="AI39" i="49"/>
  <c r="AE39" i="49"/>
  <c r="AJ39" i="49"/>
  <c r="AB39" i="49"/>
  <c r="BE39" i="49"/>
  <c r="AC39" i="49"/>
  <c r="S39" i="49"/>
  <c r="AM39" i="49"/>
  <c r="V39" i="49"/>
  <c r="AA39" i="49"/>
  <c r="AQ39" i="49"/>
  <c r="BD39" i="49"/>
  <c r="AW39" i="49"/>
  <c r="AX39" i="49"/>
  <c r="AO39" i="49"/>
  <c r="AK39" i="49"/>
  <c r="Q39" i="49"/>
  <c r="AV39" i="49"/>
  <c r="Y39" i="49"/>
  <c r="AT39" i="49"/>
  <c r="Z39" i="49"/>
  <c r="AF39" i="49"/>
  <c r="T39" i="49"/>
  <c r="AN39" i="49"/>
  <c r="W39" i="49"/>
  <c r="AY39" i="49"/>
  <c r="R39" i="49"/>
  <c r="AL39" i="49"/>
  <c r="BC39" i="49"/>
  <c r="AP39" i="49"/>
  <c r="AR39" i="49"/>
  <c r="AU39" i="49"/>
  <c r="BB39" i="49"/>
  <c r="AZ39" i="49"/>
  <c r="P39" i="49"/>
  <c r="AG39" i="49"/>
  <c r="AS39" i="49"/>
  <c r="X39" i="49"/>
  <c r="F39" i="49"/>
  <c r="L39" i="49"/>
  <c r="BA39" i="49"/>
  <c r="BC42" i="49"/>
  <c r="AI42" i="49"/>
  <c r="AJ42" i="49"/>
  <c r="Y42" i="49"/>
  <c r="AX42" i="49"/>
  <c r="AB42" i="49"/>
  <c r="BE42" i="49"/>
  <c r="R42" i="49"/>
  <c r="BA42" i="49"/>
  <c r="AK42" i="49"/>
  <c r="W42" i="49"/>
  <c r="T42" i="49"/>
  <c r="V42" i="49"/>
  <c r="AT42" i="49"/>
  <c r="AO42" i="49"/>
  <c r="AF42" i="49"/>
  <c r="AQ42" i="49"/>
  <c r="AZ42" i="49"/>
  <c r="AE42" i="49"/>
  <c r="X42" i="49"/>
  <c r="Q42" i="49"/>
  <c r="AP42" i="49"/>
  <c r="BB42" i="49"/>
  <c r="AH42" i="49"/>
  <c r="U42" i="49"/>
  <c r="AU42" i="49"/>
  <c r="AD42" i="49"/>
  <c r="AA42" i="49"/>
  <c r="AL42" i="49"/>
  <c r="AV42" i="49"/>
  <c r="Z42" i="49"/>
  <c r="AC42" i="49"/>
  <c r="AG42" i="49"/>
  <c r="AM42" i="49"/>
  <c r="S42" i="49"/>
  <c r="AN42" i="49"/>
  <c r="AR42" i="49"/>
  <c r="P42" i="49"/>
  <c r="AS42" i="49"/>
  <c r="BD42" i="49"/>
  <c r="AW42" i="49"/>
  <c r="F42" i="49"/>
  <c r="L42" i="49"/>
  <c r="AY42" i="49"/>
  <c r="AN43" i="49"/>
  <c r="Y43" i="49"/>
  <c r="AK43" i="49"/>
  <c r="AD43" i="49"/>
  <c r="AC43" i="49"/>
  <c r="AR43" i="49"/>
  <c r="AL43" i="49"/>
  <c r="AM43" i="49"/>
  <c r="AQ43" i="49"/>
  <c r="Q43" i="49"/>
  <c r="AH43" i="49"/>
  <c r="U43" i="49"/>
  <c r="R43" i="49"/>
  <c r="BC43" i="49"/>
  <c r="W43" i="49"/>
  <c r="V43" i="49"/>
  <c r="AE43" i="49"/>
  <c r="AO43" i="49"/>
  <c r="AY43" i="49"/>
  <c r="AA43" i="49"/>
  <c r="AW43" i="49"/>
  <c r="Z43" i="49"/>
  <c r="X43" i="49"/>
  <c r="T43" i="49"/>
  <c r="AP43" i="49"/>
  <c r="AS43" i="49"/>
  <c r="BE43" i="49"/>
  <c r="AI43" i="49"/>
  <c r="AB43" i="49"/>
  <c r="AX43" i="49"/>
  <c r="AF43" i="49"/>
  <c r="S43" i="49"/>
  <c r="AJ43" i="49"/>
  <c r="AV43" i="49"/>
  <c r="AG43" i="49"/>
  <c r="BA43" i="49"/>
  <c r="AT43" i="49"/>
  <c r="AZ43" i="49"/>
  <c r="P43" i="49"/>
  <c r="BB43" i="49"/>
  <c r="BD43" i="49"/>
  <c r="F43" i="49"/>
  <c r="L43" i="49"/>
  <c r="AU43" i="49"/>
  <c r="S44" i="49"/>
  <c r="AE44" i="49"/>
  <c r="AF44" i="49"/>
  <c r="R44" i="49"/>
  <c r="AB44" i="49"/>
  <c r="AU44" i="49"/>
  <c r="AW44" i="49"/>
  <c r="AM44" i="49"/>
  <c r="U44" i="49"/>
  <c r="AT44" i="49"/>
  <c r="AR44" i="49"/>
  <c r="AQ44" i="49"/>
  <c r="AZ44" i="49"/>
  <c r="W44" i="49"/>
  <c r="AA44" i="49"/>
  <c r="X44" i="49"/>
  <c r="BE44" i="49"/>
  <c r="BA44" i="49"/>
  <c r="AS44" i="49"/>
  <c r="AC44" i="49"/>
  <c r="AG44" i="49"/>
  <c r="AL44" i="49"/>
  <c r="AJ44" i="49"/>
  <c r="Y44" i="49"/>
  <c r="BC44" i="49"/>
  <c r="AX44" i="49"/>
  <c r="V44" i="49"/>
  <c r="P44" i="49"/>
  <c r="AD44" i="49"/>
  <c r="AH44" i="49"/>
  <c r="Z44" i="49"/>
  <c r="AN44" i="49"/>
  <c r="Q44" i="49"/>
  <c r="T44" i="49"/>
  <c r="AK44" i="49"/>
  <c r="AY44" i="49"/>
  <c r="AV44" i="49"/>
  <c r="AO44" i="49"/>
  <c r="BD44" i="49"/>
  <c r="AI44" i="49"/>
  <c r="BB44" i="49"/>
  <c r="F44" i="49"/>
  <c r="L44" i="49"/>
  <c r="AP44" i="49"/>
  <c r="V45" i="49"/>
  <c r="Q45" i="49"/>
  <c r="AY45" i="49"/>
  <c r="P45" i="49"/>
  <c r="BB45" i="49"/>
  <c r="AR45" i="49"/>
  <c r="BE45" i="49"/>
  <c r="AK45" i="49"/>
  <c r="AU45" i="49"/>
  <c r="BA45" i="49"/>
  <c r="R45" i="49"/>
  <c r="X45" i="49"/>
  <c r="AM45" i="49"/>
  <c r="Y45" i="49"/>
  <c r="S45" i="49"/>
  <c r="BD45" i="49"/>
  <c r="W45" i="49"/>
  <c r="T45" i="49"/>
  <c r="AA45" i="49"/>
  <c r="AL45" i="49"/>
  <c r="AV45" i="49"/>
  <c r="AD45" i="49"/>
  <c r="AF45" i="49"/>
  <c r="AT45" i="49"/>
  <c r="AW45" i="49"/>
  <c r="AG45" i="49"/>
  <c r="AQ45" i="49"/>
  <c r="BC45" i="49"/>
  <c r="AB45" i="49"/>
  <c r="AN45" i="49"/>
  <c r="AO45" i="49"/>
  <c r="U45" i="49"/>
  <c r="AJ45" i="49"/>
  <c r="AC45" i="49"/>
  <c r="AP45" i="49"/>
  <c r="AI45" i="49"/>
  <c r="AS45" i="49"/>
  <c r="AX45" i="49"/>
  <c r="AE45" i="49"/>
  <c r="Z45" i="49"/>
  <c r="AZ45" i="49"/>
  <c r="F45" i="49"/>
  <c r="L45" i="49"/>
  <c r="AH45" i="49"/>
  <c r="BE46" i="49"/>
  <c r="Z46" i="49"/>
  <c r="Q46" i="49"/>
  <c r="AG46" i="49"/>
  <c r="AC46" i="49"/>
  <c r="AO46" i="49"/>
  <c r="T46" i="49"/>
  <c r="AA46" i="49"/>
  <c r="AS46" i="49"/>
  <c r="AD46" i="49"/>
  <c r="AU46" i="49"/>
  <c r="W46" i="49"/>
  <c r="AR46" i="49"/>
  <c r="AQ46" i="49"/>
  <c r="V46" i="49"/>
  <c r="Y46" i="49"/>
  <c r="AJ46" i="49"/>
  <c r="AY46" i="49"/>
  <c r="AZ46" i="49"/>
  <c r="U46" i="49"/>
  <c r="X46" i="49"/>
  <c r="P46" i="49"/>
  <c r="S46" i="49"/>
  <c r="AI46" i="49"/>
  <c r="AX46" i="49"/>
  <c r="AN46" i="49"/>
  <c r="AH46" i="49"/>
  <c r="AK46" i="49"/>
  <c r="AL46" i="49"/>
  <c r="AF46" i="49"/>
  <c r="AM46" i="49"/>
  <c r="BB46" i="49"/>
  <c r="BC46" i="49"/>
  <c r="AW46" i="49"/>
  <c r="AP46" i="49"/>
  <c r="AE46" i="49"/>
  <c r="BD46" i="49"/>
  <c r="AV46" i="49"/>
  <c r="AB46" i="49"/>
  <c r="AT46" i="49"/>
  <c r="BA46" i="49"/>
  <c r="F46" i="49"/>
  <c r="L46" i="49"/>
  <c r="R46" i="49"/>
  <c r="L55" i="50"/>
  <c r="L57" i="50"/>
  <c r="T24" i="49"/>
  <c r="T20" i="49"/>
  <c r="W34" i="49"/>
  <c r="W27" i="49"/>
  <c r="AL34" i="49"/>
  <c r="AL27" i="49"/>
  <c r="AY48" i="49"/>
  <c r="T48" i="49"/>
  <c r="AZ48" i="49"/>
  <c r="BC48" i="49"/>
  <c r="Q48" i="49"/>
  <c r="AO48" i="49"/>
  <c r="BD48" i="49"/>
  <c r="U48" i="49"/>
  <c r="BE48" i="49"/>
  <c r="AM48" i="49"/>
  <c r="Z48" i="49"/>
  <c r="AS48" i="49"/>
  <c r="AG48" i="49"/>
  <c r="X48" i="49"/>
  <c r="AE48" i="49"/>
  <c r="Y48" i="49"/>
  <c r="AW48" i="49"/>
  <c r="V48" i="49"/>
  <c r="P48" i="49"/>
  <c r="AI48" i="49"/>
  <c r="AN48" i="49"/>
  <c r="AT48" i="49"/>
  <c r="AD48" i="49"/>
  <c r="AX48" i="49"/>
  <c r="W48" i="49"/>
  <c r="AU48" i="49"/>
  <c r="AQ48" i="49"/>
  <c r="AB48" i="49"/>
  <c r="BB48" i="49"/>
  <c r="AV48" i="49"/>
  <c r="AP48" i="49"/>
  <c r="AA48" i="49"/>
  <c r="AF48" i="49"/>
  <c r="AL48" i="49"/>
  <c r="AJ48" i="49"/>
  <c r="R48" i="49"/>
  <c r="AC48" i="49"/>
  <c r="S48" i="49"/>
  <c r="AH48" i="49"/>
  <c r="AR48" i="49"/>
  <c r="AK48" i="49"/>
  <c r="F48" i="49"/>
  <c r="L48" i="49"/>
  <c r="BA48" i="49"/>
  <c r="T49" i="49"/>
  <c r="BD49" i="49"/>
  <c r="BB49" i="49"/>
  <c r="AM49" i="49"/>
  <c r="AU49" i="49"/>
  <c r="AY49" i="49"/>
  <c r="V49" i="49"/>
  <c r="AJ49" i="49"/>
  <c r="AG49" i="49"/>
  <c r="P49" i="49"/>
  <c r="AB49" i="49"/>
  <c r="AE49" i="49"/>
  <c r="Q49" i="49"/>
  <c r="X49" i="49"/>
  <c r="Y49" i="49"/>
  <c r="AV49" i="49"/>
  <c r="AR49" i="49"/>
  <c r="R49" i="49"/>
  <c r="AN49" i="49"/>
  <c r="AF49" i="49"/>
  <c r="AS49" i="49"/>
  <c r="AX49" i="49"/>
  <c r="AP49" i="49"/>
  <c r="U49" i="49"/>
  <c r="W49" i="49"/>
  <c r="AL49" i="49"/>
  <c r="BA49" i="49"/>
  <c r="AI49" i="49"/>
  <c r="BE49" i="49"/>
  <c r="Z49" i="49"/>
  <c r="S49" i="49"/>
  <c r="AO49" i="49"/>
  <c r="AH49" i="49"/>
  <c r="BC49" i="49"/>
  <c r="AQ49" i="49"/>
  <c r="AW49" i="49"/>
  <c r="AT49" i="49"/>
  <c r="AD49" i="49"/>
  <c r="AC49" i="49"/>
  <c r="AA49" i="49"/>
  <c r="AK49" i="49"/>
  <c r="F49" i="49"/>
  <c r="L49" i="49"/>
  <c r="AZ49" i="49"/>
  <c r="AX50" i="49"/>
  <c r="AH50" i="49"/>
  <c r="AU50" i="49"/>
  <c r="AB50" i="49"/>
  <c r="AA50" i="49"/>
  <c r="AD50" i="49"/>
  <c r="AK50" i="49"/>
  <c r="Y50" i="49"/>
  <c r="AS50" i="49"/>
  <c r="U50" i="49"/>
  <c r="AY50" i="49"/>
  <c r="BD50" i="49"/>
  <c r="X50" i="49"/>
  <c r="AR50" i="49"/>
  <c r="Q50" i="49"/>
  <c r="AM50" i="49"/>
  <c r="AN50" i="49"/>
  <c r="S50" i="49"/>
  <c r="AO50" i="49"/>
  <c r="Z50" i="49"/>
  <c r="AZ50" i="49"/>
  <c r="BA50" i="49"/>
  <c r="BE50" i="49"/>
  <c r="T50" i="49"/>
  <c r="AJ50" i="49"/>
  <c r="AE50" i="49"/>
  <c r="AC50" i="49"/>
  <c r="AW50" i="49"/>
  <c r="AL50" i="49"/>
  <c r="P50" i="49"/>
  <c r="AV50" i="49"/>
  <c r="W50" i="49"/>
  <c r="V50" i="49"/>
  <c r="BB50" i="49"/>
  <c r="AI50" i="49"/>
  <c r="AQ50" i="49"/>
  <c r="AF50" i="49"/>
  <c r="R50" i="49"/>
  <c r="AT50" i="49"/>
  <c r="AG50" i="49"/>
  <c r="AP50" i="49"/>
  <c r="F50" i="49"/>
  <c r="L50" i="49"/>
  <c r="BC50" i="49"/>
  <c r="AW24" i="49"/>
  <c r="AW20" i="49"/>
  <c r="AG51" i="49"/>
  <c r="T51" i="49"/>
  <c r="AN51" i="49"/>
  <c r="AX51" i="49"/>
  <c r="AF51" i="49"/>
  <c r="X51" i="49"/>
  <c r="R51" i="49"/>
  <c r="AK51" i="49"/>
  <c r="AQ51" i="49"/>
  <c r="U51" i="49"/>
  <c r="BA51" i="49"/>
  <c r="AI51" i="49"/>
  <c r="AS51" i="49"/>
  <c r="AO51" i="49"/>
  <c r="AH51" i="49"/>
  <c r="Q51" i="49"/>
  <c r="V51" i="49"/>
  <c r="AM51" i="49"/>
  <c r="AR51" i="49"/>
  <c r="AP51" i="49"/>
  <c r="W51" i="49"/>
  <c r="AY51" i="49"/>
  <c r="AL51" i="49"/>
  <c r="AT51" i="49"/>
  <c r="S51" i="49"/>
  <c r="AZ51" i="49"/>
  <c r="Y51" i="49"/>
  <c r="AB51" i="49"/>
  <c r="AA51" i="49"/>
  <c r="Z51" i="49"/>
  <c r="AJ51" i="49"/>
  <c r="AC51" i="49"/>
  <c r="AE51" i="49"/>
  <c r="AV51" i="49"/>
  <c r="BC51" i="49"/>
  <c r="AD51" i="49"/>
  <c r="P51" i="49"/>
  <c r="BB51" i="49"/>
  <c r="BD51" i="49"/>
  <c r="BE51" i="49"/>
  <c r="AW51" i="49"/>
  <c r="F51" i="49"/>
  <c r="L51" i="49"/>
  <c r="AU51" i="49"/>
  <c r="AJ110" i="7"/>
  <c r="AJ108" i="7"/>
  <c r="P84" i="7"/>
  <c r="P89" i="7"/>
  <c r="AZ24" i="49"/>
  <c r="AZ20" i="49"/>
  <c r="AL89" i="7"/>
  <c r="F89" i="7"/>
  <c r="AO34" i="49"/>
  <c r="AO27" i="49"/>
  <c r="D101" i="2"/>
  <c r="V178" i="13"/>
  <c r="V172" i="13"/>
  <c r="L19" i="14"/>
  <c r="L18" i="14"/>
  <c r="D38" i="49"/>
  <c r="D38" i="9"/>
  <c r="T89" i="13"/>
  <c r="T84" i="13"/>
  <c r="Q34" i="49"/>
  <c r="Q27" i="49"/>
  <c r="X89" i="13"/>
  <c r="X84" i="13"/>
  <c r="X35" i="5"/>
  <c r="AF97" i="7"/>
  <c r="X92" i="50"/>
  <c r="X79" i="50"/>
  <c r="X77" i="50"/>
  <c r="AF178" i="7"/>
  <c r="Z24" i="49"/>
  <c r="Z20" i="49"/>
  <c r="Z104" i="7"/>
  <c r="Z103" i="7"/>
  <c r="AM24" i="49"/>
  <c r="AM20" i="49"/>
  <c r="R57" i="7"/>
  <c r="R55" i="7"/>
  <c r="AJ160" i="7"/>
  <c r="P160" i="7"/>
  <c r="X35" i="13"/>
  <c r="X33" i="13"/>
  <c r="AD86" i="13"/>
  <c r="D45" i="49"/>
  <c r="D45" i="9"/>
  <c r="AB92" i="13"/>
  <c r="AB79" i="13"/>
  <c r="AB77" i="13"/>
  <c r="L97" i="7"/>
  <c r="L92" i="7"/>
  <c r="L79" i="7"/>
  <c r="L77" i="7"/>
  <c r="R35" i="1"/>
  <c r="L180" i="7"/>
  <c r="L164" i="7"/>
  <c r="L162" i="7"/>
  <c r="L159" i="7"/>
  <c r="V110" i="50"/>
  <c r="V108" i="50"/>
  <c r="AD34" i="49"/>
  <c r="AD27" i="49"/>
  <c r="AO52" i="49"/>
  <c r="AO37" i="49"/>
  <c r="T178" i="50"/>
  <c r="T176" i="50"/>
  <c r="Z180" i="1"/>
  <c r="X180" i="1"/>
  <c r="L110" i="4"/>
  <c r="R110" i="1"/>
  <c r="F110" i="4"/>
  <c r="Z110" i="4"/>
  <c r="L97" i="50"/>
  <c r="L92" i="50"/>
  <c r="L79" i="50"/>
  <c r="L77" i="50"/>
  <c r="AF52" i="49"/>
  <c r="AF37" i="49"/>
  <c r="U52" i="49"/>
  <c r="U37" i="49"/>
  <c r="F79" i="7"/>
  <c r="AL79" i="7"/>
  <c r="D28" i="9"/>
  <c r="D28" i="49"/>
  <c r="Z55" i="50"/>
  <c r="AD35" i="7"/>
  <c r="AT52" i="49"/>
  <c r="AT37" i="49"/>
  <c r="Z160" i="1"/>
  <c r="X160" i="1"/>
  <c r="AB110" i="7"/>
  <c r="AB108" i="7"/>
  <c r="R61" i="12"/>
  <c r="R60" i="12"/>
  <c r="X60" i="12"/>
  <c r="X61" i="12"/>
  <c r="AH108" i="7"/>
  <c r="AH110" i="7"/>
  <c r="Z35" i="4"/>
  <c r="F35" i="4"/>
  <c r="AL35" i="7"/>
  <c r="F35" i="7"/>
  <c r="AS24" i="49"/>
  <c r="AS20" i="49"/>
  <c r="AF35" i="7"/>
  <c r="R89" i="7"/>
  <c r="R84" i="7"/>
  <c r="D50" i="49"/>
  <c r="D50" i="9"/>
  <c r="D61" i="12"/>
  <c r="Z110" i="13"/>
  <c r="Z108" i="13"/>
  <c r="F55" i="12"/>
  <c r="D55" i="12"/>
  <c r="F55" i="50"/>
  <c r="F57" i="50"/>
  <c r="Z57" i="50"/>
  <c r="L108" i="50"/>
  <c r="L110" i="50"/>
  <c r="AF104" i="7"/>
  <c r="V104" i="7"/>
  <c r="V103" i="7"/>
  <c r="AA34" i="49"/>
  <c r="AA27" i="49"/>
  <c r="F14" i="49"/>
  <c r="H14" i="49"/>
  <c r="H17" i="49"/>
  <c r="H54" i="49"/>
  <c r="AN24" i="49"/>
  <c r="AN20" i="49"/>
  <c r="R89" i="50"/>
  <c r="R84" i="50"/>
  <c r="AL84" i="7"/>
  <c r="P97" i="1"/>
  <c r="X97" i="1"/>
  <c r="Z97" i="1"/>
  <c r="F54" i="49"/>
  <c r="F17" i="49"/>
  <c r="AU52" i="49"/>
  <c r="AU37" i="49"/>
  <c r="AL52" i="49"/>
  <c r="AL37" i="49"/>
  <c r="Z110" i="7"/>
  <c r="Z108" i="7"/>
  <c r="P61" i="12"/>
  <c r="P60" i="12"/>
  <c r="D60" i="12"/>
  <c r="AN34" i="49"/>
  <c r="AN27" i="49"/>
  <c r="P35" i="1"/>
  <c r="AV24" i="49"/>
  <c r="AV20" i="49"/>
  <c r="AD110" i="7"/>
  <c r="AD108" i="7"/>
  <c r="T61" i="12"/>
  <c r="T60" i="12"/>
  <c r="AJ35" i="7"/>
  <c r="AJ33" i="7"/>
  <c r="AY52" i="49"/>
  <c r="AY37" i="49"/>
  <c r="P89" i="13"/>
  <c r="V57" i="13"/>
  <c r="V55" i="13"/>
  <c r="AF110" i="7"/>
  <c r="AS52" i="49"/>
  <c r="AS37" i="49"/>
  <c r="Z52" i="49"/>
  <c r="Z37" i="49"/>
  <c r="X164" i="1"/>
  <c r="Z164" i="1"/>
  <c r="AL85" i="7"/>
  <c r="F77" i="7"/>
  <c r="AL77" i="7"/>
  <c r="R178" i="7"/>
  <c r="R176" i="7"/>
  <c r="H16" i="12"/>
  <c r="AH89" i="7"/>
  <c r="AH84" i="7"/>
  <c r="AA52" i="49"/>
  <c r="AA37" i="49"/>
  <c r="V104" i="50"/>
  <c r="V103" i="50"/>
  <c r="AB77" i="7"/>
  <c r="AB79" i="7"/>
  <c r="AB92" i="7"/>
  <c r="AB97" i="7"/>
  <c r="R34" i="49"/>
  <c r="R27" i="49"/>
  <c r="V89" i="1"/>
  <c r="AG24" i="49"/>
  <c r="AG20" i="49"/>
  <c r="F60" i="12"/>
  <c r="F61" i="12"/>
  <c r="P108" i="7"/>
  <c r="P110" i="7"/>
  <c r="Z160" i="4"/>
  <c r="F160" i="4"/>
  <c r="L160" i="4"/>
  <c r="V35" i="1"/>
  <c r="T104" i="50"/>
  <c r="T103" i="50"/>
  <c r="Z86" i="7"/>
  <c r="V86" i="7"/>
  <c r="AD86" i="7"/>
  <c r="AB86" i="7"/>
  <c r="AH86" i="7"/>
  <c r="R86" i="7"/>
  <c r="X86" i="7"/>
  <c r="T86" i="7"/>
  <c r="X162" i="1"/>
  <c r="Z162" i="1"/>
  <c r="T52" i="49"/>
  <c r="T37" i="49"/>
  <c r="X57" i="7"/>
  <c r="X55" i="7"/>
  <c r="T110" i="13"/>
  <c r="T108" i="13"/>
  <c r="AC52" i="49"/>
  <c r="AC37" i="49"/>
  <c r="D52" i="49"/>
  <c r="D37" i="49"/>
  <c r="D54" i="49"/>
  <c r="D17" i="49"/>
  <c r="D11" i="49"/>
  <c r="Z103" i="4"/>
  <c r="X103" i="4"/>
  <c r="V57" i="7"/>
  <c r="V55" i="7"/>
  <c r="L103" i="50"/>
  <c r="L104" i="50"/>
  <c r="L97" i="13"/>
  <c r="L92" i="13"/>
  <c r="L79" i="13"/>
  <c r="X33" i="50"/>
  <c r="X35" i="50"/>
  <c r="T86" i="13"/>
  <c r="R86" i="13"/>
  <c r="V86" i="13"/>
  <c r="X86" i="13"/>
  <c r="Z86" i="13"/>
  <c r="AB172" i="13"/>
  <c r="AD172" i="13"/>
  <c r="AB57" i="7"/>
  <c r="AB55" i="7"/>
  <c r="F86" i="13"/>
  <c r="L86" i="13"/>
  <c r="P86" i="13"/>
  <c r="AB86" i="13"/>
  <c r="R103" i="7"/>
  <c r="R104" i="7"/>
  <c r="D33" i="9"/>
  <c r="D33" i="49"/>
  <c r="T15" i="12"/>
  <c r="T16" i="12"/>
  <c r="AD176" i="7"/>
  <c r="AD178" i="7"/>
  <c r="D19" i="51"/>
  <c r="Z77" i="7"/>
  <c r="Z79" i="7"/>
  <c r="Z92" i="7"/>
  <c r="Z97" i="7"/>
  <c r="AU12" i="9"/>
  <c r="AQ12" i="9"/>
  <c r="AX12" i="9"/>
  <c r="AY12" i="9"/>
  <c r="R12" i="9"/>
  <c r="Z12" i="9"/>
  <c r="AT12" i="9"/>
  <c r="U12" i="9"/>
  <c r="BD12" i="9"/>
  <c r="AA12" i="9"/>
  <c r="BA12" i="9"/>
  <c r="AC12" i="9"/>
  <c r="AP12" i="9"/>
  <c r="AE12" i="9"/>
  <c r="X12" i="9"/>
  <c r="AN12" i="9"/>
  <c r="AH12" i="9"/>
  <c r="AV12" i="9"/>
  <c r="AZ12" i="9"/>
  <c r="BB12" i="9"/>
  <c r="T12" i="9"/>
  <c r="P12" i="9"/>
  <c r="AD12" i="9"/>
  <c r="AF12" i="9"/>
  <c r="AM12" i="9"/>
  <c r="AS12" i="9"/>
  <c r="AW12" i="9"/>
  <c r="AR12" i="9"/>
  <c r="S12" i="9"/>
  <c r="AI12" i="9"/>
  <c r="AK12" i="9"/>
  <c r="Q12" i="9"/>
  <c r="BC12" i="9"/>
  <c r="AL12" i="9"/>
  <c r="AB12" i="9"/>
  <c r="W12" i="9"/>
  <c r="AG12" i="9"/>
  <c r="Y12" i="9"/>
  <c r="V12" i="9"/>
  <c r="BE12" i="9"/>
  <c r="AO12" i="9"/>
  <c r="R180" i="13"/>
  <c r="F12" i="9"/>
  <c r="L12" i="9"/>
  <c r="AJ12" i="9"/>
  <c r="AF13" i="9"/>
  <c r="BE13" i="9"/>
  <c r="AA13" i="9"/>
  <c r="W13" i="9"/>
  <c r="AW13" i="9"/>
  <c r="AV13" i="9"/>
  <c r="X13" i="9"/>
  <c r="AM13" i="9"/>
  <c r="AN13" i="9"/>
  <c r="AS13" i="9"/>
  <c r="AL13" i="9"/>
  <c r="P13" i="9"/>
  <c r="AJ13" i="9"/>
  <c r="AX13" i="9"/>
  <c r="Q13" i="9"/>
  <c r="S13" i="9"/>
  <c r="AI13" i="9"/>
  <c r="AK13" i="9"/>
  <c r="V13" i="9"/>
  <c r="AR13" i="9"/>
  <c r="BB13" i="9"/>
  <c r="BD13" i="9"/>
  <c r="AH13" i="9"/>
  <c r="AQ13" i="9"/>
  <c r="AT13" i="9"/>
  <c r="T13" i="9"/>
  <c r="Z13" i="9"/>
  <c r="AE13" i="9"/>
  <c r="AD13" i="9"/>
  <c r="R13" i="9"/>
  <c r="AP13" i="9"/>
  <c r="AU13" i="9"/>
  <c r="Y13" i="9"/>
  <c r="AG13" i="9"/>
  <c r="AO13" i="9"/>
  <c r="AC13" i="9"/>
  <c r="U13" i="9"/>
  <c r="AZ13" i="9"/>
  <c r="BA13" i="9"/>
  <c r="BC13" i="9"/>
  <c r="AY13" i="9"/>
  <c r="T159" i="13"/>
  <c r="T162" i="13"/>
  <c r="T164" i="13"/>
  <c r="T180" i="13"/>
  <c r="F13" i="9"/>
  <c r="L13" i="9"/>
  <c r="AB13" i="9"/>
  <c r="AN14" i="9"/>
  <c r="AE14" i="9"/>
  <c r="AD14" i="9"/>
  <c r="AV14" i="9"/>
  <c r="W14" i="9"/>
  <c r="AF14" i="9"/>
  <c r="Y14" i="9"/>
  <c r="BA14" i="9"/>
  <c r="AM14" i="9"/>
  <c r="AG14" i="9"/>
  <c r="P14" i="9"/>
  <c r="AL14" i="9"/>
  <c r="AA14" i="9"/>
  <c r="AS14" i="9"/>
  <c r="AY14" i="9"/>
  <c r="X14" i="9"/>
  <c r="AP14" i="9"/>
  <c r="AK14" i="9"/>
  <c r="AI14" i="9"/>
  <c r="BB14" i="9"/>
  <c r="AU14" i="9"/>
  <c r="BE14" i="9"/>
  <c r="AT14" i="9"/>
  <c r="AO14" i="9"/>
  <c r="BD14" i="9"/>
  <c r="BC14" i="9"/>
  <c r="S14" i="9"/>
  <c r="AB14" i="9"/>
  <c r="V14" i="9"/>
  <c r="AR14" i="9"/>
  <c r="T14" i="9"/>
  <c r="Z14" i="9"/>
  <c r="AW14" i="9"/>
  <c r="Q14" i="9"/>
  <c r="AH14" i="9"/>
  <c r="AZ14" i="9"/>
  <c r="AJ14" i="9"/>
  <c r="AC14" i="9"/>
  <c r="U14" i="9"/>
  <c r="AQ14" i="9"/>
  <c r="AX14" i="9"/>
  <c r="L14" i="9"/>
  <c r="R14" i="9"/>
  <c r="AC15" i="9"/>
  <c r="AR15" i="9"/>
  <c r="AH15" i="9"/>
  <c r="U15" i="9"/>
  <c r="AO15" i="9"/>
  <c r="AI15" i="9"/>
  <c r="X15" i="9"/>
  <c r="BC15" i="9"/>
  <c r="Z15" i="9"/>
  <c r="P15" i="9"/>
  <c r="AV15" i="9"/>
  <c r="W15" i="9"/>
  <c r="AZ15" i="9"/>
  <c r="V15" i="9"/>
  <c r="BB15" i="9"/>
  <c r="S15" i="9"/>
  <c r="R15" i="9"/>
  <c r="AP15" i="9"/>
  <c r="Y15" i="9"/>
  <c r="AY15" i="9"/>
  <c r="AW15" i="9"/>
  <c r="BE15" i="9"/>
  <c r="AM15" i="9"/>
  <c r="AL15" i="9"/>
  <c r="AT15" i="9"/>
  <c r="AF15" i="9"/>
  <c r="AA15" i="9"/>
  <c r="AD15" i="9"/>
  <c r="AS15" i="9"/>
  <c r="AN15" i="9"/>
  <c r="AG15" i="9"/>
  <c r="AE15" i="9"/>
  <c r="Q15" i="9"/>
  <c r="AQ15" i="9"/>
  <c r="T15" i="9"/>
  <c r="AJ15" i="9"/>
  <c r="BD15" i="9"/>
  <c r="AK15" i="9"/>
  <c r="AU15" i="9"/>
  <c r="AB15" i="9"/>
  <c r="BA15" i="9"/>
  <c r="X159" i="13"/>
  <c r="X162" i="13"/>
  <c r="X164" i="13"/>
  <c r="X180" i="13"/>
  <c r="F15" i="9"/>
  <c r="L15" i="9"/>
  <c r="AX15" i="9"/>
  <c r="AB16" i="9"/>
  <c r="AZ16" i="9"/>
  <c r="AR16" i="9"/>
  <c r="BC16" i="9"/>
  <c r="Z16" i="9"/>
  <c r="AD16" i="9"/>
  <c r="BE16" i="9"/>
  <c r="Q16" i="9"/>
  <c r="AA16" i="9"/>
  <c r="V16" i="9"/>
  <c r="W16" i="9"/>
  <c r="AP16" i="9"/>
  <c r="AM16" i="9"/>
  <c r="AH16" i="9"/>
  <c r="Y16" i="9"/>
  <c r="X16" i="9"/>
  <c r="S16" i="9"/>
  <c r="AO16" i="9"/>
  <c r="AG16" i="9"/>
  <c r="AJ16" i="9"/>
  <c r="AL16" i="9"/>
  <c r="AK16" i="9"/>
  <c r="AC16" i="9"/>
  <c r="AW16" i="9"/>
  <c r="AI16" i="9"/>
  <c r="AX16" i="9"/>
  <c r="U16" i="9"/>
  <c r="AQ16" i="9"/>
  <c r="R16" i="9"/>
  <c r="BB16" i="9"/>
  <c r="AY16" i="9"/>
  <c r="AU16" i="9"/>
  <c r="P16" i="9"/>
  <c r="AV16" i="9"/>
  <c r="AT16" i="9"/>
  <c r="BD16" i="9"/>
  <c r="AN16" i="9"/>
  <c r="AF16" i="9"/>
  <c r="T16" i="9"/>
  <c r="BA16" i="9"/>
  <c r="AS16" i="9"/>
  <c r="Z159" i="13"/>
  <c r="Z162" i="13"/>
  <c r="Z164" i="13"/>
  <c r="Z180" i="13"/>
  <c r="F16" i="9"/>
  <c r="L16" i="9"/>
  <c r="AE16" i="9"/>
  <c r="AQ21" i="9"/>
  <c r="AB21" i="9"/>
  <c r="AY21" i="9"/>
  <c r="X21" i="9"/>
  <c r="U21" i="9"/>
  <c r="AN21" i="9"/>
  <c r="AO21" i="9"/>
  <c r="R21" i="9"/>
  <c r="AM21" i="9"/>
  <c r="BD21" i="9"/>
  <c r="BC21" i="9"/>
  <c r="Q21" i="9"/>
  <c r="W21" i="9"/>
  <c r="V21" i="9"/>
  <c r="AS21" i="9"/>
  <c r="AW21" i="9"/>
  <c r="BB21" i="9"/>
  <c r="AI21" i="9"/>
  <c r="AK21" i="9"/>
  <c r="T21" i="9"/>
  <c r="Z21" i="9"/>
  <c r="AV21" i="9"/>
  <c r="AE21" i="9"/>
  <c r="AL21" i="9"/>
  <c r="AU21" i="9"/>
  <c r="AJ21" i="9"/>
  <c r="AX21" i="9"/>
  <c r="AZ21" i="9"/>
  <c r="BA21" i="9"/>
  <c r="AD21" i="9"/>
  <c r="BE21" i="9"/>
  <c r="AA21" i="9"/>
  <c r="AH21" i="9"/>
  <c r="AC21" i="9"/>
  <c r="AT21" i="9"/>
  <c r="P21" i="9"/>
  <c r="AP21" i="9"/>
  <c r="Y21" i="9"/>
  <c r="S21" i="9"/>
  <c r="AR21" i="9"/>
  <c r="AG21" i="9"/>
  <c r="R164" i="4"/>
  <c r="R180" i="4"/>
  <c r="F21" i="9"/>
  <c r="L21" i="9"/>
  <c r="AF21" i="9"/>
  <c r="Y22" i="9"/>
  <c r="Q22" i="9"/>
  <c r="AS22" i="9"/>
  <c r="AE22" i="9"/>
  <c r="R22" i="9"/>
  <c r="AQ22" i="9"/>
  <c r="AA22" i="9"/>
  <c r="BB22" i="9"/>
  <c r="AG22" i="9"/>
  <c r="V22" i="9"/>
  <c r="W22" i="9"/>
  <c r="AW22" i="9"/>
  <c r="AL22" i="9"/>
  <c r="U22" i="9"/>
  <c r="AC22" i="9"/>
  <c r="AF22" i="9"/>
  <c r="AI22" i="9"/>
  <c r="BC22" i="9"/>
  <c r="AY22" i="9"/>
  <c r="AB22" i="9"/>
  <c r="T22" i="9"/>
  <c r="AR22" i="9"/>
  <c r="BD22" i="9"/>
  <c r="AK22" i="9"/>
  <c r="AP22" i="9"/>
  <c r="AX22" i="9"/>
  <c r="X22" i="9"/>
  <c r="BA22" i="9"/>
  <c r="P22" i="9"/>
  <c r="AT22" i="9"/>
  <c r="AV22" i="9"/>
  <c r="AH22" i="9"/>
  <c r="AU22" i="9"/>
  <c r="BE22" i="9"/>
  <c r="AD22" i="9"/>
  <c r="Z22" i="9"/>
  <c r="S22" i="9"/>
  <c r="AZ22" i="9"/>
  <c r="AM22" i="9"/>
  <c r="AO22" i="9"/>
  <c r="AJ22" i="9"/>
  <c r="T180" i="4"/>
  <c r="F22" i="9"/>
  <c r="L22" i="9"/>
  <c r="AN22" i="9"/>
  <c r="Z88" i="1"/>
  <c r="X88" i="1"/>
  <c r="Z89" i="13"/>
  <c r="Z84" i="13"/>
  <c r="R89" i="13"/>
  <c r="R84" i="13"/>
  <c r="X159" i="50"/>
  <c r="V35" i="7"/>
  <c r="AZ52" i="9"/>
  <c r="AZ37" i="9"/>
  <c r="X85" i="50"/>
  <c r="P85" i="50"/>
  <c r="F54" i="12"/>
  <c r="D54" i="12"/>
  <c r="D53" i="2"/>
  <c r="AB160" i="13"/>
  <c r="P160" i="13"/>
  <c r="D100" i="2"/>
  <c r="AE52" i="49"/>
  <c r="AE37" i="49"/>
  <c r="R89" i="1"/>
  <c r="R178" i="50"/>
  <c r="R176" i="50"/>
  <c r="Z97" i="50"/>
  <c r="F97" i="50"/>
  <c r="T35" i="13"/>
  <c r="T33" i="13"/>
  <c r="AD33" i="7"/>
  <c r="AD77" i="7"/>
  <c r="AD79" i="7"/>
  <c r="AD92" i="7"/>
  <c r="AD97" i="7"/>
  <c r="AQ24" i="49"/>
  <c r="AQ20" i="49"/>
  <c r="AK52" i="49"/>
  <c r="AK37" i="49"/>
  <c r="T24" i="9"/>
  <c r="T20" i="9"/>
  <c r="Z57" i="1"/>
  <c r="X57" i="1"/>
  <c r="AU34" i="9"/>
  <c r="AU27" i="9"/>
  <c r="R110" i="7"/>
  <c r="R108" i="7"/>
  <c r="H61" i="12"/>
  <c r="H60" i="12"/>
  <c r="AH35" i="7"/>
  <c r="AB33" i="7"/>
  <c r="AB35" i="7"/>
  <c r="AI34" i="49"/>
  <c r="AI27" i="49"/>
  <c r="BD34" i="49"/>
  <c r="BD27" i="49"/>
  <c r="AV34" i="9"/>
  <c r="AV27" i="9"/>
  <c r="AD77" i="13"/>
  <c r="V110" i="7"/>
  <c r="V108" i="7"/>
  <c r="L61" i="12"/>
  <c r="L60" i="12"/>
  <c r="BE24" i="49"/>
  <c r="BE20" i="49"/>
  <c r="D56" i="10"/>
  <c r="AE34" i="49"/>
  <c r="AE27" i="49"/>
  <c r="Z92" i="1"/>
  <c r="X92" i="1"/>
  <c r="Z55" i="7"/>
  <c r="Z57" i="7"/>
  <c r="D34" i="49"/>
  <c r="D27" i="49"/>
  <c r="T89" i="7"/>
  <c r="T84" i="7"/>
  <c r="V97" i="1"/>
  <c r="D49" i="49"/>
  <c r="D49" i="9"/>
  <c r="R97" i="1"/>
  <c r="X86" i="50"/>
  <c r="P86" i="50"/>
  <c r="AD33" i="13"/>
  <c r="Z104" i="50"/>
  <c r="F104" i="50"/>
  <c r="Z159" i="50"/>
  <c r="AL88" i="7"/>
  <c r="D89" i="2"/>
  <c r="T57" i="13"/>
  <c r="T55" i="13"/>
  <c r="P35" i="7"/>
  <c r="AL110" i="7"/>
  <c r="F110" i="7"/>
  <c r="AH57" i="7"/>
  <c r="AH55" i="7"/>
  <c r="D46" i="9"/>
  <c r="D46" i="49"/>
  <c r="V178" i="7"/>
  <c r="V176" i="7"/>
  <c r="L16" i="12"/>
  <c r="AR46" i="12"/>
  <c r="AR47" i="12"/>
  <c r="AR49" i="12"/>
  <c r="T39" i="12"/>
  <c r="T40" i="12"/>
  <c r="AD103" i="7"/>
  <c r="AD104" i="7"/>
  <c r="X159" i="1"/>
  <c r="Z159" i="1"/>
  <c r="R180" i="1"/>
  <c r="R164" i="1"/>
  <c r="D19" i="14"/>
  <c r="D62" i="2"/>
  <c r="AG52" i="49"/>
  <c r="AG37" i="49"/>
  <c r="AD180" i="13"/>
  <c r="F180" i="13"/>
  <c r="T160" i="50"/>
  <c r="T164" i="4"/>
  <c r="D22" i="9"/>
  <c r="D22" i="49"/>
  <c r="AY57" i="9"/>
  <c r="AY54" i="9"/>
  <c r="AY17" i="9"/>
  <c r="AY11" i="9"/>
  <c r="D37" i="9"/>
  <c r="D52" i="9"/>
  <c r="F34" i="9"/>
  <c r="D88" i="2"/>
  <c r="Z86" i="4"/>
  <c r="P57" i="50"/>
  <c r="AB34" i="9"/>
  <c r="AB27" i="9"/>
  <c r="AC24" i="9"/>
  <c r="AC20" i="9"/>
  <c r="R77" i="7"/>
  <c r="R79" i="7"/>
  <c r="R92" i="7"/>
  <c r="R97" i="7"/>
  <c r="T108" i="50"/>
  <c r="T110" i="50"/>
  <c r="AD88" i="13"/>
  <c r="T180" i="1"/>
  <c r="T164" i="1"/>
  <c r="Z159" i="4"/>
  <c r="P57" i="1"/>
  <c r="Z57" i="4"/>
  <c r="F57" i="4"/>
  <c r="D39" i="49"/>
  <c r="D39" i="9"/>
  <c r="V180" i="7"/>
  <c r="AB57" i="13"/>
  <c r="AB55" i="13"/>
  <c r="P55" i="50"/>
  <c r="X55" i="50"/>
  <c r="X57" i="50"/>
  <c r="Z57" i="13"/>
  <c r="Z55" i="13"/>
  <c r="P84" i="13"/>
  <c r="AB84" i="13"/>
  <c r="AB89" i="13"/>
  <c r="BC52" i="49"/>
  <c r="BC37" i="49"/>
  <c r="AJ46" i="12"/>
  <c r="AJ47" i="12"/>
  <c r="AJ49" i="12"/>
  <c r="L39" i="12"/>
  <c r="L40" i="12"/>
  <c r="V33" i="7"/>
  <c r="V77" i="7"/>
  <c r="V79" i="7"/>
  <c r="V92" i="7"/>
  <c r="V97" i="7"/>
  <c r="Z86" i="50"/>
  <c r="D92" i="2"/>
  <c r="Z85" i="50"/>
  <c r="D42" i="12"/>
  <c r="R57" i="4"/>
  <c r="R55" i="4"/>
  <c r="Z162" i="50"/>
  <c r="D40" i="12"/>
  <c r="V159" i="50"/>
  <c r="V162" i="50"/>
  <c r="V164" i="50"/>
  <c r="V180" i="50"/>
  <c r="P35" i="4"/>
  <c r="D16" i="12"/>
  <c r="AF34" i="9"/>
  <c r="AF27" i="9"/>
  <c r="L35" i="50"/>
  <c r="V86" i="4"/>
  <c r="T86" i="4"/>
  <c r="R86" i="4"/>
  <c r="AN46" i="12"/>
  <c r="AN47" i="12"/>
  <c r="AN49" i="12"/>
  <c r="P39" i="12"/>
  <c r="P40" i="12"/>
  <c r="Z33" i="7"/>
  <c r="Z35" i="7"/>
  <c r="AL160" i="7"/>
  <c r="F160" i="7"/>
  <c r="L160" i="7"/>
  <c r="AJ159" i="7"/>
  <c r="X97" i="4"/>
  <c r="P97" i="4"/>
  <c r="D48" i="9"/>
  <c r="D48" i="49"/>
  <c r="Z108" i="4"/>
  <c r="R92" i="1"/>
  <c r="H100" i="2"/>
  <c r="H101" i="2"/>
  <c r="R108" i="1"/>
  <c r="F108" i="4"/>
  <c r="L108" i="4"/>
  <c r="L33" i="50"/>
  <c r="V33" i="50"/>
  <c r="V35" i="50"/>
  <c r="L159" i="4"/>
  <c r="L162" i="4"/>
  <c r="L164" i="4"/>
  <c r="L180" i="4"/>
  <c r="AN160" i="4"/>
  <c r="AN162" i="4"/>
  <c r="J19" i="14"/>
  <c r="T172" i="13"/>
  <c r="T178" i="13"/>
  <c r="R160" i="13"/>
  <c r="X160" i="13"/>
  <c r="T160" i="13"/>
  <c r="V160" i="13"/>
  <c r="L160" i="13"/>
  <c r="Z160" i="13"/>
  <c r="AL159" i="7"/>
  <c r="R57" i="1"/>
  <c r="D21" i="51"/>
  <c r="T34" i="49"/>
  <c r="T27" i="49"/>
  <c r="R110" i="4"/>
  <c r="R77" i="4"/>
  <c r="R79" i="4"/>
  <c r="R92" i="4"/>
  <c r="H71" i="10"/>
  <c r="H72" i="10"/>
  <c r="R108" i="4"/>
  <c r="BE52" i="49"/>
  <c r="BE37" i="49"/>
  <c r="R86" i="1"/>
  <c r="F86" i="4"/>
  <c r="L86" i="4"/>
  <c r="P86" i="4"/>
  <c r="X86" i="4"/>
  <c r="N15" i="12"/>
  <c r="N16" i="12"/>
  <c r="X176" i="7"/>
  <c r="X178" i="7"/>
  <c r="X57" i="13"/>
  <c r="X55" i="13"/>
  <c r="AA23" i="9"/>
  <c r="U23" i="9"/>
  <c r="T23" i="9"/>
  <c r="BA23" i="9"/>
  <c r="AK23" i="9"/>
  <c r="BB23" i="9"/>
  <c r="R23" i="9"/>
  <c r="AS23" i="9"/>
  <c r="AI23" i="9"/>
  <c r="Z23" i="9"/>
  <c r="V23" i="9"/>
  <c r="AN23" i="9"/>
  <c r="BC23" i="9"/>
  <c r="AD23" i="9"/>
  <c r="AV23" i="9"/>
  <c r="AO23" i="9"/>
  <c r="AC23" i="9"/>
  <c r="AR23" i="9"/>
  <c r="S23" i="9"/>
  <c r="AF23" i="9"/>
  <c r="AJ23" i="9"/>
  <c r="AH23" i="9"/>
  <c r="AU23" i="9"/>
  <c r="AG23" i="9"/>
  <c r="BD23" i="9"/>
  <c r="AT23" i="9"/>
  <c r="P23" i="9"/>
  <c r="AM23" i="9"/>
  <c r="AE23" i="9"/>
  <c r="AY23" i="9"/>
  <c r="AQ23" i="9"/>
  <c r="AW23" i="9"/>
  <c r="AZ23" i="9"/>
  <c r="AB23" i="9"/>
  <c r="W23" i="9"/>
  <c r="AP23" i="9"/>
  <c r="Q23" i="9"/>
  <c r="BE23" i="9"/>
  <c r="AL23" i="9"/>
  <c r="AX23" i="9"/>
  <c r="X23" i="9"/>
  <c r="V180" i="4"/>
  <c r="F23" i="9"/>
  <c r="L23" i="9"/>
  <c r="Y23" i="9"/>
  <c r="T28" i="9"/>
  <c r="S28" i="9"/>
  <c r="AG28" i="9"/>
  <c r="AC28" i="9"/>
  <c r="R28" i="9"/>
  <c r="Z28" i="9"/>
  <c r="X28" i="9"/>
  <c r="AN28" i="9"/>
  <c r="AY28" i="9"/>
  <c r="AS28" i="9"/>
  <c r="AF28" i="9"/>
  <c r="AZ28" i="9"/>
  <c r="AM28" i="9"/>
  <c r="AR28" i="9"/>
  <c r="AJ28" i="9"/>
  <c r="AQ28" i="9"/>
  <c r="AL28" i="9"/>
  <c r="AK28" i="9"/>
  <c r="AP28" i="9"/>
  <c r="BB28" i="9"/>
  <c r="BC28" i="9"/>
  <c r="AV28" i="9"/>
  <c r="AA28" i="9"/>
  <c r="AW28" i="9"/>
  <c r="AB28" i="9"/>
  <c r="AD28" i="9"/>
  <c r="AX28" i="9"/>
  <c r="BD28" i="9"/>
  <c r="BA28" i="9"/>
  <c r="P28" i="9"/>
  <c r="Y28" i="9"/>
  <c r="BE28" i="9"/>
  <c r="AH28" i="9"/>
  <c r="AO28" i="9"/>
  <c r="U28" i="9"/>
  <c r="AU28" i="9"/>
  <c r="AE28" i="9"/>
  <c r="V28" i="9"/>
  <c r="AT28" i="9"/>
  <c r="Q28" i="9"/>
  <c r="AI28" i="9"/>
  <c r="R164" i="5"/>
  <c r="R180" i="5"/>
  <c r="F28" i="9"/>
  <c r="L28" i="9"/>
  <c r="W28" i="9"/>
  <c r="AB29" i="9"/>
  <c r="BA29" i="9"/>
  <c r="AN29" i="9"/>
  <c r="BE29" i="9"/>
  <c r="AS29" i="9"/>
  <c r="AD29" i="9"/>
  <c r="AX29" i="9"/>
  <c r="BC29" i="9"/>
  <c r="V29" i="9"/>
  <c r="U29" i="9"/>
  <c r="AT29" i="9"/>
  <c r="R29" i="9"/>
  <c r="S29" i="9"/>
  <c r="Y29" i="9"/>
  <c r="BD29" i="9"/>
  <c r="P29" i="9"/>
  <c r="Q29" i="9"/>
  <c r="AW29" i="9"/>
  <c r="AR29" i="9"/>
  <c r="AM29" i="9"/>
  <c r="AZ29" i="9"/>
  <c r="AE29" i="9"/>
  <c r="AO29" i="9"/>
  <c r="W29" i="9"/>
  <c r="AG29" i="9"/>
  <c r="AA29" i="9"/>
  <c r="Z29" i="9"/>
  <c r="X29" i="9"/>
  <c r="BB29" i="9"/>
  <c r="AJ29" i="9"/>
  <c r="AH29" i="9"/>
  <c r="AC29" i="9"/>
  <c r="AK29" i="9"/>
  <c r="AV29" i="9"/>
  <c r="AI29" i="9"/>
  <c r="AF29" i="9"/>
  <c r="AU29" i="9"/>
  <c r="AP29" i="9"/>
  <c r="AL29" i="9"/>
  <c r="AQ29" i="9"/>
  <c r="AY29" i="9"/>
  <c r="T164" i="5"/>
  <c r="T180" i="5"/>
  <c r="F29" i="9"/>
  <c r="L29" i="9"/>
  <c r="T29" i="9"/>
  <c r="F35" i="13"/>
  <c r="AD35" i="13"/>
  <c r="AF46" i="12"/>
  <c r="AF47" i="12"/>
  <c r="AF49" i="12"/>
  <c r="H39" i="12"/>
  <c r="H40" i="12"/>
  <c r="R33" i="7"/>
  <c r="R35" i="7"/>
  <c r="T86" i="50"/>
  <c r="R86" i="50"/>
  <c r="L86" i="7"/>
  <c r="AF86" i="7"/>
  <c r="F86" i="50"/>
  <c r="L86" i="50"/>
  <c r="V86" i="50"/>
  <c r="R88" i="13"/>
  <c r="T88" i="13"/>
  <c r="Z88" i="13"/>
  <c r="X88" i="13"/>
  <c r="V88" i="13"/>
  <c r="AF103" i="7"/>
  <c r="F103" i="50"/>
  <c r="Z103" i="50"/>
  <c r="T89" i="50"/>
  <c r="T84" i="50"/>
  <c r="D59" i="10"/>
  <c r="X33" i="4"/>
  <c r="X35" i="4"/>
  <c r="V85" i="50"/>
  <c r="R85" i="50"/>
  <c r="AF85" i="7"/>
  <c r="F85" i="50"/>
  <c r="L85" i="50"/>
  <c r="T85" i="50"/>
  <c r="AT30" i="9"/>
  <c r="AZ30" i="9"/>
  <c r="Q30" i="9"/>
  <c r="R30" i="9"/>
  <c r="W30" i="9"/>
  <c r="S30" i="9"/>
  <c r="AJ30" i="9"/>
  <c r="AO30" i="9"/>
  <c r="AV30" i="9"/>
  <c r="AC30" i="9"/>
  <c r="AU30" i="9"/>
  <c r="Z30" i="9"/>
  <c r="AL30" i="9"/>
  <c r="AH30" i="9"/>
  <c r="AG30" i="9"/>
  <c r="AD30" i="9"/>
  <c r="AS30" i="9"/>
  <c r="AM30" i="9"/>
  <c r="BB30" i="9"/>
  <c r="AR30" i="9"/>
  <c r="AN30" i="9"/>
  <c r="BE30" i="9"/>
  <c r="X30" i="9"/>
  <c r="AI30" i="9"/>
  <c r="AW30" i="9"/>
  <c r="P30" i="9"/>
  <c r="BD30" i="9"/>
  <c r="AB30" i="9"/>
  <c r="AK30" i="9"/>
  <c r="BC30" i="9"/>
  <c r="AA30" i="9"/>
  <c r="AY30" i="9"/>
  <c r="Y30" i="9"/>
  <c r="AQ30" i="9"/>
  <c r="AF30" i="9"/>
  <c r="AE30" i="9"/>
  <c r="AX30" i="9"/>
  <c r="AP30" i="9"/>
  <c r="V30" i="9"/>
  <c r="BA30" i="9"/>
  <c r="U30" i="9"/>
  <c r="V164" i="5"/>
  <c r="V180" i="5"/>
  <c r="F30" i="9"/>
  <c r="L30" i="9"/>
  <c r="T30" i="9"/>
  <c r="D43" i="12"/>
  <c r="AD159" i="13"/>
  <c r="V110" i="1"/>
  <c r="F19" i="14"/>
  <c r="P172" i="13"/>
  <c r="P178" i="13"/>
  <c r="AB35" i="13"/>
  <c r="AB33" i="13"/>
  <c r="F92" i="50"/>
  <c r="Z92" i="50"/>
  <c r="V86" i="1"/>
  <c r="F86" i="7"/>
  <c r="AL86" i="7"/>
  <c r="Z34" i="49"/>
  <c r="Z27" i="49"/>
  <c r="AD77" i="5"/>
  <c r="AD79" i="5"/>
  <c r="AD92" i="5"/>
  <c r="P88" i="1"/>
  <c r="F88" i="13"/>
  <c r="L88" i="13"/>
  <c r="P88" i="13"/>
  <c r="AB88" i="13"/>
  <c r="D18" i="51"/>
  <c r="P55" i="13"/>
  <c r="P57" i="13"/>
  <c r="AB31" i="9"/>
  <c r="X31" i="9"/>
  <c r="BE31" i="9"/>
  <c r="AX31" i="9"/>
  <c r="BB31" i="9"/>
  <c r="Z31" i="9"/>
  <c r="AR31" i="9"/>
  <c r="AG31" i="9"/>
  <c r="BC31" i="9"/>
  <c r="AQ31" i="9"/>
  <c r="AW31" i="9"/>
  <c r="Q31" i="9"/>
  <c r="AI31" i="9"/>
  <c r="Y31" i="9"/>
  <c r="U31" i="9"/>
  <c r="AZ31" i="9"/>
  <c r="AD31" i="9"/>
  <c r="AV31" i="9"/>
  <c r="AP31" i="9"/>
  <c r="P31" i="9"/>
  <c r="AE31" i="9"/>
  <c r="AS31" i="9"/>
  <c r="AY31" i="9"/>
  <c r="BD31" i="9"/>
  <c r="W31" i="9"/>
  <c r="V31" i="9"/>
  <c r="AJ31" i="9"/>
  <c r="S31" i="9"/>
  <c r="T31" i="9"/>
  <c r="R31" i="9"/>
  <c r="AA31" i="9"/>
  <c r="AM31" i="9"/>
  <c r="AT31" i="9"/>
  <c r="AC31" i="9"/>
  <c r="AL31" i="9"/>
  <c r="AU31" i="9"/>
  <c r="AO31" i="9"/>
  <c r="BA31" i="9"/>
  <c r="AF31" i="9"/>
  <c r="AN31" i="9"/>
  <c r="AH31" i="9"/>
  <c r="X164" i="5"/>
  <c r="X180" i="5"/>
  <c r="F31" i="9"/>
  <c r="L31" i="9"/>
  <c r="AK31" i="9"/>
  <c r="P57" i="9"/>
  <c r="P54" i="9"/>
  <c r="P17" i="9"/>
  <c r="P11" i="9"/>
  <c r="P24" i="49"/>
  <c r="P20" i="49"/>
  <c r="AL24" i="9"/>
  <c r="AL20" i="9"/>
  <c r="AK160" i="4"/>
  <c r="Z110" i="50"/>
  <c r="F110" i="50"/>
  <c r="AO162" i="7"/>
  <c r="AF89" i="7"/>
  <c r="AM34" i="9"/>
  <c r="AM27" i="9"/>
  <c r="X97" i="50"/>
  <c r="P97" i="50"/>
  <c r="P92" i="50"/>
  <c r="P79" i="50"/>
  <c r="P77" i="50"/>
  <c r="AU56" i="9"/>
  <c r="AU54" i="49"/>
  <c r="AU17" i="49"/>
  <c r="AU11" i="49"/>
  <c r="F24" i="9"/>
  <c r="Z110" i="1"/>
  <c r="X110" i="1"/>
  <c r="AZ52" i="49"/>
  <c r="AZ37" i="49"/>
  <c r="AC34" i="9"/>
  <c r="AC27" i="9"/>
  <c r="AF79" i="7"/>
  <c r="AF92" i="7"/>
  <c r="V60" i="12"/>
  <c r="V61" i="12"/>
  <c r="AF108" i="7"/>
  <c r="F108" i="50"/>
  <c r="Z108" i="50"/>
  <c r="X79" i="1"/>
  <c r="Z79" i="1"/>
  <c r="X85" i="4"/>
  <c r="P85" i="4"/>
  <c r="X108" i="1"/>
  <c r="Z108" i="1"/>
  <c r="AU24" i="9"/>
  <c r="AU20" i="9"/>
  <c r="AD162" i="13"/>
  <c r="BD57" i="9"/>
  <c r="BD54" i="9"/>
  <c r="BD17" i="9"/>
  <c r="BD11" i="9"/>
  <c r="V24" i="9"/>
  <c r="V20" i="9"/>
  <c r="AL34" i="9"/>
  <c r="AL27" i="9"/>
  <c r="U24" i="9"/>
  <c r="U20" i="9"/>
  <c r="AD166" i="13"/>
  <c r="F166" i="13"/>
  <c r="R85" i="4"/>
  <c r="T85" i="4"/>
  <c r="L85" i="4"/>
  <c r="V85" i="4"/>
  <c r="AJ162" i="7"/>
  <c r="AJ164" i="7"/>
  <c r="AJ180" i="7"/>
  <c r="T11" i="49"/>
  <c r="T17" i="49"/>
  <c r="T54" i="49"/>
  <c r="T56" i="9"/>
  <c r="V110" i="4"/>
  <c r="V108" i="4"/>
  <c r="L72" i="10"/>
  <c r="L71" i="10"/>
  <c r="AD97" i="5"/>
  <c r="P97" i="5"/>
  <c r="BE34" i="9"/>
  <c r="BE27" i="9"/>
  <c r="BA34" i="9"/>
  <c r="BA27" i="9"/>
  <c r="V97" i="13"/>
  <c r="V77" i="13"/>
  <c r="V79" i="13"/>
  <c r="V92" i="13"/>
  <c r="AY52" i="9"/>
  <c r="AY37" i="9"/>
  <c r="R85" i="1"/>
  <c r="F85" i="4"/>
  <c r="Z85" i="4"/>
  <c r="AJ52" i="49"/>
  <c r="AJ37" i="49"/>
  <c r="AP52" i="49"/>
  <c r="AP37" i="49"/>
  <c r="AE34" i="9"/>
  <c r="AE27" i="9"/>
  <c r="AW34" i="49"/>
  <c r="AW27" i="49"/>
  <c r="AG52" i="9"/>
  <c r="AG37" i="9"/>
  <c r="AD108" i="13"/>
  <c r="AG32" i="9"/>
  <c r="AH32" i="9"/>
  <c r="AA32" i="9"/>
  <c r="AS32" i="9"/>
  <c r="AY32" i="9"/>
  <c r="P32" i="9"/>
  <c r="T32" i="9"/>
  <c r="AN32" i="9"/>
  <c r="AL32" i="9"/>
  <c r="AM32" i="9"/>
  <c r="BA32" i="9"/>
  <c r="AO32" i="9"/>
  <c r="BC32" i="9"/>
  <c r="Y32" i="9"/>
  <c r="AB32" i="9"/>
  <c r="BB32" i="9"/>
  <c r="BD32" i="9"/>
  <c r="AF32" i="9"/>
  <c r="AK32" i="9"/>
  <c r="X32" i="9"/>
  <c r="AX32" i="9"/>
  <c r="AR32" i="9"/>
  <c r="Z32" i="9"/>
  <c r="R32" i="9"/>
  <c r="AT32" i="9"/>
  <c r="AU32" i="9"/>
  <c r="S32" i="9"/>
  <c r="AJ32" i="9"/>
  <c r="V32" i="9"/>
  <c r="BE32" i="9"/>
  <c r="AZ32" i="9"/>
  <c r="AV32" i="9"/>
  <c r="Q32" i="9"/>
  <c r="AP32" i="9"/>
  <c r="AI32" i="9"/>
  <c r="U32" i="9"/>
  <c r="AD32" i="9"/>
  <c r="AE32" i="9"/>
  <c r="AW32" i="9"/>
  <c r="AC32" i="9"/>
  <c r="AQ32" i="9"/>
  <c r="Z180" i="5"/>
  <c r="F32" i="9"/>
  <c r="L32" i="9"/>
  <c r="W32" i="9"/>
  <c r="P33" i="50"/>
  <c r="P35" i="50"/>
  <c r="AA33" i="9"/>
  <c r="AI33" i="9"/>
  <c r="X33" i="9"/>
  <c r="BC33" i="9"/>
  <c r="BB33" i="9"/>
  <c r="Y33" i="9"/>
  <c r="AB33" i="9"/>
  <c r="AG33" i="9"/>
  <c r="AJ33" i="9"/>
  <c r="AE33" i="9"/>
  <c r="AX33" i="9"/>
  <c r="AW33" i="9"/>
  <c r="AD33" i="9"/>
  <c r="AL33" i="9"/>
  <c r="AQ33" i="9"/>
  <c r="AR33" i="9"/>
  <c r="Z33" i="9"/>
  <c r="AH33" i="9"/>
  <c r="AZ33" i="9"/>
  <c r="BA33" i="9"/>
  <c r="T33" i="9"/>
  <c r="AP33" i="9"/>
  <c r="AM33" i="9"/>
  <c r="S33" i="9"/>
  <c r="AY33" i="9"/>
  <c r="AN33" i="9"/>
  <c r="Q33" i="9"/>
  <c r="AC33" i="9"/>
  <c r="P33" i="9"/>
  <c r="W33" i="9"/>
  <c r="AU33" i="9"/>
  <c r="BE33" i="9"/>
  <c r="AF33" i="9"/>
  <c r="AK33" i="9"/>
  <c r="AO33" i="9"/>
  <c r="AT33" i="9"/>
  <c r="R33" i="9"/>
  <c r="AV33" i="9"/>
  <c r="U33" i="9"/>
  <c r="BD33" i="9"/>
  <c r="AS33" i="9"/>
  <c r="AB164" i="5"/>
  <c r="AB180" i="5"/>
  <c r="F33" i="9"/>
  <c r="L33" i="9"/>
  <c r="V33" i="9"/>
  <c r="D20" i="9"/>
  <c r="D24" i="9"/>
  <c r="D25" i="9"/>
  <c r="R38" i="9"/>
  <c r="AQ38" i="9"/>
  <c r="BC38" i="9"/>
  <c r="AY38" i="9"/>
  <c r="AJ38" i="9"/>
  <c r="BE38" i="9"/>
  <c r="S38" i="9"/>
  <c r="AG38" i="9"/>
  <c r="BB38" i="9"/>
  <c r="W38" i="9"/>
  <c r="AA38" i="9"/>
  <c r="AI38" i="9"/>
  <c r="Q38" i="9"/>
  <c r="AP38" i="9"/>
  <c r="P38" i="9"/>
  <c r="Y38" i="9"/>
  <c r="AL38" i="9"/>
  <c r="AZ38" i="9"/>
  <c r="AM38" i="9"/>
  <c r="X38" i="9"/>
  <c r="U38" i="9"/>
  <c r="AB38" i="9"/>
  <c r="V38" i="9"/>
  <c r="AX38" i="9"/>
  <c r="AC38" i="9"/>
  <c r="AW38" i="9"/>
  <c r="BD38" i="9"/>
  <c r="BA38" i="9"/>
  <c r="AT38" i="9"/>
  <c r="AU38" i="9"/>
  <c r="AK38" i="9"/>
  <c r="Z38" i="9"/>
  <c r="AH38" i="9"/>
  <c r="AE38" i="9"/>
  <c r="T38" i="9"/>
  <c r="AR38" i="9"/>
  <c r="AD38" i="9"/>
  <c r="AS38" i="9"/>
  <c r="AN38" i="9"/>
  <c r="AF38" i="9"/>
  <c r="AO38" i="9"/>
  <c r="R162" i="7"/>
  <c r="R164" i="7"/>
  <c r="R180" i="7"/>
  <c r="F38" i="9"/>
  <c r="L38" i="9"/>
  <c r="AV38" i="9"/>
  <c r="BD39" i="9"/>
  <c r="AN39" i="9"/>
  <c r="AT39" i="9"/>
  <c r="AW39" i="9"/>
  <c r="V39" i="9"/>
  <c r="Y39" i="9"/>
  <c r="AE39" i="9"/>
  <c r="AZ39" i="9"/>
  <c r="U39" i="9"/>
  <c r="AK39" i="9"/>
  <c r="AY39" i="9"/>
  <c r="AV39" i="9"/>
  <c r="AQ39" i="9"/>
  <c r="R39" i="9"/>
  <c r="AS39" i="9"/>
  <c r="AO39" i="9"/>
  <c r="S39" i="9"/>
  <c r="AR39" i="9"/>
  <c r="AX39" i="9"/>
  <c r="AG39" i="9"/>
  <c r="AL39" i="9"/>
  <c r="BC39" i="9"/>
  <c r="AI39" i="9"/>
  <c r="AJ39" i="9"/>
  <c r="P39" i="9"/>
  <c r="AA39" i="9"/>
  <c r="BA39" i="9"/>
  <c r="T39" i="9"/>
  <c r="AU39" i="9"/>
  <c r="AM39" i="9"/>
  <c r="X39" i="9"/>
  <c r="BE39" i="9"/>
  <c r="AF39" i="9"/>
  <c r="Z39" i="9"/>
  <c r="AP39" i="9"/>
  <c r="AB39" i="9"/>
  <c r="AH39" i="9"/>
  <c r="Q39" i="9"/>
  <c r="W39" i="9"/>
  <c r="AC39" i="9"/>
  <c r="AD39" i="9"/>
  <c r="T180" i="7"/>
  <c r="F39" i="9"/>
  <c r="L39" i="9"/>
  <c r="BB39" i="9"/>
  <c r="U42" i="9"/>
  <c r="AV42" i="9"/>
  <c r="AQ42" i="9"/>
  <c r="Z42" i="9"/>
  <c r="AU42" i="9"/>
  <c r="AJ42" i="9"/>
  <c r="AK42" i="9"/>
  <c r="AG42" i="9"/>
  <c r="P42" i="9"/>
  <c r="AZ42" i="9"/>
  <c r="S42" i="9"/>
  <c r="T42" i="9"/>
  <c r="AE42" i="9"/>
  <c r="W42" i="9"/>
  <c r="AX42" i="9"/>
  <c r="R42" i="9"/>
  <c r="BD42" i="9"/>
  <c r="AY42" i="9"/>
  <c r="AR42" i="9"/>
  <c r="AM42" i="9"/>
  <c r="AD42" i="9"/>
  <c r="Q42" i="9"/>
  <c r="BB42" i="9"/>
  <c r="AB42" i="9"/>
  <c r="AO42" i="9"/>
  <c r="AW42" i="9"/>
  <c r="AN42" i="9"/>
  <c r="BA42" i="9"/>
  <c r="BC42" i="9"/>
  <c r="BE42" i="9"/>
  <c r="AS42" i="9"/>
  <c r="AT42" i="9"/>
  <c r="AC42" i="9"/>
  <c r="AI42" i="9"/>
  <c r="AF42" i="9"/>
  <c r="AH42" i="9"/>
  <c r="V42" i="9"/>
  <c r="Y42" i="9"/>
  <c r="AL42" i="9"/>
  <c r="AP42" i="9"/>
  <c r="AA42" i="9"/>
  <c r="V162" i="7"/>
  <c r="V164" i="7"/>
  <c r="D42" i="9"/>
  <c r="F42" i="9"/>
  <c r="L42" i="9"/>
  <c r="X42" i="9"/>
  <c r="AA43" i="9"/>
  <c r="AK43" i="9"/>
  <c r="R43" i="9"/>
  <c r="AH43" i="9"/>
  <c r="S43" i="9"/>
  <c r="AI43" i="9"/>
  <c r="BD43" i="9"/>
  <c r="P43" i="9"/>
  <c r="U43" i="9"/>
  <c r="AN43" i="9"/>
  <c r="Y43" i="9"/>
  <c r="AL43" i="9"/>
  <c r="AC43" i="9"/>
  <c r="AX43" i="9"/>
  <c r="AG43" i="9"/>
  <c r="AV43" i="9"/>
  <c r="AE43" i="9"/>
  <c r="AS43" i="9"/>
  <c r="BE43" i="9"/>
  <c r="Z43" i="9"/>
  <c r="AF43" i="9"/>
  <c r="V43" i="9"/>
  <c r="AD43" i="9"/>
  <c r="BC43" i="9"/>
  <c r="AY43" i="9"/>
  <c r="AW43" i="9"/>
  <c r="AU43" i="9"/>
  <c r="AO43" i="9"/>
  <c r="AZ43" i="9"/>
  <c r="T43" i="9"/>
  <c r="AM43" i="9"/>
  <c r="AJ43" i="9"/>
  <c r="W43" i="9"/>
  <c r="AT43" i="9"/>
  <c r="BA43" i="9"/>
  <c r="AP43" i="9"/>
  <c r="AB43" i="9"/>
  <c r="X43" i="9"/>
  <c r="Q43" i="9"/>
  <c r="AR43" i="9"/>
  <c r="BB43" i="9"/>
  <c r="X180" i="7"/>
  <c r="F43" i="9"/>
  <c r="L43" i="9"/>
  <c r="AQ43" i="9"/>
  <c r="BA44" i="9"/>
  <c r="AG44" i="9"/>
  <c r="AY44" i="9"/>
  <c r="AK44" i="9"/>
  <c r="AS44" i="9"/>
  <c r="R44" i="9"/>
  <c r="T44" i="9"/>
  <c r="AV44" i="9"/>
  <c r="AD44" i="9"/>
  <c r="AC44" i="9"/>
  <c r="AB44" i="9"/>
  <c r="AO44" i="9"/>
  <c r="BB44" i="9"/>
  <c r="AJ44" i="9"/>
  <c r="AE44" i="9"/>
  <c r="AA44" i="9"/>
  <c r="AR44" i="9"/>
  <c r="W44" i="9"/>
  <c r="AN44" i="9"/>
  <c r="BE44" i="9"/>
  <c r="AU44" i="9"/>
  <c r="P44" i="9"/>
  <c r="V44" i="9"/>
  <c r="Y44" i="9"/>
  <c r="AZ44" i="9"/>
  <c r="AQ44" i="9"/>
  <c r="AP44" i="9"/>
  <c r="AM44" i="9"/>
  <c r="AT44" i="9"/>
  <c r="AL44" i="9"/>
  <c r="X44" i="9"/>
  <c r="AH44" i="9"/>
  <c r="AI44" i="9"/>
  <c r="S44" i="9"/>
  <c r="BD44" i="9"/>
  <c r="AX44" i="9"/>
  <c r="BC44" i="9"/>
  <c r="U44" i="9"/>
  <c r="AW44" i="9"/>
  <c r="AF44" i="9"/>
  <c r="Z44" i="9"/>
  <c r="Z180" i="7"/>
  <c r="F44" i="9"/>
  <c r="L44" i="9"/>
  <c r="Q44" i="9"/>
  <c r="BC45" i="9"/>
  <c r="AA45" i="9"/>
  <c r="Q45" i="9"/>
  <c r="AZ45" i="9"/>
  <c r="U45" i="9"/>
  <c r="AH45" i="9"/>
  <c r="W45" i="9"/>
  <c r="Z45" i="9"/>
  <c r="P45" i="9"/>
  <c r="AE45" i="9"/>
  <c r="BB45" i="9"/>
  <c r="AK45" i="9"/>
  <c r="AC45" i="9"/>
  <c r="AP45" i="9"/>
  <c r="AJ45" i="9"/>
  <c r="AF45" i="9"/>
  <c r="AR45" i="9"/>
  <c r="BD45" i="9"/>
  <c r="AQ45" i="9"/>
  <c r="BA45" i="9"/>
  <c r="T45" i="9"/>
  <c r="AG45" i="9"/>
  <c r="BE45" i="9"/>
  <c r="X45" i="9"/>
  <c r="AU45" i="9"/>
  <c r="AW45" i="9"/>
  <c r="AI45" i="9"/>
  <c r="AT45" i="9"/>
  <c r="AV45" i="9"/>
  <c r="AB45" i="9"/>
  <c r="AO45" i="9"/>
  <c r="AN45" i="9"/>
  <c r="V45" i="9"/>
  <c r="AS45" i="9"/>
  <c r="AY45" i="9"/>
  <c r="Y45" i="9"/>
  <c r="AM45" i="9"/>
  <c r="AX45" i="9"/>
  <c r="S45" i="9"/>
  <c r="AD45" i="9"/>
  <c r="AL45" i="9"/>
  <c r="AB180" i="7"/>
  <c r="F45" i="9"/>
  <c r="L45" i="9"/>
  <c r="R45" i="9"/>
  <c r="P46" i="9"/>
  <c r="BD46" i="9"/>
  <c r="BB46" i="9"/>
  <c r="AQ46" i="9"/>
  <c r="AN46" i="9"/>
  <c r="BE46" i="9"/>
  <c r="AG46" i="9"/>
  <c r="AP46" i="9"/>
  <c r="T46" i="9"/>
  <c r="AF46" i="9"/>
  <c r="AB46" i="9"/>
  <c r="AW46" i="9"/>
  <c r="V46" i="9"/>
  <c r="AE46" i="9"/>
  <c r="AI46" i="9"/>
  <c r="AC46" i="9"/>
  <c r="AY46" i="9"/>
  <c r="BA46" i="9"/>
  <c r="Y46" i="9"/>
  <c r="AM46" i="9"/>
  <c r="AR46" i="9"/>
  <c r="AU46" i="9"/>
  <c r="AV46" i="9"/>
  <c r="AO46" i="9"/>
  <c r="AK46" i="9"/>
  <c r="AT46" i="9"/>
  <c r="AA46" i="9"/>
  <c r="W46" i="9"/>
  <c r="AL46" i="9"/>
  <c r="AD46" i="9"/>
  <c r="AJ46" i="9"/>
  <c r="U46" i="9"/>
  <c r="R46" i="9"/>
  <c r="X46" i="9"/>
  <c r="AZ46" i="9"/>
  <c r="AH46" i="9"/>
  <c r="Q46" i="9"/>
  <c r="BC46" i="9"/>
  <c r="AX46" i="9"/>
  <c r="Z46" i="9"/>
  <c r="AS46" i="9"/>
  <c r="AD162" i="7"/>
  <c r="AD164" i="7"/>
  <c r="AD180" i="7"/>
  <c r="F46" i="9"/>
  <c r="L46" i="9"/>
  <c r="S46" i="9"/>
  <c r="AW48" i="9"/>
  <c r="AS48" i="9"/>
  <c r="AG48" i="9"/>
  <c r="AA48" i="9"/>
  <c r="Z48" i="9"/>
  <c r="AH48" i="9"/>
  <c r="AO48" i="9"/>
  <c r="AE48" i="9"/>
  <c r="BC48" i="9"/>
  <c r="AU48" i="9"/>
  <c r="W48" i="9"/>
  <c r="AP48" i="9"/>
  <c r="AL48" i="9"/>
  <c r="AB48" i="9"/>
  <c r="AQ48" i="9"/>
  <c r="AI48" i="9"/>
  <c r="AD48" i="9"/>
  <c r="P48" i="9"/>
  <c r="AK48" i="9"/>
  <c r="AJ48" i="9"/>
  <c r="BB48" i="9"/>
  <c r="AZ48" i="9"/>
  <c r="AX48" i="9"/>
  <c r="AR48" i="9"/>
  <c r="S48" i="9"/>
  <c r="AM48" i="9"/>
  <c r="BA48" i="9"/>
  <c r="X48" i="9"/>
  <c r="BE48" i="9"/>
  <c r="T48" i="9"/>
  <c r="Q48" i="9"/>
  <c r="AN48" i="9"/>
  <c r="AY48" i="9"/>
  <c r="V48" i="9"/>
  <c r="BD48" i="9"/>
  <c r="R48" i="9"/>
  <c r="AV48" i="9"/>
  <c r="AC48" i="9"/>
  <c r="AT48" i="9"/>
  <c r="U48" i="9"/>
  <c r="Y48" i="9"/>
  <c r="P164" i="50"/>
  <c r="P180" i="50"/>
  <c r="F48" i="9"/>
  <c r="L48" i="9"/>
  <c r="AF48" i="9"/>
  <c r="AB57" i="9"/>
  <c r="AB11" i="9"/>
  <c r="AB17" i="9"/>
  <c r="AB54" i="9"/>
  <c r="P34" i="9"/>
  <c r="P27" i="9"/>
  <c r="AH103" i="7"/>
  <c r="AH104" i="7"/>
  <c r="R178" i="13"/>
  <c r="H19" i="14"/>
  <c r="R172" i="13"/>
  <c r="AP56" i="9"/>
  <c r="AP11" i="49"/>
  <c r="AP17" i="49"/>
  <c r="AP54" i="49"/>
  <c r="F110" i="13"/>
  <c r="AD110" i="13"/>
  <c r="AD79" i="13"/>
  <c r="Y49" i="9"/>
  <c r="AT49" i="9"/>
  <c r="AG49" i="9"/>
  <c r="Q49" i="9"/>
  <c r="S49" i="9"/>
  <c r="AV49" i="9"/>
  <c r="AX49" i="9"/>
  <c r="T49" i="9"/>
  <c r="BD49" i="9"/>
  <c r="AF49" i="9"/>
  <c r="AP49" i="9"/>
  <c r="AW49" i="9"/>
  <c r="BB49" i="9"/>
  <c r="BC49" i="9"/>
  <c r="AH49" i="9"/>
  <c r="AB49" i="9"/>
  <c r="AJ49" i="9"/>
  <c r="AI49" i="9"/>
  <c r="AS49" i="9"/>
  <c r="BA49" i="9"/>
  <c r="R49" i="9"/>
  <c r="BE49" i="9"/>
  <c r="AY49" i="9"/>
  <c r="AC49" i="9"/>
  <c r="AD49" i="9"/>
  <c r="W49" i="9"/>
  <c r="AO49" i="9"/>
  <c r="X49" i="9"/>
  <c r="V49" i="9"/>
  <c r="Z49" i="9"/>
  <c r="AU49" i="9"/>
  <c r="AM49" i="9"/>
  <c r="AN49" i="9"/>
  <c r="AQ49" i="9"/>
  <c r="AA49" i="9"/>
  <c r="AL49" i="9"/>
  <c r="AE49" i="9"/>
  <c r="AZ49" i="9"/>
  <c r="P49" i="9"/>
  <c r="AR49" i="9"/>
  <c r="U49" i="9"/>
  <c r="R162" i="50"/>
  <c r="R164" i="50"/>
  <c r="R180" i="50"/>
  <c r="F49" i="9"/>
  <c r="L49" i="9"/>
  <c r="AK49" i="9"/>
  <c r="BB50" i="9"/>
  <c r="AR50" i="9"/>
  <c r="AG50" i="9"/>
  <c r="S50" i="9"/>
  <c r="AS50" i="9"/>
  <c r="T50" i="9"/>
  <c r="BC50" i="9"/>
  <c r="V50" i="9"/>
  <c r="AP50" i="9"/>
  <c r="BE50" i="9"/>
  <c r="AY50" i="9"/>
  <c r="AW50" i="9"/>
  <c r="R50" i="9"/>
  <c r="BD50" i="9"/>
  <c r="AQ50" i="9"/>
  <c r="AE50" i="9"/>
  <c r="AM50" i="9"/>
  <c r="U50" i="9"/>
  <c r="AB50" i="9"/>
  <c r="Y50" i="9"/>
  <c r="Z50" i="9"/>
  <c r="AH50" i="9"/>
  <c r="AO50" i="9"/>
  <c r="AI50" i="9"/>
  <c r="AD50" i="9"/>
  <c r="BA50" i="9"/>
  <c r="AF50" i="9"/>
  <c r="AC50" i="9"/>
  <c r="X50" i="9"/>
  <c r="AV50" i="9"/>
  <c r="AL50" i="9"/>
  <c r="AX50" i="9"/>
  <c r="AJ50" i="9"/>
  <c r="AU50" i="9"/>
  <c r="P50" i="9"/>
  <c r="Q50" i="9"/>
  <c r="AT50" i="9"/>
  <c r="AA50" i="9"/>
  <c r="AZ50" i="9"/>
  <c r="W50" i="9"/>
  <c r="AN50" i="9"/>
  <c r="T162" i="50"/>
  <c r="T164" i="50"/>
  <c r="T180" i="50"/>
  <c r="F50" i="9"/>
  <c r="L50" i="9"/>
  <c r="AK50" i="9"/>
  <c r="Z89" i="7"/>
  <c r="Z84" i="7"/>
  <c r="X55" i="1"/>
  <c r="Z55" i="1"/>
  <c r="AI52" i="49"/>
  <c r="AI37" i="49"/>
  <c r="Z88" i="4"/>
  <c r="Z178" i="7"/>
  <c r="Z176" i="7"/>
  <c r="P16" i="12"/>
  <c r="P15" i="12"/>
  <c r="X77" i="1"/>
  <c r="Z77" i="1"/>
  <c r="F160" i="13"/>
  <c r="AD160" i="13"/>
  <c r="V57" i="9"/>
  <c r="V54" i="9"/>
  <c r="V17" i="9"/>
  <c r="V11" i="9"/>
  <c r="Z160" i="50"/>
  <c r="R33" i="4"/>
  <c r="R35" i="4"/>
  <c r="AT34" i="9"/>
  <c r="AT27" i="9"/>
  <c r="V56" i="9"/>
  <c r="V54" i="49"/>
  <c r="V17" i="49"/>
  <c r="V11" i="49"/>
  <c r="Z180" i="4"/>
  <c r="F180" i="4"/>
  <c r="AF56" i="9"/>
  <c r="AF54" i="49"/>
  <c r="AF17" i="49"/>
  <c r="AF11" i="49"/>
  <c r="R110" i="50"/>
  <c r="R108" i="50"/>
  <c r="BA57" i="9"/>
  <c r="BA54" i="9"/>
  <c r="BA17" i="9"/>
  <c r="BA11" i="9"/>
  <c r="L89" i="13"/>
  <c r="AI52" i="9"/>
  <c r="AI37" i="9"/>
  <c r="BA56" i="9"/>
  <c r="BA54" i="49"/>
  <c r="BA17" i="49"/>
  <c r="BA11" i="49"/>
  <c r="AB160" i="7"/>
  <c r="R55" i="12"/>
  <c r="R54" i="12"/>
  <c r="AH24" i="9"/>
  <c r="AH20" i="9"/>
  <c r="X57" i="9"/>
  <c r="X54" i="9"/>
  <c r="X17" i="9"/>
  <c r="X11" i="9"/>
  <c r="U34" i="9"/>
  <c r="U27" i="9"/>
  <c r="V89" i="5"/>
  <c r="V84" i="5"/>
  <c r="AM52" i="49"/>
  <c r="AM37" i="49"/>
  <c r="L35" i="5"/>
  <c r="L33" i="5"/>
  <c r="AB52" i="49"/>
  <c r="AB37" i="49"/>
  <c r="X57" i="4"/>
  <c r="X55" i="4"/>
  <c r="Z164" i="5"/>
  <c r="D32" i="9"/>
  <c r="D32" i="49"/>
  <c r="P57" i="7"/>
  <c r="AP34" i="9"/>
  <c r="AP27" i="9"/>
  <c r="AD85" i="5"/>
  <c r="P85" i="5"/>
  <c r="X160" i="50"/>
  <c r="P160" i="50"/>
  <c r="AD159" i="5"/>
  <c r="P159" i="5"/>
  <c r="V110" i="5"/>
  <c r="V108" i="5"/>
  <c r="L74" i="11"/>
  <c r="L73" i="11"/>
  <c r="AX34" i="9"/>
  <c r="AX27" i="9"/>
  <c r="D11" i="9"/>
  <c r="D17" i="9"/>
  <c r="D54" i="9"/>
  <c r="V54" i="12"/>
  <c r="V55" i="12"/>
  <c r="AF160" i="7"/>
  <c r="F160" i="50"/>
  <c r="L160" i="50"/>
  <c r="V160" i="50"/>
  <c r="AB104" i="5"/>
  <c r="AB103" i="5"/>
  <c r="Z162" i="4"/>
  <c r="R35" i="5"/>
  <c r="T104" i="5"/>
  <c r="T103" i="5"/>
  <c r="R57" i="50"/>
  <c r="R55" i="50"/>
  <c r="L84" i="13"/>
  <c r="V84" i="13"/>
  <c r="V89" i="13"/>
  <c r="AJ24" i="9"/>
  <c r="AJ20" i="9"/>
  <c r="Q24" i="9"/>
  <c r="Q20" i="9"/>
  <c r="R34" i="9"/>
  <c r="R27" i="9"/>
  <c r="D27" i="9"/>
  <c r="D34" i="9"/>
  <c r="D35" i="9"/>
  <c r="T160" i="7"/>
  <c r="J54" i="12"/>
  <c r="J55" i="12"/>
  <c r="AM24" i="9"/>
  <c r="AM20" i="9"/>
  <c r="AJ34" i="9"/>
  <c r="AJ27" i="9"/>
  <c r="AX52" i="9"/>
  <c r="AX37" i="9"/>
  <c r="BB52" i="9"/>
  <c r="BB37" i="9"/>
  <c r="AD89" i="13"/>
  <c r="F89" i="13"/>
  <c r="T57" i="7"/>
  <c r="AH46" i="12"/>
  <c r="AH47" i="12"/>
  <c r="AH49" i="12"/>
  <c r="J39" i="12"/>
  <c r="J40" i="12"/>
  <c r="T55" i="7"/>
  <c r="W34" i="9"/>
  <c r="W27" i="9"/>
  <c r="BE57" i="9"/>
  <c r="BE54" i="9"/>
  <c r="BE17" i="9"/>
  <c r="BE11" i="9"/>
  <c r="P55" i="7"/>
  <c r="AJ55" i="7"/>
  <c r="AJ57" i="7"/>
  <c r="Z35" i="5"/>
  <c r="R104" i="50"/>
  <c r="R103" i="50"/>
  <c r="Z84" i="1"/>
  <c r="V110" i="13"/>
  <c r="V108" i="13"/>
  <c r="AQ34" i="49"/>
  <c r="AQ27" i="49"/>
  <c r="T57" i="9"/>
  <c r="T54" i="9"/>
  <c r="T17" i="9"/>
  <c r="T11" i="9"/>
  <c r="X180" i="4"/>
  <c r="X159" i="4"/>
  <c r="X162" i="4"/>
  <c r="X164" i="4"/>
  <c r="Z52" i="9"/>
  <c r="Z37" i="9"/>
  <c r="L160" i="5"/>
  <c r="F160" i="5"/>
  <c r="AF160" i="5"/>
  <c r="AH160" i="7"/>
  <c r="X55" i="12"/>
  <c r="X54" i="12"/>
  <c r="X85" i="1"/>
  <c r="Z85" i="1"/>
  <c r="V77" i="4"/>
  <c r="V79" i="4"/>
  <c r="V92" i="4"/>
  <c r="V97" i="4"/>
  <c r="AB97" i="5"/>
  <c r="L57" i="13"/>
  <c r="S24" i="9"/>
  <c r="S20" i="9"/>
  <c r="P110" i="1"/>
  <c r="BB52" i="49"/>
  <c r="BB37" i="49"/>
  <c r="X24" i="9"/>
  <c r="X20" i="9"/>
  <c r="AI11" i="9"/>
  <c r="AI17" i="9"/>
  <c r="AI54" i="9"/>
  <c r="AI57" i="9"/>
  <c r="AL57" i="7"/>
  <c r="F57" i="7"/>
  <c r="X104" i="5"/>
  <c r="X103" i="5"/>
  <c r="AN56" i="9"/>
  <c r="AN54" i="49"/>
  <c r="AN17" i="49"/>
  <c r="AN11" i="49"/>
  <c r="AW34" i="9"/>
  <c r="AW27" i="9"/>
  <c r="Y57" i="9"/>
  <c r="Y54" i="9"/>
  <c r="Y17" i="9"/>
  <c r="Y11" i="9"/>
  <c r="AW57" i="9"/>
  <c r="AW54" i="9"/>
  <c r="AW17" i="9"/>
  <c r="AW11" i="9"/>
  <c r="AQ57" i="9"/>
  <c r="AQ54" i="9"/>
  <c r="AQ17" i="9"/>
  <c r="AQ11" i="9"/>
  <c r="X84" i="1"/>
  <c r="X89" i="1"/>
  <c r="Z89" i="1"/>
  <c r="AE57" i="9"/>
  <c r="AE11" i="9"/>
  <c r="AE17" i="9"/>
  <c r="AE54" i="9"/>
  <c r="Z88" i="7"/>
  <c r="T88" i="7"/>
  <c r="R88" i="7"/>
  <c r="AD88" i="7"/>
  <c r="AH88" i="7"/>
  <c r="AB88" i="7"/>
  <c r="X88" i="7"/>
  <c r="V88" i="7"/>
  <c r="AK160" i="50"/>
  <c r="AK162" i="50"/>
  <c r="AA56" i="9"/>
  <c r="AA54" i="49"/>
  <c r="AA17" i="49"/>
  <c r="AA11" i="49"/>
  <c r="T160" i="4"/>
  <c r="J66" i="10"/>
  <c r="J65" i="10"/>
  <c r="AH178" i="7"/>
  <c r="AH176" i="7"/>
  <c r="X16" i="12"/>
  <c r="BD34" i="9"/>
  <c r="BD27" i="9"/>
  <c r="AR34" i="9"/>
  <c r="AR27" i="9"/>
  <c r="D12" i="49"/>
  <c r="D12" i="9"/>
  <c r="AK52" i="9"/>
  <c r="AK37" i="9"/>
  <c r="D37" i="11"/>
  <c r="V35" i="13"/>
  <c r="V33" i="13"/>
  <c r="AO24" i="49"/>
  <c r="AO20" i="49"/>
  <c r="U56" i="9"/>
  <c r="U54" i="49"/>
  <c r="U17" i="49"/>
  <c r="U11" i="49"/>
  <c r="AK11" i="49"/>
  <c r="AK17" i="49"/>
  <c r="AK54" i="49"/>
  <c r="AK56" i="9"/>
  <c r="Q52" i="49"/>
  <c r="Q37" i="49"/>
  <c r="AB178" i="7"/>
  <c r="AB176" i="7"/>
  <c r="R16" i="12"/>
  <c r="AB164" i="7"/>
  <c r="R15" i="12"/>
  <c r="Z56" i="9"/>
  <c r="Z54" i="49"/>
  <c r="Z17" i="49"/>
  <c r="Z11" i="49"/>
  <c r="T35" i="5"/>
  <c r="V104" i="5"/>
  <c r="V103" i="5"/>
  <c r="P33" i="13"/>
  <c r="P35" i="13"/>
  <c r="AB92" i="5"/>
  <c r="R73" i="11"/>
  <c r="R74" i="11"/>
  <c r="AB108" i="5"/>
  <c r="AB110" i="5"/>
  <c r="L33" i="4"/>
  <c r="L35" i="4"/>
  <c r="R35" i="13"/>
  <c r="R33" i="13"/>
  <c r="L55" i="13"/>
  <c r="R55" i="13"/>
  <c r="R57" i="13"/>
  <c r="D51" i="9"/>
  <c r="D51" i="49"/>
  <c r="AG24" i="9"/>
  <c r="AG20" i="9"/>
  <c r="V57" i="4"/>
  <c r="V55" i="4"/>
  <c r="BE56" i="9"/>
  <c r="BE54" i="49"/>
  <c r="BE17" i="49"/>
  <c r="BE11" i="49"/>
  <c r="T35" i="1"/>
  <c r="Q34" i="9"/>
  <c r="Q27" i="9"/>
  <c r="Z97" i="13"/>
  <c r="Z92" i="13"/>
  <c r="Z79" i="13"/>
  <c r="Z77" i="13"/>
  <c r="R97" i="50"/>
  <c r="R92" i="50"/>
  <c r="R79" i="50"/>
  <c r="R77" i="50"/>
  <c r="Z97" i="5"/>
  <c r="P88" i="7"/>
  <c r="AJ88" i="7"/>
  <c r="AI162" i="5"/>
  <c r="AW52" i="9"/>
  <c r="AW37" i="9"/>
  <c r="AA34" i="9"/>
  <c r="AA27" i="9"/>
  <c r="AK24" i="9"/>
  <c r="AK20" i="9"/>
  <c r="Z77" i="50"/>
  <c r="V92" i="5"/>
  <c r="V97" i="5"/>
  <c r="AL108" i="7"/>
  <c r="BD160" i="7"/>
  <c r="BD162" i="7"/>
  <c r="R42" i="12"/>
  <c r="R43" i="12"/>
  <c r="AB159" i="7"/>
  <c r="AB162" i="7"/>
  <c r="AP46" i="12"/>
  <c r="AP47" i="12"/>
  <c r="AP49" i="12"/>
  <c r="R39" i="12"/>
  <c r="R40" i="12"/>
  <c r="AB103" i="7"/>
  <c r="AB104" i="7"/>
  <c r="V164" i="4"/>
  <c r="D23" i="9"/>
  <c r="D23" i="49"/>
  <c r="AO52" i="9"/>
  <c r="AO37" i="9"/>
  <c r="X35" i="7"/>
  <c r="AB162" i="50"/>
  <c r="P54" i="12"/>
  <c r="P55" i="12"/>
  <c r="Z160" i="7"/>
  <c r="P110" i="50"/>
  <c r="R57" i="9"/>
  <c r="R54" i="9"/>
  <c r="R17" i="9"/>
  <c r="R11" i="9"/>
  <c r="L180" i="5"/>
  <c r="L164" i="5"/>
  <c r="L162" i="5"/>
  <c r="L159" i="5"/>
  <c r="AF164" i="7"/>
  <c r="AF180" i="7"/>
  <c r="AX52" i="49"/>
  <c r="AX37" i="49"/>
  <c r="AU52" i="9"/>
  <c r="AU37" i="9"/>
  <c r="AU24" i="49"/>
  <c r="AU20" i="49"/>
  <c r="AD11" i="49"/>
  <c r="AD17" i="49"/>
  <c r="AD54" i="49"/>
  <c r="AD56" i="9"/>
  <c r="X52" i="9"/>
  <c r="X37" i="9"/>
  <c r="AM56" i="9"/>
  <c r="AM54" i="49"/>
  <c r="AM17" i="49"/>
  <c r="AM11" i="49"/>
  <c r="AT24" i="9"/>
  <c r="AT20" i="9"/>
  <c r="R24" i="9"/>
  <c r="R20" i="9"/>
  <c r="AD89" i="5"/>
  <c r="AD84" i="5"/>
  <c r="AL178" i="7"/>
  <c r="AJ178" i="7"/>
  <c r="AY56" i="9"/>
  <c r="AY54" i="49"/>
  <c r="AY17" i="49"/>
  <c r="AY11" i="49"/>
  <c r="AN162" i="1"/>
  <c r="AN160" i="1"/>
  <c r="BC34" i="9"/>
  <c r="BC27" i="9"/>
  <c r="L159" i="50"/>
  <c r="L162" i="50"/>
  <c r="L164" i="50"/>
  <c r="L180" i="50"/>
  <c r="V92" i="1"/>
  <c r="L100" i="2"/>
  <c r="L101" i="2"/>
  <c r="V108" i="1"/>
  <c r="F108" i="7"/>
  <c r="L108" i="7"/>
  <c r="L110" i="7"/>
  <c r="AL33" i="7"/>
  <c r="AC162" i="4"/>
  <c r="V57" i="1"/>
  <c r="R104" i="5"/>
  <c r="R103" i="5"/>
  <c r="AD85" i="13"/>
  <c r="L97" i="4"/>
  <c r="L92" i="4"/>
  <c r="L77" i="4"/>
  <c r="L79" i="4"/>
  <c r="R52" i="9"/>
  <c r="R37" i="9"/>
  <c r="AH34" i="9"/>
  <c r="AH27" i="9"/>
  <c r="AN34" i="9"/>
  <c r="AN27" i="9"/>
  <c r="AE52" i="9"/>
  <c r="AE37" i="9"/>
  <c r="D22" i="51"/>
  <c r="T77" i="13"/>
  <c r="T79" i="13"/>
  <c r="T92" i="13"/>
  <c r="T97" i="13"/>
  <c r="P108" i="50"/>
  <c r="X108" i="50"/>
  <c r="X110" i="50"/>
  <c r="S52" i="9"/>
  <c r="S37" i="9"/>
  <c r="AL104" i="7"/>
  <c r="AJ104" i="7"/>
  <c r="R97" i="5"/>
  <c r="L24" i="49"/>
  <c r="P104" i="50"/>
  <c r="AR24" i="9"/>
  <c r="AR20" i="9"/>
  <c r="V103" i="4"/>
  <c r="V104" i="4"/>
  <c r="AU34" i="49"/>
  <c r="AU27" i="49"/>
  <c r="T57" i="4"/>
  <c r="T55" i="4"/>
  <c r="AS52" i="9"/>
  <c r="AS37" i="9"/>
  <c r="D71" i="10"/>
  <c r="V180" i="1"/>
  <c r="V164" i="1"/>
  <c r="AS34" i="9"/>
  <c r="AS27" i="9"/>
  <c r="AN57" i="9"/>
  <c r="AN54" i="9"/>
  <c r="AN17" i="9"/>
  <c r="AN11" i="9"/>
  <c r="Y24" i="9"/>
  <c r="Y20" i="9"/>
  <c r="P162" i="1"/>
  <c r="P164" i="1"/>
  <c r="P180" i="1"/>
  <c r="X110" i="13"/>
  <c r="X108" i="13"/>
  <c r="F162" i="13"/>
  <c r="F164" i="13"/>
  <c r="AD164" i="13"/>
  <c r="L85" i="5"/>
  <c r="T85" i="1"/>
  <c r="F85" i="5"/>
  <c r="AF85" i="5"/>
  <c r="Q56" i="9"/>
  <c r="Q11" i="49"/>
  <c r="Q17" i="49"/>
  <c r="Q54" i="49"/>
  <c r="P103" i="4"/>
  <c r="P104" i="4"/>
  <c r="X104" i="4"/>
  <c r="Z104" i="4"/>
  <c r="F33" i="7"/>
  <c r="L33" i="7"/>
  <c r="L35" i="7"/>
  <c r="BD56" i="9"/>
  <c r="BD11" i="49"/>
  <c r="BD17" i="49"/>
  <c r="BD54" i="49"/>
  <c r="AB24" i="9"/>
  <c r="AB20" i="9"/>
  <c r="X164" i="7"/>
  <c r="D43" i="9"/>
  <c r="D43" i="49"/>
  <c r="AR34" i="49"/>
  <c r="AR27" i="49"/>
  <c r="AC56" i="9"/>
  <c r="AC11" i="49"/>
  <c r="AC17" i="49"/>
  <c r="AC54" i="49"/>
  <c r="AT57" i="9"/>
  <c r="AT11" i="9"/>
  <c r="AT17" i="9"/>
  <c r="AT54" i="9"/>
  <c r="AF88" i="5"/>
  <c r="T88" i="1"/>
  <c r="F88" i="5"/>
  <c r="L88" i="5"/>
  <c r="P89" i="1"/>
  <c r="AH11" i="49"/>
  <c r="AH17" i="49"/>
  <c r="AH54" i="49"/>
  <c r="AH56" i="9"/>
  <c r="AP52" i="9"/>
  <c r="AP37" i="9"/>
  <c r="F20" i="49"/>
  <c r="L20" i="49"/>
  <c r="Q20" i="49"/>
  <c r="Q24" i="49"/>
  <c r="AB85" i="13"/>
  <c r="P85" i="13"/>
  <c r="V160" i="7"/>
  <c r="AX160" i="7"/>
  <c r="AX162" i="7"/>
  <c r="L42" i="12"/>
  <c r="L43" i="12"/>
  <c r="V159" i="7"/>
  <c r="L54" i="12"/>
  <c r="L55" i="12"/>
  <c r="F21" i="51"/>
  <c r="F22" i="51"/>
  <c r="P103" i="50"/>
  <c r="X103" i="50"/>
  <c r="X104" i="50"/>
  <c r="Z110" i="5"/>
  <c r="Z92" i="5"/>
  <c r="P73" i="11"/>
  <c r="P74" i="11"/>
  <c r="Z108" i="5"/>
  <c r="AD92" i="13"/>
  <c r="T35" i="4"/>
  <c r="T89" i="1"/>
  <c r="Z176" i="50"/>
  <c r="AT52" i="9"/>
  <c r="AT37" i="9"/>
  <c r="L89" i="7"/>
  <c r="AF97" i="5"/>
  <c r="F97" i="5"/>
  <c r="U52" i="9"/>
  <c r="U37" i="9"/>
  <c r="AW56" i="9"/>
  <c r="AW54" i="49"/>
  <c r="AW17" i="49"/>
  <c r="AW11" i="49"/>
  <c r="D91" i="2"/>
  <c r="F92" i="2"/>
  <c r="P160" i="1"/>
  <c r="AF160" i="1"/>
  <c r="AF162" i="1"/>
  <c r="AI11" i="49"/>
  <c r="AI17" i="49"/>
  <c r="AI54" i="49"/>
  <c r="AI56" i="9"/>
  <c r="AL162" i="5"/>
  <c r="F37" i="11"/>
  <c r="F38" i="11"/>
  <c r="D38" i="11"/>
  <c r="R33" i="50"/>
  <c r="R35" i="50"/>
  <c r="P19" i="14"/>
  <c r="Z172" i="13"/>
  <c r="Z178" i="13"/>
  <c r="V84" i="7"/>
  <c r="V89" i="7"/>
  <c r="V162" i="4"/>
  <c r="X63" i="10"/>
  <c r="X64" i="10"/>
  <c r="X66" i="10"/>
  <c r="L56" i="10"/>
  <c r="L57" i="10"/>
  <c r="V33" i="4"/>
  <c r="V35" i="4"/>
  <c r="V89" i="4"/>
  <c r="V84" i="4"/>
  <c r="AF55" i="7"/>
  <c r="AF57" i="7"/>
  <c r="F159" i="4"/>
  <c r="F162" i="4"/>
  <c r="F164" i="4"/>
  <c r="Z164" i="4"/>
  <c r="D65" i="10"/>
  <c r="BA24" i="9"/>
  <c r="BA20" i="9"/>
  <c r="Z85" i="13"/>
  <c r="X85" i="13"/>
  <c r="R85" i="13"/>
  <c r="T85" i="13"/>
  <c r="P85" i="1"/>
  <c r="F85" i="13"/>
  <c r="L85" i="13"/>
  <c r="V85" i="13"/>
  <c r="AG160" i="50"/>
  <c r="AG162" i="50"/>
  <c r="H18" i="51"/>
  <c r="H19" i="51"/>
  <c r="R159" i="50"/>
  <c r="H21" i="51"/>
  <c r="H22" i="51"/>
  <c r="R160" i="50"/>
  <c r="AF24" i="9"/>
  <c r="AF20" i="9"/>
  <c r="P86" i="1"/>
  <c r="X86" i="1"/>
  <c r="Z86" i="1"/>
  <c r="AT160" i="7"/>
  <c r="AT162" i="7"/>
  <c r="H42" i="12"/>
  <c r="H43" i="12"/>
  <c r="R159" i="7"/>
  <c r="H54" i="12"/>
  <c r="H55" i="12"/>
  <c r="R160" i="7"/>
  <c r="AD84" i="7"/>
  <c r="AD89" i="7"/>
  <c r="BE24" i="9"/>
  <c r="BE20" i="9"/>
  <c r="AB35" i="5"/>
  <c r="P104" i="7"/>
  <c r="D64" i="11"/>
  <c r="R162" i="4"/>
  <c r="T63" i="10"/>
  <c r="T64" i="10"/>
  <c r="T66" i="10"/>
  <c r="H56" i="10"/>
  <c r="H57" i="10"/>
  <c r="R103" i="4"/>
  <c r="R104" i="4"/>
  <c r="AG51" i="9"/>
  <c r="Y51" i="9"/>
  <c r="AK51" i="9"/>
  <c r="Q51" i="9"/>
  <c r="AA51" i="9"/>
  <c r="AR51" i="9"/>
  <c r="AC51" i="9"/>
  <c r="AU51" i="9"/>
  <c r="AH51" i="9"/>
  <c r="AM51" i="9"/>
  <c r="AP51" i="9"/>
  <c r="BC51" i="9"/>
  <c r="AZ51" i="9"/>
  <c r="AI51" i="9"/>
  <c r="AY51" i="9"/>
  <c r="R51" i="9"/>
  <c r="U51" i="9"/>
  <c r="AN51" i="9"/>
  <c r="AF51" i="9"/>
  <c r="AB51" i="9"/>
  <c r="T51" i="9"/>
  <c r="V51" i="9"/>
  <c r="P51" i="9"/>
  <c r="AX51" i="9"/>
  <c r="AL51" i="9"/>
  <c r="Z51" i="9"/>
  <c r="AT51" i="9"/>
  <c r="X51" i="9"/>
  <c r="BE51" i="9"/>
  <c r="BD51" i="9"/>
  <c r="S51" i="9"/>
  <c r="BB51" i="9"/>
  <c r="AS51" i="9"/>
  <c r="AO51" i="9"/>
  <c r="BA51" i="9"/>
  <c r="AQ51" i="9"/>
  <c r="AD51" i="9"/>
  <c r="AV51" i="9"/>
  <c r="AJ51" i="9"/>
  <c r="AW51" i="9"/>
  <c r="AE51" i="9"/>
  <c r="AH164" i="7"/>
  <c r="AH180" i="7"/>
  <c r="F51" i="9"/>
  <c r="L51" i="9"/>
  <c r="W51" i="9"/>
  <c r="F79" i="13"/>
  <c r="F92" i="13"/>
  <c r="F97" i="13"/>
  <c r="AD97" i="13"/>
  <c r="AR52" i="9"/>
  <c r="AR37" i="9"/>
  <c r="AR11" i="9"/>
  <c r="AR17" i="9"/>
  <c r="AR54" i="9"/>
  <c r="AR57" i="9"/>
  <c r="AS11" i="49"/>
  <c r="AS17" i="49"/>
  <c r="AS54" i="49"/>
  <c r="AS56" i="9"/>
  <c r="R92" i="5"/>
  <c r="H73" i="11"/>
  <c r="H74" i="11"/>
  <c r="R108" i="5"/>
  <c r="R110" i="5"/>
  <c r="F178" i="50"/>
  <c r="Z178" i="50"/>
  <c r="P84" i="5"/>
  <c r="P89" i="5"/>
  <c r="AG34" i="9"/>
  <c r="AG27" i="9"/>
  <c r="AB56" i="9"/>
  <c r="AB54" i="49"/>
  <c r="AB17" i="49"/>
  <c r="AB11" i="49"/>
  <c r="AD180" i="5"/>
  <c r="AD164" i="5"/>
  <c r="AD162" i="5"/>
  <c r="AB160" i="5"/>
  <c r="R68" i="11"/>
  <c r="R67" i="11"/>
  <c r="Z88" i="50"/>
  <c r="Z97" i="4"/>
  <c r="F97" i="4"/>
  <c r="AF159" i="5"/>
  <c r="AB84" i="7"/>
  <c r="AB89" i="7"/>
  <c r="AD52" i="49"/>
  <c r="AD37" i="49"/>
  <c r="AW24" i="9"/>
  <c r="AW20" i="9"/>
  <c r="AV57" i="9"/>
  <c r="AV54" i="9"/>
  <c r="AV17" i="9"/>
  <c r="AV11" i="9"/>
  <c r="Y34" i="9"/>
  <c r="Y27" i="9"/>
  <c r="P35" i="5"/>
  <c r="AD160" i="5"/>
  <c r="P160" i="5"/>
  <c r="AQ52" i="49"/>
  <c r="AQ37" i="49"/>
  <c r="AQ24" i="9"/>
  <c r="AQ20" i="9"/>
  <c r="AZ34" i="9"/>
  <c r="AZ27" i="9"/>
  <c r="AL145" i="5"/>
  <c r="AZ145" i="5"/>
  <c r="AZ162" i="5"/>
  <c r="R97" i="13"/>
  <c r="R92" i="13"/>
  <c r="R77" i="13"/>
  <c r="R79" i="13"/>
  <c r="Z33" i="50"/>
  <c r="W52" i="9"/>
  <c r="W37" i="9"/>
  <c r="L89" i="50"/>
  <c r="L57" i="5"/>
  <c r="L55" i="5"/>
  <c r="AT145" i="5"/>
  <c r="AT162" i="5"/>
  <c r="N37" i="11"/>
  <c r="N38" i="11"/>
  <c r="X159" i="5"/>
  <c r="AB88" i="5"/>
  <c r="AB85" i="5"/>
  <c r="AB86" i="5"/>
  <c r="AE24" i="9"/>
  <c r="AE20" i="9"/>
  <c r="R89" i="4"/>
  <c r="R84" i="4"/>
  <c r="AN145" i="5"/>
  <c r="AN162" i="5"/>
  <c r="H37" i="11"/>
  <c r="H38" i="11"/>
  <c r="R159" i="5"/>
  <c r="Y11" i="49"/>
  <c r="Y17" i="49"/>
  <c r="Y54" i="49"/>
  <c r="Y56" i="9"/>
  <c r="AH52" i="9"/>
  <c r="AH37" i="9"/>
  <c r="R11" i="49"/>
  <c r="R17" i="49"/>
  <c r="R54" i="49"/>
  <c r="R56" i="9"/>
  <c r="AE160" i="50"/>
  <c r="AE162" i="50"/>
  <c r="F18" i="51"/>
  <c r="F19" i="51"/>
  <c r="P159" i="50"/>
  <c r="P162" i="50"/>
  <c r="X162" i="50"/>
  <c r="X164" i="50"/>
  <c r="X180" i="50"/>
  <c r="AM11" i="9"/>
  <c r="AM17" i="9"/>
  <c r="AM54" i="9"/>
  <c r="AM57" i="9"/>
  <c r="AL55" i="7"/>
  <c r="X108" i="4"/>
  <c r="J16" i="12"/>
  <c r="T176" i="7"/>
  <c r="T178" i="7"/>
  <c r="N60" i="12"/>
  <c r="N61" i="12"/>
  <c r="X108" i="7"/>
  <c r="X110" i="7"/>
  <c r="T88" i="5"/>
  <c r="T85" i="5"/>
  <c r="T86" i="5"/>
  <c r="AX11" i="49"/>
  <c r="AX17" i="49"/>
  <c r="AX54" i="49"/>
  <c r="AX56" i="9"/>
  <c r="AN52" i="9"/>
  <c r="AN37" i="9"/>
  <c r="AO34" i="9"/>
  <c r="AO27" i="9"/>
  <c r="AO24" i="9"/>
  <c r="AO20" i="9"/>
  <c r="P52" i="9"/>
  <c r="P37" i="9"/>
  <c r="AZ56" i="9"/>
  <c r="AZ11" i="49"/>
  <c r="AZ17" i="49"/>
  <c r="AZ54" i="49"/>
  <c r="AD33" i="5"/>
  <c r="AD35" i="5"/>
  <c r="AJ34" i="49"/>
  <c r="AJ27" i="49"/>
  <c r="AF110" i="5"/>
  <c r="F110" i="5"/>
  <c r="T57" i="1"/>
  <c r="AG56" i="9"/>
  <c r="AG54" i="49"/>
  <c r="AG17" i="49"/>
  <c r="AG11" i="49"/>
  <c r="AF79" i="5"/>
  <c r="AP57" i="9"/>
  <c r="AP11" i="9"/>
  <c r="AP17" i="9"/>
  <c r="AP54" i="9"/>
  <c r="F33" i="50"/>
  <c r="F35" i="50"/>
  <c r="Z35" i="50"/>
  <c r="D34" i="11"/>
  <c r="T55" i="5"/>
  <c r="T57" i="5"/>
  <c r="AV56" i="9"/>
  <c r="AV54" i="49"/>
  <c r="AV17" i="49"/>
  <c r="AV11" i="49"/>
  <c r="AX145" i="5"/>
  <c r="AX162" i="5"/>
  <c r="R37" i="11"/>
  <c r="R38" i="11"/>
  <c r="AB159" i="5"/>
  <c r="AD110" i="5"/>
  <c r="AD108" i="5"/>
  <c r="AT11" i="49"/>
  <c r="AT17" i="49"/>
  <c r="AT54" i="49"/>
  <c r="AT56" i="9"/>
  <c r="AZ24" i="9"/>
  <c r="AZ20" i="9"/>
  <c r="X34" i="9"/>
  <c r="X27" i="9"/>
  <c r="V159" i="5"/>
  <c r="L38" i="11"/>
  <c r="L37" i="11"/>
  <c r="AR162" i="5"/>
  <c r="AR145" i="5"/>
  <c r="AB84" i="5"/>
  <c r="AB89" i="5"/>
  <c r="L162" i="13"/>
  <c r="L164" i="13"/>
  <c r="L180" i="13"/>
  <c r="T84" i="5"/>
  <c r="T89" i="5"/>
  <c r="S11" i="49"/>
  <c r="S17" i="49"/>
  <c r="S54" i="49"/>
  <c r="S56" i="9"/>
  <c r="BB160" i="7"/>
  <c r="BB162" i="7"/>
  <c r="P42" i="12"/>
  <c r="P43" i="12"/>
  <c r="Z159" i="7"/>
  <c r="Z162" i="7"/>
  <c r="Z164" i="7"/>
  <c r="D44" i="9"/>
  <c r="D44" i="49"/>
  <c r="R55" i="1"/>
  <c r="F55" i="4"/>
  <c r="L55" i="4"/>
  <c r="L57" i="4"/>
  <c r="L110" i="13"/>
  <c r="T34" i="9"/>
  <c r="T27" i="9"/>
  <c r="AX24" i="9"/>
  <c r="AX20" i="9"/>
  <c r="V55" i="1"/>
  <c r="F55" i="7"/>
  <c r="L55" i="7"/>
  <c r="L57" i="7"/>
  <c r="P108" i="4"/>
  <c r="P110" i="4"/>
  <c r="X110" i="4"/>
  <c r="BE52" i="9"/>
  <c r="BE37" i="9"/>
  <c r="P110" i="13"/>
  <c r="N54" i="12"/>
  <c r="N55" i="12"/>
  <c r="X160" i="7"/>
  <c r="Z79" i="4"/>
  <c r="V159" i="13"/>
  <c r="V162" i="13"/>
  <c r="V164" i="13"/>
  <c r="V180" i="13"/>
  <c r="F14" i="9"/>
  <c r="H14" i="9"/>
  <c r="H17" i="9"/>
  <c r="H54" i="9"/>
  <c r="AL162" i="7"/>
  <c r="BB11" i="49"/>
  <c r="BB17" i="49"/>
  <c r="BB54" i="49"/>
  <c r="BB56" i="9"/>
  <c r="X57" i="5"/>
  <c r="X55" i="5"/>
  <c r="AZ11" i="9"/>
  <c r="AZ17" i="9"/>
  <c r="AZ54" i="9"/>
  <c r="AZ57" i="9"/>
  <c r="AL52" i="9"/>
  <c r="AL37" i="9"/>
  <c r="BA52" i="9"/>
  <c r="BA37" i="9"/>
  <c r="R89" i="5"/>
  <c r="R84" i="5"/>
  <c r="AJ11" i="49"/>
  <c r="AJ17" i="49"/>
  <c r="AJ54" i="49"/>
  <c r="AJ56" i="9"/>
  <c r="BA52" i="49"/>
  <c r="BA37" i="49"/>
  <c r="L178" i="50"/>
  <c r="AS24" i="9"/>
  <c r="AS20" i="9"/>
  <c r="R160" i="4"/>
  <c r="H66" i="10"/>
  <c r="AH160" i="4"/>
  <c r="AH162" i="4"/>
  <c r="H59" i="10"/>
  <c r="H60" i="10"/>
  <c r="R159" i="4"/>
  <c r="H65" i="10"/>
  <c r="AF162" i="7"/>
  <c r="AT46" i="12"/>
  <c r="AT47" i="12"/>
  <c r="AT49" i="12"/>
  <c r="V39" i="12"/>
  <c r="V40" i="12"/>
  <c r="AF33" i="7"/>
  <c r="AF77" i="7"/>
  <c r="F77" i="50"/>
  <c r="F79" i="50"/>
  <c r="Z79" i="50"/>
  <c r="X11" i="49"/>
  <c r="X17" i="49"/>
  <c r="X54" i="49"/>
  <c r="X56" i="9"/>
  <c r="Z85" i="5"/>
  <c r="Z88" i="5"/>
  <c r="Z86" i="5"/>
  <c r="P79" i="7"/>
  <c r="P92" i="7"/>
  <c r="P97" i="7"/>
  <c r="AJ97" i="7"/>
  <c r="AJ92" i="7"/>
  <c r="AJ79" i="7"/>
  <c r="P33" i="7"/>
  <c r="P77" i="7"/>
  <c r="AJ77" i="7"/>
  <c r="AU57" i="9"/>
  <c r="AU54" i="9"/>
  <c r="AU17" i="9"/>
  <c r="AU11" i="9"/>
  <c r="BC24" i="9"/>
  <c r="BC20" i="9"/>
  <c r="D66" i="10"/>
  <c r="AF55" i="5"/>
  <c r="T35" i="50"/>
  <c r="AF164" i="5"/>
  <c r="BJ160" i="7"/>
  <c r="BJ162" i="7"/>
  <c r="X42" i="12"/>
  <c r="X43" i="12"/>
  <c r="AH159" i="7"/>
  <c r="AH162" i="7"/>
  <c r="AV46" i="12"/>
  <c r="AV47" i="12"/>
  <c r="AV49" i="12"/>
  <c r="X39" i="12"/>
  <c r="X40" i="12"/>
  <c r="AH33" i="7"/>
  <c r="AH77" i="7"/>
  <c r="AH79" i="7"/>
  <c r="AH92" i="7"/>
  <c r="AH97" i="7"/>
  <c r="H51" i="9"/>
  <c r="H52" i="9"/>
  <c r="AB52" i="9"/>
  <c r="AB37" i="9"/>
  <c r="P89" i="50"/>
  <c r="Z84" i="4"/>
  <c r="D57" i="10"/>
  <c r="X86" i="5"/>
  <c r="X88" i="5"/>
  <c r="X85" i="5"/>
  <c r="AR11" i="49"/>
  <c r="AR17" i="49"/>
  <c r="AR54" i="49"/>
  <c r="AR56" i="9"/>
  <c r="R108" i="13"/>
  <c r="R110" i="13"/>
  <c r="T97" i="4"/>
  <c r="AI34" i="9"/>
  <c r="AI27" i="9"/>
  <c r="Z24" i="9"/>
  <c r="Z20" i="9"/>
  <c r="T88" i="4"/>
  <c r="R88" i="4"/>
  <c r="V88" i="4"/>
  <c r="AF103" i="5"/>
  <c r="BC52" i="9"/>
  <c r="BC37" i="9"/>
  <c r="P57" i="5"/>
  <c r="P92" i="1"/>
  <c r="F100" i="2"/>
  <c r="F101" i="2"/>
  <c r="P108" i="1"/>
  <c r="F108" i="13"/>
  <c r="L108" i="13"/>
  <c r="P108" i="13"/>
  <c r="AB108" i="13"/>
  <c r="AB110" i="13"/>
  <c r="L35" i="13"/>
  <c r="AA52" i="9"/>
  <c r="AA37" i="9"/>
  <c r="AD88" i="5"/>
  <c r="P88" i="5"/>
  <c r="AR52" i="49"/>
  <c r="AR37" i="49"/>
  <c r="Z84" i="50"/>
  <c r="AD85" i="7"/>
  <c r="V85" i="7"/>
  <c r="Z85" i="7"/>
  <c r="X85" i="7"/>
  <c r="T85" i="7"/>
  <c r="AB85" i="7"/>
  <c r="R85" i="7"/>
  <c r="AH85" i="7"/>
  <c r="V35" i="5"/>
  <c r="AQ52" i="9"/>
  <c r="AQ37" i="9"/>
  <c r="AN24" i="9"/>
  <c r="AN20" i="9"/>
  <c r="BC57" i="9"/>
  <c r="BC54" i="9"/>
  <c r="BC17" i="9"/>
  <c r="BC11" i="9"/>
  <c r="V16" i="12"/>
  <c r="AF176" i="7"/>
  <c r="F176" i="50"/>
  <c r="L176" i="50"/>
  <c r="V176" i="50"/>
  <c r="V178" i="50"/>
  <c r="D65" i="11"/>
  <c r="AF33" i="5"/>
  <c r="Z84" i="5"/>
  <c r="Z89" i="5"/>
  <c r="V52" i="9"/>
  <c r="V37" i="9"/>
  <c r="L54" i="9"/>
  <c r="L17" i="9"/>
  <c r="AD145" i="5"/>
  <c r="AF145" i="5"/>
  <c r="AF57" i="9"/>
  <c r="AF54" i="9"/>
  <c r="AF17" i="9"/>
  <c r="AF11" i="9"/>
  <c r="AV24" i="9"/>
  <c r="AV20" i="9"/>
  <c r="T110" i="1"/>
  <c r="S34" i="9"/>
  <c r="S27" i="9"/>
  <c r="F65" i="10"/>
  <c r="F66" i="10"/>
  <c r="P160" i="4"/>
  <c r="X160" i="4"/>
  <c r="BB11" i="9"/>
  <c r="BB17" i="9"/>
  <c r="BB54" i="9"/>
  <c r="BB57" i="9"/>
  <c r="T55" i="1"/>
  <c r="F55" i="5"/>
  <c r="F57" i="5"/>
  <c r="AF57" i="5"/>
  <c r="AD11" i="9"/>
  <c r="AD17" i="9"/>
  <c r="AD54" i="9"/>
  <c r="AD57" i="9"/>
  <c r="F164" i="5"/>
  <c r="F180" i="5"/>
  <c r="AF180" i="5"/>
  <c r="J73" i="11"/>
  <c r="J74" i="11"/>
  <c r="T108" i="5"/>
  <c r="T110" i="5"/>
  <c r="AD24" i="9"/>
  <c r="AD20" i="9"/>
  <c r="AD34" i="9"/>
  <c r="AD27" i="9"/>
  <c r="L84" i="50"/>
  <c r="P84" i="50"/>
  <c r="X84" i="50"/>
  <c r="X89" i="50"/>
  <c r="F89" i="4"/>
  <c r="Z89" i="4"/>
  <c r="AJ11" i="9"/>
  <c r="AJ17" i="9"/>
  <c r="AJ54" i="9"/>
  <c r="AJ57" i="9"/>
  <c r="AI24" i="9"/>
  <c r="AI20" i="9"/>
  <c r="Z104" i="5"/>
  <c r="Z103" i="5"/>
  <c r="Z34" i="9"/>
  <c r="Z27" i="9"/>
  <c r="S11" i="9"/>
  <c r="S17" i="9"/>
  <c r="S54" i="9"/>
  <c r="S57" i="9"/>
  <c r="L77" i="5"/>
  <c r="L79" i="5"/>
  <c r="L92" i="5"/>
  <c r="L97" i="5"/>
  <c r="T52" i="9"/>
  <c r="T37" i="9"/>
  <c r="AF52" i="9"/>
  <c r="AF37" i="9"/>
  <c r="X84" i="5"/>
  <c r="X89" i="5"/>
  <c r="AF108" i="5"/>
  <c r="R88" i="1"/>
  <c r="F88" i="4"/>
  <c r="L88" i="4"/>
  <c r="P88" i="4"/>
  <c r="X88" i="4"/>
  <c r="AD103" i="5"/>
  <c r="AD104" i="5"/>
  <c r="AF104" i="5"/>
  <c r="N67" i="11"/>
  <c r="N68" i="11"/>
  <c r="X160" i="5"/>
  <c r="P79" i="4"/>
  <c r="P92" i="4"/>
  <c r="F71" i="10"/>
  <c r="F72" i="10"/>
  <c r="D72" i="10"/>
  <c r="P55" i="5"/>
  <c r="AD55" i="5"/>
  <c r="AD57" i="5"/>
  <c r="Z164" i="50"/>
  <c r="F33" i="13"/>
  <c r="L33" i="13"/>
  <c r="Z33" i="13"/>
  <c r="Z35" i="13"/>
  <c r="AA24" i="9"/>
  <c r="AA20" i="9"/>
  <c r="AO56" i="9"/>
  <c r="AO54" i="49"/>
  <c r="AO17" i="49"/>
  <c r="AO11" i="49"/>
  <c r="F52" i="49"/>
  <c r="V84" i="1"/>
  <c r="F84" i="7"/>
  <c r="L84" i="7"/>
  <c r="AF84" i="7"/>
  <c r="F84" i="50"/>
  <c r="F89" i="50"/>
  <c r="Z89" i="50"/>
  <c r="AJ52" i="9"/>
  <c r="AJ37" i="9"/>
  <c r="V85" i="1"/>
  <c r="F85" i="7"/>
  <c r="L85" i="7"/>
  <c r="P85" i="7"/>
  <c r="AJ85" i="7"/>
  <c r="T88" i="50"/>
  <c r="V88" i="50"/>
  <c r="R88" i="50"/>
  <c r="P11" i="49"/>
  <c r="P17" i="49"/>
  <c r="P54" i="49"/>
  <c r="P56" i="9"/>
  <c r="BB34" i="9"/>
  <c r="BB27" i="9"/>
  <c r="AN160" i="5"/>
  <c r="AV160" i="5"/>
  <c r="AX160" i="5"/>
  <c r="AR160" i="5"/>
  <c r="AT160" i="5"/>
  <c r="AP160" i="5"/>
  <c r="X178" i="13"/>
  <c r="X172" i="13"/>
  <c r="R159" i="13"/>
  <c r="R162" i="13"/>
  <c r="R164" i="13"/>
  <c r="H18" i="14"/>
  <c r="D18" i="14"/>
  <c r="N19" i="14"/>
  <c r="P86" i="5"/>
  <c r="AD86" i="5"/>
  <c r="F33" i="5"/>
  <c r="F35" i="5"/>
  <c r="AF35" i="5"/>
  <c r="AE56" i="9"/>
  <c r="AE54" i="49"/>
  <c r="AE17" i="49"/>
  <c r="AE11" i="49"/>
  <c r="T159" i="5"/>
  <c r="J38" i="11"/>
  <c r="AP145" i="5"/>
  <c r="AP162" i="5"/>
  <c r="J37" i="11"/>
  <c r="T160" i="5"/>
  <c r="J68" i="11"/>
  <c r="J67" i="11"/>
  <c r="F68" i="11"/>
  <c r="D68" i="11"/>
  <c r="AH11" i="9"/>
  <c r="AH17" i="9"/>
  <c r="AH54" i="9"/>
  <c r="AH57" i="9"/>
  <c r="AF77" i="5"/>
  <c r="AD46" i="12"/>
  <c r="AD47" i="12"/>
  <c r="AD49" i="12"/>
  <c r="F39" i="12"/>
  <c r="F40" i="12"/>
  <c r="P103" i="7"/>
  <c r="AJ103" i="7"/>
  <c r="AL103" i="7"/>
  <c r="P24" i="9"/>
  <c r="P20" i="9"/>
  <c r="BL160" i="7"/>
  <c r="BL162" i="7"/>
  <c r="L34" i="49"/>
  <c r="F77" i="13"/>
  <c r="L77" i="13"/>
  <c r="P77" i="13"/>
  <c r="P79" i="13"/>
  <c r="P92" i="13"/>
  <c r="P97" i="13"/>
  <c r="AB97" i="13"/>
  <c r="AH52" i="49"/>
  <c r="AH37" i="49"/>
  <c r="AF86" i="5"/>
  <c r="T86" i="1"/>
  <c r="F86" i="5"/>
  <c r="L86" i="5"/>
  <c r="AF84" i="5"/>
  <c r="AD55" i="13"/>
  <c r="Q11" i="9"/>
  <c r="Q17" i="9"/>
  <c r="Q54" i="9"/>
  <c r="Q57" i="9"/>
  <c r="AB159" i="13"/>
  <c r="AB162" i="13"/>
  <c r="AB164" i="13"/>
  <c r="AB180" i="13"/>
  <c r="AP24" i="9"/>
  <c r="AP20" i="9"/>
  <c r="J100" i="2"/>
  <c r="J101" i="2"/>
  <c r="T108" i="1"/>
  <c r="F108" i="5"/>
  <c r="L108" i="5"/>
  <c r="L110" i="5"/>
  <c r="AY34" i="9"/>
  <c r="AY27" i="9"/>
  <c r="BH162" i="7"/>
  <c r="V42" i="12"/>
  <c r="V43" i="12"/>
  <c r="AF159" i="7"/>
  <c r="F159" i="50"/>
  <c r="F162" i="50"/>
  <c r="F164" i="50"/>
  <c r="F180" i="50"/>
  <c r="Z180" i="50"/>
  <c r="AA11" i="9"/>
  <c r="AA17" i="9"/>
  <c r="AA54" i="9"/>
  <c r="AA57" i="9"/>
  <c r="F89" i="5"/>
  <c r="AF89" i="5"/>
  <c r="F159" i="5"/>
  <c r="F162" i="5"/>
  <c r="AF162" i="5"/>
  <c r="F33" i="4"/>
  <c r="F77" i="4"/>
  <c r="F79" i="4"/>
  <c r="F92" i="4"/>
  <c r="Z92" i="4"/>
  <c r="P103" i="5"/>
  <c r="P104" i="5"/>
  <c r="V55" i="5"/>
  <c r="V57" i="5"/>
  <c r="BD24" i="9"/>
  <c r="BD20" i="9"/>
  <c r="V162" i="1"/>
  <c r="L52" i="2"/>
  <c r="L53" i="2"/>
  <c r="V33" i="1"/>
  <c r="V77" i="1"/>
  <c r="V79" i="1"/>
  <c r="L88" i="2"/>
  <c r="L89" i="2"/>
  <c r="V88" i="1"/>
  <c r="F88" i="7"/>
  <c r="L88" i="7"/>
  <c r="AF88" i="7"/>
  <c r="F88" i="50"/>
  <c r="L88" i="50"/>
  <c r="P88" i="50"/>
  <c r="X88" i="50"/>
  <c r="L89" i="4"/>
  <c r="AI160" i="5"/>
  <c r="AJ160" i="5"/>
  <c r="AL160" i="5"/>
  <c r="AZ160" i="5"/>
  <c r="AK34" i="9"/>
  <c r="AK27" i="9"/>
  <c r="V160" i="4"/>
  <c r="AL160" i="4"/>
  <c r="AL162" i="4"/>
  <c r="L59" i="10"/>
  <c r="L60" i="10"/>
  <c r="V159" i="4"/>
  <c r="L65" i="10"/>
  <c r="L66" i="10"/>
  <c r="F52" i="9"/>
  <c r="BD52" i="9"/>
  <c r="BD37" i="9"/>
  <c r="AQ56" i="9"/>
  <c r="AQ11" i="49"/>
  <c r="AQ17" i="49"/>
  <c r="AQ54" i="49"/>
  <c r="AY24" i="9"/>
  <c r="AY20" i="9"/>
  <c r="D74" i="11"/>
  <c r="X97" i="5"/>
  <c r="W11" i="9"/>
  <c r="W17" i="9"/>
  <c r="W54" i="9"/>
  <c r="W57" i="9"/>
  <c r="AK27" i="49"/>
  <c r="AK34" i="49"/>
  <c r="T92" i="1"/>
  <c r="T97" i="1"/>
  <c r="BH160" i="7"/>
  <c r="AB160" i="50"/>
  <c r="AC160" i="50"/>
  <c r="AI160" i="50"/>
  <c r="AI162" i="50"/>
  <c r="J18" i="51"/>
  <c r="J19" i="51"/>
  <c r="T159" i="50"/>
  <c r="J21" i="51"/>
  <c r="J22" i="51"/>
  <c r="T33" i="50"/>
  <c r="T77" i="50"/>
  <c r="T79" i="50"/>
  <c r="T92" i="50"/>
  <c r="T97" i="50"/>
  <c r="F17" i="9"/>
  <c r="F54" i="9"/>
  <c r="R55" i="5"/>
  <c r="R57" i="5"/>
  <c r="P178" i="7"/>
  <c r="U11" i="9"/>
  <c r="U17" i="9"/>
  <c r="U54" i="9"/>
  <c r="U57" i="9"/>
  <c r="BF160" i="7"/>
  <c r="BF162" i="7"/>
  <c r="T42" i="12"/>
  <c r="T43" i="12"/>
  <c r="AD159" i="7"/>
  <c r="T54" i="12"/>
  <c r="T55" i="12"/>
  <c r="AD160" i="7"/>
  <c r="AX11" i="9"/>
  <c r="AX17" i="9"/>
  <c r="AX54" i="9"/>
  <c r="AX57" i="9"/>
  <c r="F27" i="49"/>
  <c r="L27" i="49"/>
  <c r="X27" i="49"/>
  <c r="X34" i="49"/>
  <c r="AL164" i="7"/>
  <c r="T79" i="1"/>
  <c r="J88" i="2"/>
  <c r="J89" i="2"/>
  <c r="T84" i="1"/>
  <c r="F84" i="5"/>
  <c r="L84" i="5"/>
  <c r="L89" i="5"/>
  <c r="R52" i="49"/>
  <c r="R37" i="49"/>
  <c r="P55" i="1"/>
  <c r="F55" i="13"/>
  <c r="F57" i="13"/>
  <c r="AD57" i="13"/>
  <c r="AV145" i="5"/>
  <c r="AV162" i="5"/>
  <c r="P37" i="11"/>
  <c r="P38" i="11"/>
  <c r="Z159" i="5"/>
  <c r="T33" i="4"/>
  <c r="T77" i="4"/>
  <c r="T79" i="4"/>
  <c r="T92" i="4"/>
  <c r="J71" i="10"/>
  <c r="J72" i="10"/>
  <c r="T108" i="4"/>
  <c r="T110" i="4"/>
  <c r="L67" i="11"/>
  <c r="L68" i="11"/>
  <c r="V160" i="5"/>
  <c r="AB33" i="5"/>
  <c r="AB77" i="5"/>
  <c r="AB79" i="5"/>
  <c r="R64" i="11"/>
  <c r="R65" i="11"/>
  <c r="AB145" i="5"/>
  <c r="AB162" i="5"/>
  <c r="AJ41" i="11"/>
  <c r="AJ42" i="11"/>
  <c r="AJ44" i="11"/>
  <c r="R34" i="11"/>
  <c r="R35" i="11"/>
  <c r="AB55" i="5"/>
  <c r="AB57" i="5"/>
  <c r="Z11" i="9"/>
  <c r="Z17" i="9"/>
  <c r="Z54" i="9"/>
  <c r="Z57" i="9"/>
  <c r="AZ160" i="7"/>
  <c r="AZ162" i="7"/>
  <c r="N42" i="12"/>
  <c r="N43" i="12"/>
  <c r="X159" i="7"/>
  <c r="X162" i="7"/>
  <c r="AL46" i="12"/>
  <c r="AL47" i="12"/>
  <c r="AL49" i="12"/>
  <c r="N39" i="12"/>
  <c r="N40" i="12"/>
  <c r="X33" i="7"/>
  <c r="X77" i="7"/>
  <c r="X79" i="7"/>
  <c r="X92" i="7"/>
  <c r="X97" i="7"/>
  <c r="V88" i="5"/>
  <c r="V86" i="5"/>
  <c r="V145" i="5"/>
  <c r="V162" i="5"/>
  <c r="AD41" i="11"/>
  <c r="AD42" i="11"/>
  <c r="AD44" i="11"/>
  <c r="L34" i="11"/>
  <c r="L35" i="11"/>
  <c r="V33" i="5"/>
  <c r="V77" i="5"/>
  <c r="V79" i="5"/>
  <c r="L64" i="11"/>
  <c r="L65" i="11"/>
  <c r="V85" i="5"/>
  <c r="W24" i="9"/>
  <c r="W20" i="9"/>
  <c r="AD52" i="9"/>
  <c r="AD37" i="9"/>
  <c r="BB24" i="9"/>
  <c r="BB20" i="9"/>
  <c r="AS11" i="9"/>
  <c r="AS17" i="9"/>
  <c r="AS54" i="9"/>
  <c r="AS57" i="9"/>
  <c r="F67" i="11"/>
  <c r="D67" i="11"/>
  <c r="AK11" i="9"/>
  <c r="AK17" i="9"/>
  <c r="AK54" i="9"/>
  <c r="AK57" i="9"/>
  <c r="BC11" i="49"/>
  <c r="BC17" i="49"/>
  <c r="BC54" i="49"/>
  <c r="BC56" i="9"/>
  <c r="AL11" i="49"/>
  <c r="AL17" i="49"/>
  <c r="AL54" i="49"/>
  <c r="AL56" i="9"/>
  <c r="P33" i="4"/>
  <c r="P77" i="4"/>
  <c r="X77" i="4"/>
  <c r="X79" i="4"/>
  <c r="X92" i="4"/>
  <c r="D35" i="11"/>
  <c r="AQ34" i="9"/>
  <c r="AQ27" i="9"/>
  <c r="F37" i="49"/>
  <c r="L37" i="49"/>
  <c r="L52" i="49"/>
  <c r="D52" i="2"/>
  <c r="F53" i="2"/>
  <c r="P33" i="1"/>
  <c r="P77" i="1"/>
  <c r="P79" i="1"/>
  <c r="F88" i="2"/>
  <c r="F89" i="2"/>
  <c r="P84" i="1"/>
  <c r="F84" i="13"/>
  <c r="AD84" i="13"/>
  <c r="R85" i="5"/>
  <c r="R86" i="5"/>
  <c r="R88" i="5"/>
  <c r="R162" i="1"/>
  <c r="H52" i="2"/>
  <c r="H53" i="2"/>
  <c r="R33" i="1"/>
  <c r="R77" i="1"/>
  <c r="R79" i="1"/>
  <c r="H88" i="2"/>
  <c r="H89" i="2"/>
  <c r="R84" i="1"/>
  <c r="F84" i="4"/>
  <c r="L84" i="4"/>
  <c r="T84" i="4"/>
  <c r="T89" i="4"/>
  <c r="AC52" i="9"/>
  <c r="AC37" i="9"/>
  <c r="AG11" i="9"/>
  <c r="AG17" i="9"/>
  <c r="AG54" i="9"/>
  <c r="AG57" i="9"/>
  <c r="V34" i="9"/>
  <c r="V27" i="9"/>
  <c r="AL11" i="9"/>
  <c r="AL17" i="9"/>
  <c r="AL54" i="9"/>
  <c r="AL57" i="9"/>
  <c r="J91" i="2"/>
  <c r="J92" i="2"/>
  <c r="T160" i="1"/>
  <c r="AJ160" i="1"/>
  <c r="AJ162" i="1"/>
  <c r="J61" i="2"/>
  <c r="J62" i="2"/>
  <c r="T159" i="1"/>
  <c r="T162" i="1"/>
  <c r="J52" i="2"/>
  <c r="J53" i="2"/>
  <c r="T33" i="1"/>
  <c r="T77" i="1"/>
  <c r="F77" i="5"/>
  <c r="F79" i="5"/>
  <c r="F92" i="5"/>
  <c r="AF92" i="5"/>
  <c r="AO11" i="9"/>
  <c r="AO17" i="9"/>
  <c r="AO54" i="9"/>
  <c r="AO57" i="9"/>
  <c r="Q52" i="9"/>
  <c r="Q37" i="9"/>
  <c r="D73" i="11"/>
  <c r="N64" i="11"/>
  <c r="N65" i="11"/>
  <c r="X145" i="5"/>
  <c r="X162" i="5"/>
  <c r="AF41" i="11"/>
  <c r="AF42" i="11"/>
  <c r="AF44" i="11"/>
  <c r="N34" i="11"/>
  <c r="N35" i="11"/>
  <c r="X33" i="5"/>
  <c r="X77" i="5"/>
  <c r="X79" i="5"/>
  <c r="X92" i="5"/>
  <c r="N73" i="11"/>
  <c r="N74" i="11"/>
  <c r="X108" i="5"/>
  <c r="X110" i="5"/>
  <c r="AM52" i="9"/>
  <c r="AM37" i="9"/>
  <c r="P92" i="5"/>
  <c r="F73" i="11"/>
  <c r="F74" i="11"/>
  <c r="P108" i="5"/>
  <c r="P110" i="5"/>
  <c r="J64" i="11"/>
  <c r="J65" i="11"/>
  <c r="T145" i="5"/>
  <c r="T162" i="5"/>
  <c r="AB41" i="11"/>
  <c r="AB42" i="11"/>
  <c r="AB44" i="11"/>
  <c r="J34" i="11"/>
  <c r="J35" i="11"/>
  <c r="T33" i="5"/>
  <c r="T77" i="5"/>
  <c r="T79" i="5"/>
  <c r="T92" i="5"/>
  <c r="T97" i="5"/>
  <c r="Z55" i="5"/>
  <c r="Z57" i="5"/>
  <c r="AV52" i="9"/>
  <c r="AV37" i="9"/>
  <c r="L52" i="9"/>
  <c r="R162" i="5"/>
  <c r="Z41" i="11"/>
  <c r="Z42" i="11"/>
  <c r="Z44" i="11"/>
  <c r="H34" i="11"/>
  <c r="H35" i="11"/>
  <c r="R33" i="5"/>
  <c r="R77" i="5"/>
  <c r="R79" i="5"/>
  <c r="H64" i="11"/>
  <c r="H65" i="11"/>
  <c r="R145" i="5"/>
  <c r="H67" i="11"/>
  <c r="H68" i="11"/>
  <c r="R160" i="5"/>
  <c r="AV160" i="7"/>
  <c r="AV162" i="7"/>
  <c r="J42" i="12"/>
  <c r="J43" i="12"/>
  <c r="T159" i="7"/>
  <c r="T162" i="7"/>
  <c r="T164" i="7"/>
  <c r="J15" i="12"/>
  <c r="D15" i="12"/>
  <c r="F16" i="12"/>
  <c r="P176" i="7"/>
  <c r="AJ176" i="7"/>
  <c r="AL176" i="7"/>
  <c r="X41" i="11"/>
  <c r="X42" i="11"/>
  <c r="X44" i="11"/>
  <c r="F34" i="11"/>
  <c r="F35" i="11"/>
  <c r="P33" i="5"/>
  <c r="P77" i="5"/>
  <c r="P79" i="5"/>
  <c r="F64" i="11"/>
  <c r="F65" i="11"/>
  <c r="P145" i="5"/>
  <c r="P162" i="5"/>
  <c r="P164" i="5"/>
  <c r="P180" i="5"/>
  <c r="F27" i="9"/>
  <c r="L27" i="9"/>
  <c r="L34" i="9"/>
  <c r="Z162" i="5"/>
  <c r="AH41" i="11"/>
  <c r="AH42" i="11"/>
  <c r="AH44" i="11"/>
  <c r="P34" i="11"/>
  <c r="P35" i="11"/>
  <c r="Z33" i="5"/>
  <c r="Z77" i="5"/>
  <c r="Z79" i="5"/>
  <c r="P64" i="11"/>
  <c r="P65" i="11"/>
  <c r="Z145" i="5"/>
  <c r="P67" i="11"/>
  <c r="P68" i="11"/>
  <c r="Z160" i="5"/>
  <c r="AJ160" i="4"/>
  <c r="AJ162" i="4"/>
  <c r="J59" i="10"/>
  <c r="J60" i="10"/>
  <c r="T159" i="4"/>
  <c r="T162" i="4"/>
  <c r="V63" i="10"/>
  <c r="V64" i="10"/>
  <c r="V66" i="10"/>
  <c r="J56" i="10"/>
  <c r="J57" i="10"/>
  <c r="T103" i="4"/>
  <c r="T104" i="4"/>
  <c r="F159" i="7"/>
  <c r="F162" i="7"/>
  <c r="F164" i="7"/>
  <c r="F180" i="7"/>
  <c r="AL180" i="7"/>
  <c r="F11" i="49"/>
  <c r="L11" i="49"/>
  <c r="W11" i="49"/>
  <c r="W17" i="49"/>
  <c r="W54" i="49"/>
  <c r="W56" i="9"/>
  <c r="AL162" i="1"/>
  <c r="L61" i="2"/>
  <c r="L62" i="2"/>
  <c r="V159" i="1"/>
  <c r="L91" i="2"/>
  <c r="L92" i="2"/>
  <c r="V160" i="1"/>
  <c r="AL160" i="1"/>
  <c r="AO160" i="7"/>
  <c r="AP160" i="7"/>
  <c r="AR160" i="7"/>
  <c r="AR162" i="7"/>
  <c r="F42" i="12"/>
  <c r="F43" i="12"/>
  <c r="P159" i="7"/>
  <c r="P162" i="7"/>
  <c r="P164" i="7"/>
  <c r="P180" i="7"/>
  <c r="F37" i="9"/>
  <c r="L37" i="9"/>
  <c r="Y37" i="9"/>
  <c r="Y52" i="9"/>
  <c r="D61" i="2"/>
  <c r="F62" i="2"/>
  <c r="P159" i="1"/>
  <c r="F159" i="13"/>
  <c r="L159" i="13"/>
  <c r="P159" i="13"/>
  <c r="P162" i="13"/>
  <c r="P164" i="13"/>
  <c r="P180" i="13"/>
  <c r="F11" i="9"/>
  <c r="L11" i="9"/>
  <c r="AC11" i="9"/>
  <c r="AC17" i="9"/>
  <c r="AC54" i="9"/>
  <c r="AC57" i="9"/>
  <c r="P164" i="4"/>
  <c r="P180" i="4"/>
  <c r="F20" i="9"/>
  <c r="L20" i="9"/>
  <c r="L24" i="9"/>
  <c r="AH162" i="1"/>
  <c r="H61" i="2"/>
  <c r="H62" i="2"/>
  <c r="R159" i="1"/>
  <c r="H91" i="2"/>
  <c r="H92" i="2"/>
  <c r="R160" i="1"/>
  <c r="AH160" i="1"/>
  <c r="AC160" i="4"/>
  <c r="AD160" i="4"/>
  <c r="AF160" i="4"/>
  <c r="AF162" i="4"/>
  <c r="F59" i="10"/>
  <c r="F60" i="10"/>
  <c r="P159" i="4"/>
  <c r="P162" i="4"/>
  <c r="R63" i="10"/>
  <c r="R64" i="10"/>
  <c r="R66" i="10"/>
  <c r="F56" i="10"/>
  <c r="F57" i="10"/>
  <c r="P55" i="4"/>
  <c r="P57" i="4"/>
</calcChain>
</file>

<file path=xl/sharedStrings.xml><?xml version="1.0" encoding="utf-8"?>
<sst xmlns="http://schemas.openxmlformats.org/spreadsheetml/2006/main" count="2595" uniqueCount="531">
  <si>
    <t>Enbridge Gas Inc.</t>
  </si>
  <si>
    <t>Harmonized Cost Allocation Study</t>
  </si>
  <si>
    <t>Line</t>
  </si>
  <si>
    <t>Revenue</t>
  </si>
  <si>
    <t>No.</t>
  </si>
  <si>
    <t>Requirement</t>
  </si>
  <si>
    <t>Factor</t>
  </si>
  <si>
    <t>Gas Supply</t>
  </si>
  <si>
    <t>Storage</t>
  </si>
  <si>
    <t>Transmission</t>
  </si>
  <si>
    <t>Distribution</t>
  </si>
  <si>
    <t>Total</t>
  </si>
  <si>
    <t>(a)</t>
  </si>
  <si>
    <t>(b)</t>
  </si>
  <si>
    <t>(c)</t>
  </si>
  <si>
    <t>(e)</t>
  </si>
  <si>
    <t>(f)</t>
  </si>
  <si>
    <t>Net Plant</t>
  </si>
  <si>
    <t>LAND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</si>
  <si>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</si>
  <si>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</si>
  <si>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</si>
  <si>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</si>
  <si>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</si>
  <si>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</si>
  <si>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</si>
  <si>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</si>
  <si>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</si>
  <si>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</si>
  <si>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</si>
  <si>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</si>
  <si>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</si>
  <si>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</si>
  <si>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</t>
  </si>
  <si>
    <t>Customer Stations</t>
  </si>
  <si>
    <t>NETPLANT</t>
  </si>
  <si>
    <t>Working Capital</t>
  </si>
  <si>
    <t>O&amp;M</t>
  </si>
  <si>
    <t>Percent Return on Rate Base</t>
  </si>
  <si>
    <t>Income Taxes</t>
  </si>
  <si>
    <t>Property Taxes</t>
  </si>
  <si>
    <t>Materials and Supplies</t>
  </si>
  <si>
    <t>Customer Security Deposits</t>
  </si>
  <si>
    <t>RATEBASE</t>
  </si>
  <si>
    <t>Storage Demand</t>
  </si>
  <si>
    <t>System</t>
  </si>
  <si>
    <t>Deliverability</t>
  </si>
  <si>
    <t>Space</t>
  </si>
  <si>
    <t>Integrity</t>
  </si>
  <si>
    <t>Commodity</t>
  </si>
  <si>
    <t>DELIVERABILITY</t>
  </si>
  <si>
    <t>Transmission Demand</t>
  </si>
  <si>
    <t>Dawn</t>
  </si>
  <si>
    <t>Station</t>
  </si>
  <si>
    <t>Kirkwall</t>
  </si>
  <si>
    <t>Parkway</t>
  </si>
  <si>
    <t>Dawn-</t>
  </si>
  <si>
    <t>Parkway-</t>
  </si>
  <si>
    <t>Albion</t>
  </si>
  <si>
    <t>(g)</t>
  </si>
  <si>
    <t>Panhandle</t>
  </si>
  <si>
    <t>(h)</t>
  </si>
  <si>
    <t>(i)</t>
  </si>
  <si>
    <t>Distribution Demand</t>
  </si>
  <si>
    <t>Distribution Customer</t>
  </si>
  <si>
    <t>Capacity &lt;= 4"</t>
  </si>
  <si>
    <t>Capacity &gt; 4"</t>
  </si>
  <si>
    <t>Capacity</t>
  </si>
  <si>
    <t>Customer</t>
  </si>
  <si>
    <t>Income &amp; Property Taxes</t>
  </si>
  <si>
    <t>Depreciation Expense</t>
  </si>
  <si>
    <t>Local Storage</t>
  </si>
  <si>
    <t>Distribution Customer Accounting</t>
  </si>
  <si>
    <t>TRANSMISSION</t>
  </si>
  <si>
    <t>Operating &amp; Maintenance Expenses</t>
  </si>
  <si>
    <t>Land</t>
  </si>
  <si>
    <t>Land Rights</t>
  </si>
  <si>
    <t xml:space="preserve">Land </t>
  </si>
  <si>
    <t>Linepack</t>
  </si>
  <si>
    <t>ZERO_INT</t>
  </si>
  <si>
    <t>DISTDEMAND</t>
  </si>
  <si>
    <t>DISTMAINS&amp;MR</t>
  </si>
  <si>
    <t>Rate</t>
  </si>
  <si>
    <t>M1</t>
  </si>
  <si>
    <t>M2</t>
  </si>
  <si>
    <t>M4 (F)</t>
  </si>
  <si>
    <t>M4 (I)</t>
  </si>
  <si>
    <t>M5 (F)</t>
  </si>
  <si>
    <t>M5 (I)</t>
  </si>
  <si>
    <t>M7 (F)</t>
  </si>
  <si>
    <t>M7 (I)</t>
  </si>
  <si>
    <t>M9</t>
  </si>
  <si>
    <t>M10</t>
  </si>
  <si>
    <t>T1 (F)</t>
  </si>
  <si>
    <t>T1 (I)</t>
  </si>
  <si>
    <t>T2 (F)</t>
  </si>
  <si>
    <t>T2 (I)</t>
  </si>
  <si>
    <t>T3</t>
  </si>
  <si>
    <t>C1 (F)</t>
  </si>
  <si>
    <t>M12</t>
  </si>
  <si>
    <t>M13</t>
  </si>
  <si>
    <t>M16</t>
  </si>
  <si>
    <t>M17</t>
  </si>
  <si>
    <t>01</t>
  </si>
  <si>
    <t>St. Clair</t>
  </si>
  <si>
    <t>(j)</t>
  </si>
  <si>
    <t>LINEPACK</t>
  </si>
  <si>
    <t>Check</t>
  </si>
  <si>
    <t>STOR_RATEBASE</t>
  </si>
  <si>
    <t>DIST_RATEBASE</t>
  </si>
  <si>
    <t xml:space="preserve">Employee Benefits </t>
  </si>
  <si>
    <t>LABOUR</t>
  </si>
  <si>
    <t>Storage Demand - Deliverability</t>
  </si>
  <si>
    <t>Storage Demand - Space</t>
  </si>
  <si>
    <t>Storage Commodity</t>
  </si>
  <si>
    <t>Transmission Demand - Dawn Station</t>
  </si>
  <si>
    <t>Transmission Demand - Kirkwall Station</t>
  </si>
  <si>
    <t>Transmission Demand - Parkway Station</t>
  </si>
  <si>
    <t>Transmission Commodity</t>
  </si>
  <si>
    <t>Total Storage Revenue Requirement</t>
  </si>
  <si>
    <t>Storage Revenue Requirement</t>
  </si>
  <si>
    <t>Transmission Revenue Requirement</t>
  </si>
  <si>
    <t>Total Transmission Revenue Requirement</t>
  </si>
  <si>
    <t>Distribution Revenue Requirement</t>
  </si>
  <si>
    <t>Distribution Customer - Mains</t>
  </si>
  <si>
    <t>Distribution Customer - Services</t>
  </si>
  <si>
    <t>Distribution Customer - Meters</t>
  </si>
  <si>
    <t>Allocation</t>
  </si>
  <si>
    <t>Compressor Fuel</t>
  </si>
  <si>
    <t>Unaccounted For Gas</t>
  </si>
  <si>
    <t>UFG</t>
  </si>
  <si>
    <t>COMPFUEL</t>
  </si>
  <si>
    <t>Other Revenue</t>
  </si>
  <si>
    <t>Gas Supply Optimization</t>
  </si>
  <si>
    <t>Gas</t>
  </si>
  <si>
    <t>Supply</t>
  </si>
  <si>
    <t>Transportation</t>
  </si>
  <si>
    <t>Demand</t>
  </si>
  <si>
    <t>Transportation Demand</t>
  </si>
  <si>
    <t>Load Balancing</t>
  </si>
  <si>
    <t>Other Transportation</t>
  </si>
  <si>
    <t>GENOPS&amp;ENG</t>
  </si>
  <si>
    <t>GENPLANT</t>
  </si>
  <si>
    <t>STOR_GENPLANT</t>
  </si>
  <si>
    <t>DIST_GENPLANT</t>
  </si>
  <si>
    <t>Demand Side Management - Program</t>
  </si>
  <si>
    <t>Direct Purchase Administration</t>
  </si>
  <si>
    <t>PROPTAX</t>
  </si>
  <si>
    <t>Late Payment Penalties</t>
  </si>
  <si>
    <t>Customer Accounting Charge</t>
  </si>
  <si>
    <t>Other Income</t>
  </si>
  <si>
    <t>Specific</t>
  </si>
  <si>
    <t>Pressure</t>
  </si>
  <si>
    <t>Direct</t>
  </si>
  <si>
    <t>Assignment</t>
  </si>
  <si>
    <t>Gas Supply Commodity</t>
  </si>
  <si>
    <t>Transportation Commodity</t>
  </si>
  <si>
    <t>DCB/ABC Fee</t>
  </si>
  <si>
    <t>Admin</t>
  </si>
  <si>
    <t>ADMIN</t>
  </si>
  <si>
    <t>Balance</t>
  </si>
  <si>
    <t>to be</t>
  </si>
  <si>
    <t>Functional</t>
  </si>
  <si>
    <t>(j) = (f+g+h+i)</t>
  </si>
  <si>
    <t>Classification</t>
  </si>
  <si>
    <t>Functionalized</t>
  </si>
  <si>
    <t>(k)</t>
  </si>
  <si>
    <t>(l)</t>
  </si>
  <si>
    <t>(m)</t>
  </si>
  <si>
    <t>Transmission Demand - Panhandle St. Clair</t>
  </si>
  <si>
    <t>(d)= (a-b)</t>
  </si>
  <si>
    <t>Total Other Revenue</t>
  </si>
  <si>
    <t>Total Revenue Requirement Less Other Revenue</t>
  </si>
  <si>
    <t>Total Revenue Requirement</t>
  </si>
  <si>
    <t xml:space="preserve">Total Revenue </t>
  </si>
  <si>
    <t xml:space="preserve">Requirement </t>
  </si>
  <si>
    <t>Net of Other Revenue</t>
  </si>
  <si>
    <t>DP_GS_CUSTACCT</t>
  </si>
  <si>
    <t>DP_GS_EMPBEN</t>
  </si>
  <si>
    <t>DP_GS_A&amp;G</t>
  </si>
  <si>
    <t>NETFROMSTOR</t>
  </si>
  <si>
    <t>STORAGEXCESS</t>
  </si>
  <si>
    <t xml:space="preserve">Cost of Gas </t>
  </si>
  <si>
    <t>STOR_O&amp;M</t>
  </si>
  <si>
    <t>STOR_PROPTAX</t>
  </si>
  <si>
    <t>LANDRIGHTS</t>
  </si>
  <si>
    <t>DSM_PRO</t>
  </si>
  <si>
    <t>DSM_ADM</t>
  </si>
  <si>
    <t>Distribution Demand - Specific Allocation</t>
  </si>
  <si>
    <t xml:space="preserve">Distribution Customer- Specific </t>
  </si>
  <si>
    <t>Distribution Demand Specific - DSM Program</t>
  </si>
  <si>
    <t>Distribution Demand Specific - DSM Admin</t>
  </si>
  <si>
    <t xml:space="preserve">Total Direct </t>
  </si>
  <si>
    <t>Direct Assignment</t>
  </si>
  <si>
    <t>Balance to be</t>
  </si>
  <si>
    <t xml:space="preserve">Allocated </t>
  </si>
  <si>
    <t>Supervision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</si>
  <si>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</si>
  <si>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</si>
  <si>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</si>
  <si>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</si>
  <si>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</si>
  <si>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Sales Promotion &amp; Supervision</t>
  </si>
  <si>
    <t>Service &amp; Equipment on Customer Premise</t>
  </si>
  <si>
    <t xml:space="preserve">Storage Wells &amp; Lines </t>
  </si>
  <si>
    <t>Rents</t>
  </si>
  <si>
    <t>Labour</t>
  </si>
  <si>
    <t>CUST_SPECIFIC</t>
  </si>
  <si>
    <t>Stations</t>
  </si>
  <si>
    <t>(n)</t>
  </si>
  <si>
    <t xml:space="preserve">Distribution </t>
  </si>
  <si>
    <t>Distribution Customer - Stations</t>
  </si>
  <si>
    <t>Cost</t>
  </si>
  <si>
    <t>Percent</t>
  </si>
  <si>
    <t xml:space="preserve">Labour </t>
  </si>
  <si>
    <t>METERREPLCOST</t>
  </si>
  <si>
    <t>STATIONREPLCOST</t>
  </si>
  <si>
    <t>(d) = (a-b)</t>
  </si>
  <si>
    <t>(o)</t>
  </si>
  <si>
    <t>(p) = (sum f to o)</t>
  </si>
  <si>
    <t>Storage, Transmission, and Distribution</t>
  </si>
  <si>
    <t>General Plant</t>
  </si>
  <si>
    <t>Total Depreciation Expense</t>
  </si>
  <si>
    <t>DEPEXP</t>
  </si>
  <si>
    <t>Compressor</t>
  </si>
  <si>
    <t>Dehydration</t>
  </si>
  <si>
    <t>Other Storage</t>
  </si>
  <si>
    <t>Lines</t>
  </si>
  <si>
    <t>Parkway Delivery Commitment Incentive</t>
  </si>
  <si>
    <t>Meter &amp; Regulator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</si>
  <si>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</si>
  <si>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</si>
  <si>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</si>
  <si>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</si>
  <si>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</si>
  <si>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Demand Side Management - Administration</t>
  </si>
  <si>
    <t>Customer Contracts &amp; Orders</t>
  </si>
  <si>
    <t>Administrative &amp; General Expense</t>
  </si>
  <si>
    <t>Administrative &amp; General</t>
  </si>
  <si>
    <t xml:space="preserve">    Supervision</t>
  </si>
  <si>
    <t>MKTSTORFUEL</t>
  </si>
  <si>
    <t>MKTSTOR_DEMAND</t>
  </si>
  <si>
    <t>TRANSMAIN&gt;4"</t>
  </si>
  <si>
    <t xml:space="preserve">     Supervision</t>
  </si>
  <si>
    <t>DAWNCOMP</t>
  </si>
  <si>
    <t>KIRKWALL_DEMAND</t>
  </si>
  <si>
    <t>DEM_SPECIFIC</t>
  </si>
  <si>
    <t>TOTAL_CUSTOMERS</t>
  </si>
  <si>
    <t>SUPPLY_VOL</t>
  </si>
  <si>
    <t>TOTAL_VOL</t>
  </si>
  <si>
    <t>D-PTRANS</t>
  </si>
  <si>
    <t xml:space="preserve">   Supervision</t>
  </si>
  <si>
    <t>BAD_DEBT</t>
  </si>
  <si>
    <t>Company Use Gas</t>
  </si>
  <si>
    <t xml:space="preserve"> </t>
  </si>
  <si>
    <t>VOL_EX_UNB</t>
  </si>
  <si>
    <t>STOR_LABOUR</t>
  </si>
  <si>
    <t>DIST_LABOUR</t>
  </si>
  <si>
    <t>TRANS_LABOUR</t>
  </si>
  <si>
    <t>C1 (I)</t>
  </si>
  <si>
    <t>PAN_STCLAIR</t>
  </si>
  <si>
    <t>DIST_MAINS&amp;SERVICES</t>
  </si>
  <si>
    <t>PKWY_DEMAND</t>
  </si>
  <si>
    <t>STOR_NETPLANT</t>
  </si>
  <si>
    <t>Rate of Return</t>
  </si>
  <si>
    <t>Return on Rate Base</t>
  </si>
  <si>
    <t>TRANS_GENPLANT</t>
  </si>
  <si>
    <t>TRANS_NETPLANT</t>
  </si>
  <si>
    <t>TRANS_RATEBASE</t>
  </si>
  <si>
    <t>TRANS_PROPTAX</t>
  </si>
  <si>
    <t>DIST_NETPLANT</t>
  </si>
  <si>
    <t>Net Plant (Before Gen Plant)</t>
  </si>
  <si>
    <t>CUST_METERS</t>
  </si>
  <si>
    <t>CUST_STATIONS</t>
  </si>
  <si>
    <t>DIST_PROPTAX</t>
  </si>
  <si>
    <t>CUST_SERVICES</t>
  </si>
  <si>
    <t>STOR_DEPEXP</t>
  </si>
  <si>
    <t>TRANS_DEPEXP</t>
  </si>
  <si>
    <t>DIST_DEPEXP</t>
  </si>
  <si>
    <t>OPTIMIZATION</t>
  </si>
  <si>
    <t>COMMUNITY_EXP</t>
  </si>
  <si>
    <t>LINEPACK_D</t>
  </si>
  <si>
    <t>Distribution Commodity</t>
  </si>
  <si>
    <t>TRANS_COMM</t>
  </si>
  <si>
    <t>TRANS_COMPFUEL</t>
  </si>
  <si>
    <t>Match</t>
  </si>
  <si>
    <t xml:space="preserve">Match </t>
  </si>
  <si>
    <t>DIST_O&amp;M</t>
  </si>
  <si>
    <t>General Service</t>
  </si>
  <si>
    <t>Contract</t>
  </si>
  <si>
    <t>Ex-Franchise</t>
  </si>
  <si>
    <t>Rate T3</t>
  </si>
  <si>
    <t>STOR_COMM</t>
  </si>
  <si>
    <t>DIST_COMM</t>
  </si>
  <si>
    <t>DAWN_COMP_O&amp;M</t>
  </si>
  <si>
    <t>STOR_SUPER_O&amp;M</t>
  </si>
  <si>
    <t>TRANS_DEMAND</t>
  </si>
  <si>
    <t>LOAD_BALANCING</t>
  </si>
  <si>
    <t>TRANS_FUEL</t>
  </si>
  <si>
    <t>GASINSTORAGE</t>
  </si>
  <si>
    <t>OWN_USE_GAS</t>
  </si>
  <si>
    <t>LNG_LAND</t>
  </si>
  <si>
    <t>LNG_EQUIPMENT</t>
  </si>
  <si>
    <t>TRANS_O&amp;M</t>
  </si>
  <si>
    <t>(m) = (sum f to l)</t>
  </si>
  <si>
    <t>LNG_O&amp;M</t>
  </si>
  <si>
    <t>CUST_EXCL_GS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</si>
  <si>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</si>
  <si>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</si>
  <si>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</si>
  <si>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</si>
  <si>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</si>
  <si>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</si>
  <si>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</si>
  <si>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Distribution Customer Specific Classification Summary</t>
  </si>
  <si>
    <t>Uncollectible</t>
  </si>
  <si>
    <t>Accounts</t>
  </si>
  <si>
    <t>Distribution Customer Specific</t>
  </si>
  <si>
    <t>Uncollectable</t>
  </si>
  <si>
    <t>(l) = (f+g+h+i+j+k)</t>
  </si>
  <si>
    <t>Transport</t>
  </si>
  <si>
    <t>Distribution Demand - High Pressure &gt; 4"</t>
  </si>
  <si>
    <t>Distribution Demand - High Pressure &lt;= 4"</t>
  </si>
  <si>
    <t>Distribution Demand - Low Pressure</t>
  </si>
  <si>
    <t>HIGHPRESS&gt;4</t>
  </si>
  <si>
    <t>HIGHPRESS&lt;=4</t>
  </si>
  <si>
    <t>LOWPRESS</t>
  </si>
  <si>
    <t>Meters &amp; Regulators</t>
  </si>
  <si>
    <t xml:space="preserve">Total Taxes </t>
  </si>
  <si>
    <t xml:space="preserve">Gross Plant </t>
  </si>
  <si>
    <t>Accumulated Depreciation</t>
  </si>
  <si>
    <t>Accumlated Depreciation</t>
  </si>
  <si>
    <t>Total Gross Plant   (line 14 + line 15)</t>
  </si>
  <si>
    <t>Subtotal   (sum line 1-13)</t>
  </si>
  <si>
    <t>Subtotal   (sum line 17-29)</t>
  </si>
  <si>
    <t>Total Accumulated Depreciation   (line 30 + line 31)</t>
  </si>
  <si>
    <t>Subtotal   (sum line 33-45)</t>
  </si>
  <si>
    <t>Total Net Plant   (line 46 + line 47)</t>
  </si>
  <si>
    <t>Subtotal   (sum line 49-57)</t>
  </si>
  <si>
    <t>Total Rate Base   (line 48 + line 58)</t>
  </si>
  <si>
    <t>Return on Rate Base   (line 59 x line 60)</t>
  </si>
  <si>
    <t>Total Operating Expenses (sum line 68 to 75)</t>
  </si>
  <si>
    <t>LANDRIGHTS_AD</t>
  </si>
  <si>
    <t>STRUC&amp;IMP_AD</t>
  </si>
  <si>
    <t>MEAS&amp;REG_AD</t>
  </si>
  <si>
    <t>MAINS_AD</t>
  </si>
  <si>
    <t>COMPRESSORS_AD</t>
  </si>
  <si>
    <t>TRANS_LANDRIGHTS_AD</t>
  </si>
  <si>
    <t>TRANS_STRUC&amp;IMP_AD</t>
  </si>
  <si>
    <t>TRANS_MEAS&amp;REG_AD</t>
  </si>
  <si>
    <t>TRANS_MAINS_AD</t>
  </si>
  <si>
    <t>TRANS_COMPRESSORS_AD</t>
  </si>
  <si>
    <t>Gas Commodity, Transportation &amp; Load Balancing</t>
  </si>
  <si>
    <t>GENPLANT_DEPEXP</t>
  </si>
  <si>
    <t>Classification Factor</t>
  </si>
  <si>
    <t>DISTCUST_O&amp;M</t>
  </si>
  <si>
    <t>Customers</t>
  </si>
  <si>
    <t>DISTCUST_SUPER</t>
  </si>
  <si>
    <t>LNG_EQUIPMENT_AD</t>
  </si>
  <si>
    <t>LNG_STRUCTURES</t>
  </si>
  <si>
    <t>LNG_STRUCTURES_AD</t>
  </si>
  <si>
    <t>CONTRACT_CUST</t>
  </si>
  <si>
    <t>Depreciation</t>
  </si>
  <si>
    <t>Expense</t>
  </si>
  <si>
    <t>High</t>
  </si>
  <si>
    <t>Low</t>
  </si>
  <si>
    <t>Classified</t>
  </si>
  <si>
    <t>(j) = (f+g+h+i))</t>
  </si>
  <si>
    <t xml:space="preserve">Total </t>
  </si>
  <si>
    <t>DISTCUST_LABOUR</t>
  </si>
  <si>
    <t>Gas in Storage &amp; Balancing Gas Costs</t>
  </si>
  <si>
    <t>Rate Base Amount</t>
  </si>
  <si>
    <t>Pressure  &gt; 4"</t>
  </si>
  <si>
    <t>Pressure &lt;= 4"</t>
  </si>
  <si>
    <t>Pressure &gt; 4"</t>
  </si>
  <si>
    <t>Transmission Demand - Dawn Parkway</t>
  </si>
  <si>
    <t>Transmission Demand - Albion</t>
  </si>
  <si>
    <t>ALBIONTRANS</t>
  </si>
  <si>
    <t>GASSTORALLO</t>
  </si>
  <si>
    <t>STORCOMM</t>
  </si>
  <si>
    <t>TRANSCOMM</t>
  </si>
  <si>
    <t>DISTCOMM</t>
  </si>
  <si>
    <t>Market Based Storage</t>
  </si>
  <si>
    <t>NORTH_STORAGE</t>
  </si>
  <si>
    <t>North Unb</t>
  </si>
  <si>
    <t>Accounting</t>
  </si>
  <si>
    <t>Large Volume</t>
  </si>
  <si>
    <t>Care</t>
  </si>
  <si>
    <t>SALESPROMO</t>
  </si>
  <si>
    <t>DAWNPARKWAY</t>
  </si>
  <si>
    <t>TRANSPT_DEMAND_OPT</t>
  </si>
  <si>
    <t>Operational</t>
  </si>
  <si>
    <t>Contingency</t>
  </si>
  <si>
    <t>Storage Demand - Operational Contingency</t>
  </si>
  <si>
    <t>OP_CONTINGENCY</t>
  </si>
  <si>
    <t>DEL_SPACE_OPCON</t>
  </si>
  <si>
    <t>SPACE_OPCON</t>
  </si>
  <si>
    <t>DP_GS_GENOPS</t>
  </si>
  <si>
    <t>STOR_SUPER</t>
  </si>
  <si>
    <t>TRANS_SUPER</t>
  </si>
  <si>
    <t>DIST_SUPER</t>
  </si>
  <si>
    <t>GASSUPPLY</t>
  </si>
  <si>
    <t>GS_BADDEBT</t>
  </si>
  <si>
    <t>GS_OTHERTRANS</t>
  </si>
  <si>
    <t>GASSUPPLY_CLASS</t>
  </si>
  <si>
    <t>Net Plant (excl. Gen Plant)</t>
  </si>
  <si>
    <t>TRANS_GENPLANT FACTOR</t>
  </si>
  <si>
    <t>Net Plant (Excl. Gen Plant)</t>
  </si>
  <si>
    <t>STOR_GENPLANT FACTOR</t>
  </si>
  <si>
    <t>DIST_GENPLANT FACTOR</t>
  </si>
  <si>
    <t>DAWN_O&amp;M</t>
  </si>
  <si>
    <t>WINTER_VOL</t>
  </si>
  <si>
    <t>2024 Cost Allocation Study - Current Rate Classes</t>
  </si>
  <si>
    <t>Functionalization Factors</t>
  </si>
  <si>
    <t xml:space="preserve">Functionalization </t>
  </si>
  <si>
    <t>(d)</t>
  </si>
  <si>
    <t>EXT</t>
  </si>
  <si>
    <t>INT</t>
  </si>
  <si>
    <t>EGD Rate Zone</t>
  </si>
  <si>
    <t>Union South Rate Zone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</si>
  <si>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</si>
  <si>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</si>
  <si>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</si>
  <si>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</si>
  <si>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</si>
  <si>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</si>
  <si>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</si>
  <si>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</si>
  <si>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</si>
  <si>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</si>
  <si>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</si>
  <si>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</si>
  <si>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</si>
  <si>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</si>
  <si>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</si>
  <si>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</si>
  <si>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</si>
  <si>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</si>
  <si>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</si>
  <si>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</si>
  <si>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</si>
  <si>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</si>
  <si>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</si>
  <si>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</si>
  <si>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</si>
  <si>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</si>
  <si>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</si>
  <si>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</si>
  <si>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Functionalization</t>
  </si>
  <si>
    <t>Particulars ($000s)</t>
  </si>
  <si>
    <t>Gas Supply Classification</t>
  </si>
  <si>
    <t>Storage Classification</t>
  </si>
  <si>
    <t>Transmission Classification</t>
  </si>
  <si>
    <t>Distribution Classification</t>
  </si>
  <si>
    <t>Total Allocation</t>
  </si>
  <si>
    <t>Allocation of Delivery Revenue Requirement</t>
  </si>
  <si>
    <t>Allocation of Gas Cost Revenue Requirement</t>
  </si>
  <si>
    <t>DCB Receivable/(Payable)</t>
  </si>
  <si>
    <t xml:space="preserve">Gas in Storage </t>
  </si>
  <si>
    <t>Working Cash Allowance</t>
  </si>
  <si>
    <t>Total Distribution Revenue Requirement</t>
  </si>
  <si>
    <t>Total Gas Supply Revenue Requirement</t>
  </si>
  <si>
    <t>Gas Supply Revenue Requirement</t>
  </si>
  <si>
    <t>Load Balancing - Transportation</t>
  </si>
  <si>
    <t>Load Balancing - Commodity</t>
  </si>
  <si>
    <t>Other Revenue Surcharges</t>
  </si>
  <si>
    <t>(ar)</t>
  </si>
  <si>
    <t>(as)</t>
  </si>
  <si>
    <t>(at)</t>
  </si>
  <si>
    <t>(au)</t>
  </si>
  <si>
    <t>(av)</t>
  </si>
  <si>
    <t>Gas Supply Classification Factors</t>
  </si>
  <si>
    <t>Storage Classification Factors</t>
  </si>
  <si>
    <t>Transmission Classification Factors</t>
  </si>
  <si>
    <t>Distribution Classification Factors</t>
  </si>
  <si>
    <t>Total Gross Plant (lines 14+15)</t>
  </si>
  <si>
    <t>Total Accumulated Depreciation (lines 30+31)</t>
  </si>
  <si>
    <t>Subtotal (sum line 33 to 45)</t>
  </si>
  <si>
    <t>Total Net Plant (lines 46+47)</t>
  </si>
  <si>
    <t>Subtotal   (sum lines 49 to 53)</t>
  </si>
  <si>
    <t>Total Rate Base (lines 48+54)</t>
  </si>
  <si>
    <t>Return on Rate Base   (line 55 x line 56)</t>
  </si>
  <si>
    <t>Total O&amp;M Expenses (sum line 64 to 101)</t>
  </si>
  <si>
    <t>Total Revenue Requirement (lines 57+60+63+102)</t>
  </si>
  <si>
    <t>Total Other Revenue (sum lines 104 to 110)</t>
  </si>
  <si>
    <t>(lines 103 - line 111)</t>
  </si>
  <si>
    <t>(lines 10 - line 111)</t>
  </si>
  <si>
    <t>(line 103 - line 111)</t>
  </si>
  <si>
    <t>Dis + Gas Cost</t>
  </si>
  <si>
    <t>Allocation Factors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</si>
  <si>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</si>
  <si>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</si>
  <si>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</si>
  <si>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</si>
  <si>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</si>
  <si>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</si>
  <si>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</si>
  <si>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</si>
  <si>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</si>
  <si>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</si>
  <si>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</si>
  <si>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9</t>
  </si>
  <si>
    <t>Rate 01</t>
  </si>
  <si>
    <t>Rate 10</t>
  </si>
  <si>
    <t>Rate 20</t>
  </si>
  <si>
    <t>Rate 25</t>
  </si>
  <si>
    <t>Union North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</si>
  <si>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</si>
  <si>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</si>
  <si>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</si>
  <si>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</si>
  <si>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</si>
  <si>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</si>
  <si>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</si>
  <si>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</si>
  <si>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</si>
  <si>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</si>
  <si>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</si>
  <si>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</si>
  <si>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</si>
  <si>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</si>
  <si>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</si>
  <si>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</si>
  <si>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</si>
  <si>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</si>
  <si>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</si>
  <si>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</si>
  <si>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</si>
  <si>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</si>
  <si>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Rate M10</t>
  </si>
  <si>
    <t>North Unb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</si>
</sst>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"/>
    <numFmt numFmtId="171" formatCode="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19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2" applyNumberFormat="1" applyFont="1"/>
    <xf numFmtId="10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/>
    <xf numFmtId="0" fontId="2" fillId="0" borderId="4" xfId="0" applyFont="1" applyBorder="1"/>
    <xf numFmtId="0" fontId="7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43" fontId="2" fillId="0" borderId="0" xfId="1" applyFont="1" applyFill="1" applyBorder="1"/>
    <xf numFmtId="10" fontId="2" fillId="0" borderId="0" xfId="0" applyNumberFormat="1" applyFont="1" applyFill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0" applyNumberFormat="1" applyFont="1" applyFill="1"/>
    <xf numFmtId="43" fontId="2" fillId="0" borderId="2" xfId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4" fillId="0" borderId="0" xfId="3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5" xfId="0" applyNumberFormat="1" applyFont="1" applyBorder="1"/>
    <xf numFmtId="164" fontId="2" fillId="0" borderId="0" xfId="0" applyNumberFormat="1" applyFont="1" applyBorder="1"/>
    <xf numFmtId="9" fontId="2" fillId="0" borderId="0" xfId="2" applyFont="1"/>
    <xf numFmtId="0" fontId="2" fillId="0" borderId="0" xfId="0" applyFont="1" applyFill="1" applyAlignment="1">
      <alignment horizontal="left" indent="2"/>
    </xf>
    <xf numFmtId="0" fontId="2" fillId="0" borderId="0" xfId="0" applyFont="1" applyAlignment="1">
      <alignment horizontal="center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164" fontId="7" fillId="0" borderId="0" xfId="0" applyNumberFormat="1" applyFont="1"/>
    <xf numFmtId="0" fontId="2" fillId="0" borderId="0" xfId="0" applyFont="1" applyAlignment="1">
      <alignment horizontal="center"/>
    </xf>
    <xf numFmtId="164" fontId="4" fillId="0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164" fontId="2" fillId="2" borderId="0" xfId="1" applyNumberFormat="1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horizontal="center"/>
    </xf>
    <xf numFmtId="164" fontId="0" fillId="0" borderId="0" xfId="1" applyNumberFormat="1" applyFont="1" applyFill="1"/>
    <xf numFmtId="0" fontId="0" fillId="0" borderId="0" xfId="0" applyBorder="1"/>
    <xf numFmtId="0" fontId="4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/>
    <xf numFmtId="0" fontId="2" fillId="0" borderId="0" xfId="0" applyFont="1"/>
    <xf numFmtId="164" fontId="2" fillId="0" borderId="0" xfId="1" applyNumberFormat="1" applyFont="1"/>
    <xf numFmtId="10" fontId="2" fillId="0" borderId="0" xfId="2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/>
    <xf numFmtId="164" fontId="5" fillId="0" borderId="0" xfId="1" applyNumberFormat="1" applyFont="1" applyFill="1" applyBorder="1"/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Fill="1"/>
    <xf numFmtId="0" fontId="8" fillId="0" borderId="0" xfId="0" applyFont="1" applyFill="1" applyAlignment="1">
      <alignment horizontal="center"/>
    </xf>
    <xf numFmtId="0" fontId="20" fillId="0" borderId="0" xfId="0" applyFont="1"/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/>
    <xf numFmtId="171" fontId="2" fillId="0" borderId="0" xfId="0" applyNumberFormat="1" applyFont="1"/>
    <xf numFmtId="0" fontId="5" fillId="0" borderId="0" xfId="0" applyFont="1" applyFill="1"/>
    <xf numFmtId="0" fontId="20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4" applyFont="1"/>
    <xf numFmtId="0" fontId="4" fillId="0" borderId="0" xfId="4" applyFont="1" applyFill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10" fontId="2" fillId="0" borderId="0" xfId="0" applyNumberFormat="1" applyFont="1" applyFill="1" applyBorder="1"/>
    <xf numFmtId="10" fontId="2" fillId="0" borderId="0" xfId="2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0" fontId="20" fillId="0" borderId="0" xfId="0" applyFont="1" applyFill="1" applyBorder="1"/>
    <xf numFmtId="0" fontId="21" fillId="0" borderId="0" xfId="1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18" fillId="0" borderId="0" xfId="0" applyFont="1" applyBorder="1"/>
    <xf numFmtId="43" fontId="2" fillId="0" borderId="0" xfId="0" applyNumberFormat="1" applyFont="1" applyBorder="1"/>
    <xf numFmtId="0" fontId="8" fillId="0" borderId="0" xfId="0" applyFont="1" applyBorder="1"/>
    <xf numFmtId="43" fontId="4" fillId="0" borderId="0" xfId="1" applyFont="1" applyFill="1" applyBorder="1"/>
    <xf numFmtId="43" fontId="4" fillId="0" borderId="0" xfId="3" applyFont="1" applyFill="1" applyBorder="1"/>
    <xf numFmtId="167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0" xfId="0" applyFont="1" applyFill="1" applyBorder="1"/>
    <xf numFmtId="0" fontId="5" fillId="0" borderId="0" xfId="0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0" fontId="14" fillId="0" borderId="0" xfId="0" applyFont="1" applyFill="1" applyBorder="1"/>
    <xf numFmtId="0" fontId="4" fillId="0" borderId="0" xfId="0" applyFont="1" applyFill="1" applyBorder="1"/>
    <xf numFmtId="167" fontId="4" fillId="0" borderId="0" xfId="2" applyNumberFormat="1" applyFont="1" applyFill="1" applyBorder="1"/>
    <xf numFmtId="0" fontId="21" fillId="0" borderId="0" xfId="1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2" fillId="0" borderId="0" xfId="0" applyNumberFormat="1" applyFont="1" applyBorder="1"/>
    <xf numFmtId="164" fontId="2" fillId="0" borderId="0" xfId="1" applyNumberFormat="1" applyFont="1" applyFill="1" applyBorder="1" applyAlignment="1">
      <alignment horizontal="center"/>
    </xf>
    <xf numFmtId="164" fontId="4" fillId="0" borderId="0" xfId="4" applyNumberFormat="1" applyBorder="1"/>
    <xf numFmtId="164" fontId="2" fillId="0" borderId="0" xfId="1" applyNumberFormat="1" applyFont="1" applyBorder="1" applyAlignment="1">
      <alignment horizontal="center"/>
    </xf>
    <xf numFmtId="0" fontId="4" fillId="0" borderId="0" xfId="4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4" fontId="0" fillId="0" borderId="0" xfId="1" applyNumberFormat="1" applyFont="1" applyFill="1" applyBorder="1"/>
    <xf numFmtId="0" fontId="1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Fill="1"/>
    <xf numFmtId="0" fontId="22" fillId="0" borderId="0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/>
    <xf numFmtId="10" fontId="22" fillId="0" borderId="0" xfId="0" applyNumberFormat="1" applyFont="1" applyFill="1"/>
    <xf numFmtId="0" fontId="22" fillId="0" borderId="0" xfId="0" applyFont="1" applyFill="1" applyBorder="1"/>
    <xf numFmtId="0" fontId="22" fillId="0" borderId="0" xfId="0" applyFont="1" applyFill="1" applyBorder="1" applyAlignment="1"/>
    <xf numFmtId="0" fontId="16" fillId="0" borderId="0" xfId="0" applyFont="1"/>
    <xf numFmtId="0" fontId="24" fillId="0" borderId="0" xfId="0" applyFont="1"/>
    <xf numFmtId="164" fontId="4" fillId="0" borderId="0" xfId="0" applyNumberFormat="1" applyFont="1"/>
    <xf numFmtId="164" fontId="4" fillId="0" borderId="0" xfId="1" applyNumberFormat="1" applyFont="1" applyFill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164" fontId="4" fillId="0" borderId="2" xfId="1" applyNumberFormat="1" applyFont="1" applyFill="1" applyBorder="1"/>
    <xf numFmtId="43" fontId="4" fillId="0" borderId="0" xfId="1" applyNumberFormat="1" applyFont="1" applyFill="1"/>
    <xf numFmtId="0" fontId="4" fillId="0" borderId="0" xfId="0" applyFont="1" applyAlignment="1">
      <alignment horizontal="left" indent="2"/>
    </xf>
    <xf numFmtId="164" fontId="4" fillId="0" borderId="5" xfId="0" applyNumberFormat="1" applyFont="1" applyFill="1" applyBorder="1"/>
    <xf numFmtId="164" fontId="7" fillId="0" borderId="0" xfId="0" applyNumberFormat="1" applyFont="1" applyFill="1"/>
    <xf numFmtId="0" fontId="7" fillId="0" borderId="0" xfId="0" applyFont="1" applyFill="1"/>
    <xf numFmtId="164" fontId="5" fillId="0" borderId="0" xfId="0" applyNumberFormat="1" applyFont="1" applyFill="1"/>
    <xf numFmtId="0" fontId="4" fillId="0" borderId="0" xfId="0" quotePrefix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Border="1" applyAlignment="1"/>
    <xf numFmtId="0" fontId="3" fillId="0" borderId="0" xfId="0" applyFont="1" applyBorder="1" applyAlignment="1"/>
    <xf numFmtId="0" fontId="16" fillId="0" borderId="0" xfId="0" applyFont="1" applyFill="1"/>
    <xf numFmtId="0" fontId="24" fillId="0" borderId="0" xfId="0" applyFont="1" applyFill="1"/>
    <xf numFmtId="164" fontId="4" fillId="0" borderId="3" xfId="0" applyNumberFormat="1" applyFont="1" applyFill="1" applyBorder="1"/>
    <xf numFmtId="0" fontId="21" fillId="0" borderId="0" xfId="0" applyFont="1" applyFill="1" applyAlignment="1">
      <alignment horizontal="center"/>
    </xf>
    <xf numFmtId="166" fontId="4" fillId="0" borderId="0" xfId="2" applyNumberFormat="1" applyFont="1" applyFill="1"/>
    <xf numFmtId="0" fontId="4" fillId="0" borderId="4" xfId="0" applyFont="1" applyFill="1" applyBorder="1"/>
    <xf numFmtId="164" fontId="4" fillId="0" borderId="5" xfId="1" applyNumberFormat="1" applyFont="1" applyFill="1" applyBorder="1"/>
    <xf numFmtId="10" fontId="4" fillId="0" borderId="0" xfId="2" applyNumberFormat="1" applyFont="1" applyFill="1"/>
    <xf numFmtId="164" fontId="4" fillId="0" borderId="1" xfId="0" applyNumberFormat="1" applyFont="1" applyFill="1" applyBorder="1"/>
    <xf numFmtId="10" fontId="4" fillId="0" borderId="0" xfId="0" applyNumberFormat="1" applyFont="1" applyFill="1"/>
    <xf numFmtId="43" fontId="4" fillId="0" borderId="0" xfId="0" applyNumberFormat="1" applyFont="1" applyFill="1"/>
    <xf numFmtId="9" fontId="4" fillId="0" borderId="0" xfId="2" applyFont="1" applyFill="1"/>
    <xf numFmtId="166" fontId="4" fillId="0" borderId="0" xfId="0" applyNumberFormat="1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0" fontId="4" fillId="2" borderId="0" xfId="0" applyFont="1" applyFill="1"/>
    <xf numFmtId="164" fontId="4" fillId="2" borderId="0" xfId="1" applyNumberFormat="1" applyFont="1" applyFill="1"/>
    <xf numFmtId="164" fontId="4" fillId="0" borderId="2" xfId="1" applyNumberFormat="1" applyFont="1" applyBorder="1"/>
    <xf numFmtId="43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  <xf numFmtId="0" fontId="24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0" fontId="4" fillId="0" borderId="0" xfId="0" applyFont="1" applyFill="1" applyBorder="1" applyAlignment="1"/>
    <xf numFmtId="0" fontId="2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170" fontId="4" fillId="0" borderId="0" xfId="0" applyNumberFormat="1" applyFont="1" applyAlignment="1">
      <alignment horizontal="center"/>
    </xf>
    <xf numFmtId="10" fontId="4" fillId="0" borderId="0" xfId="2" applyNumberFormat="1" applyFont="1"/>
    <xf numFmtId="0" fontId="10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4" fillId="0" borderId="0" xfId="2" applyNumberFormat="1" applyFont="1" applyAlignment="1">
      <alignment horizontal="right"/>
    </xf>
    <xf numFmtId="0" fontId="0" fillId="0" borderId="0" xfId="0" applyFill="1"/>
    <xf numFmtId="0" fontId="14" fillId="0" borderId="0" xfId="0" applyFont="1" applyFill="1"/>
    <xf numFmtId="10" fontId="14" fillId="0" borderId="0" xfId="2" applyNumberFormat="1" applyFont="1" applyFill="1"/>
    <xf numFmtId="167" fontId="14" fillId="0" borderId="0" xfId="2" applyNumberFormat="1" applyFont="1" applyFill="1"/>
    <xf numFmtId="10" fontId="4" fillId="0" borderId="2" xfId="2" applyNumberFormat="1" applyFont="1" applyFill="1" applyBorder="1"/>
    <xf numFmtId="0" fontId="4" fillId="0" borderId="0" xfId="0" applyFont="1" applyFill="1" applyBorder="1" applyAlignment="1">
      <alignment horizontal="left"/>
    </xf>
    <xf numFmtId="167" fontId="2" fillId="0" borderId="0" xfId="2" applyNumberFormat="1" applyFont="1" applyFill="1"/>
    <xf numFmtId="167" fontId="4" fillId="0" borderId="0" xfId="2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view="pageLayout" topLeftCell="M1" zoomScaleNormal="80" workbookViewId="0">
      <selection activeCell="B4" sqref="B4"/>
    </sheetView>
  </sheetViews>
  <sheetFormatPr defaultColWidth="9.1796875" defaultRowHeight="12.5" x14ac:dyDescent="0.25"/>
  <cols>
    <col min="1" max="1" width="1.7265625" style="1" customWidth="1"/>
    <col min="2" max="2" width="5.54296875" style="163" bestFit="1" customWidth="1"/>
    <col min="3" max="3" width="1.7265625" style="1" customWidth="1"/>
    <col min="4" max="4" width="46" style="99" bestFit="1" customWidth="1"/>
    <col min="5" max="5" width="1.7265625" style="94" customWidth="1"/>
    <col min="6" max="6" width="19.7265625" style="94" customWidth="1"/>
    <col min="7" max="7" width="1.7265625" style="94" customWidth="1"/>
    <col min="8" max="8" width="13.1796875" style="94" customWidth="1"/>
    <col min="9" max="9" width="1.7265625" style="94" customWidth="1"/>
    <col min="10" max="10" width="19.26953125" style="91" customWidth="1"/>
    <col min="11" max="11" width="1.7265625" style="188" customWidth="1"/>
    <col min="12" max="12" width="13.26953125" style="94" customWidth="1"/>
    <col min="13" max="13" width="1.7265625" style="94" customWidth="1"/>
    <col min="14" max="14" width="19.81640625" style="94" customWidth="1"/>
    <col min="15" max="15" width="1.7265625" style="188" customWidth="1"/>
    <col min="16" max="16" width="15.453125" style="94" customWidth="1"/>
    <col min="17" max="17" width="1.7265625" style="94" customWidth="1"/>
    <col min="18" max="18" width="15.453125" style="94" customWidth="1"/>
    <col min="19" max="19" width="1.7265625" style="94" customWidth="1"/>
    <col min="20" max="20" width="15.453125" style="94" customWidth="1"/>
    <col min="21" max="21" width="1.7265625" style="94" customWidth="1"/>
    <col min="22" max="22" width="15.453125" style="94" customWidth="1"/>
    <col min="23" max="23" width="1.7265625" style="94" customWidth="1"/>
    <col min="24" max="24" width="15.453125" style="94" hidden="1" customWidth="1"/>
    <col min="25" max="25" width="9.1796875" style="1" customWidth="1"/>
    <col min="26" max="26" width="0" style="1" hidden="1" customWidth="1"/>
    <col min="27" max="28" width="9.1796875" style="1"/>
    <col min="29" max="29" width="9.81640625" style="73" customWidth="1"/>
    <col min="30" max="30" width="9.1796875" style="1"/>
    <col min="31" max="31" width="1.7265625" style="1" customWidth="1"/>
    <col min="32" max="32" width="11.453125" style="1" customWidth="1"/>
    <col min="33" max="33" width="2.1796875" style="1" customWidth="1"/>
    <col min="34" max="34" width="11.453125" style="1" customWidth="1"/>
    <col min="35" max="35" width="2" style="1" customWidth="1"/>
    <col min="36" max="36" width="11.453125" style="1" customWidth="1"/>
    <col min="37" max="37" width="1.81640625" style="1" customWidth="1"/>
    <col min="38" max="38" width="11.453125" style="1" customWidth="1"/>
    <col min="39" max="39" width="1.81640625" style="1" customWidth="1"/>
    <col min="40" max="40" width="11.453125" style="1" customWidth="1"/>
    <col min="41" max="42" width="10.54296875" style="1" bestFit="1" customWidth="1"/>
    <col min="43" max="46" width="11.54296875" style="1" bestFit="1" customWidth="1"/>
    <col min="47" max="16384" width="9.1796875" style="1"/>
  </cols>
  <sheetData>
    <row r="5" spans="2:29" ht="15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</row>
    <row r="6" spans="2:29" ht="15" customHeight="1" x14ac:dyDescent="0.25">
      <c r="B6" s="264" t="s">
        <v>412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2:29" ht="15" customHeight="1" x14ac:dyDescent="0.25">
      <c r="B7" s="263" t="s">
        <v>448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</row>
    <row r="10" spans="2:29" x14ac:dyDescent="0.25">
      <c r="H10" s="91" t="s">
        <v>11</v>
      </c>
      <c r="J10" s="91" t="s">
        <v>153</v>
      </c>
      <c r="L10" s="91" t="s">
        <v>160</v>
      </c>
      <c r="N10" s="91" t="s">
        <v>162</v>
      </c>
      <c r="R10" s="91"/>
      <c r="S10" s="91"/>
      <c r="T10" s="91"/>
      <c r="U10" s="91"/>
    </row>
    <row r="11" spans="2:29" x14ac:dyDescent="0.25">
      <c r="B11" s="163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91" t="s">
        <v>127</v>
      </c>
      <c r="P11" s="91"/>
      <c r="Q11" s="91"/>
      <c r="R11" s="91"/>
      <c r="S11" s="91"/>
      <c r="T11" s="91"/>
      <c r="U11" s="91"/>
    </row>
    <row r="12" spans="2:29" ht="13" x14ac:dyDescent="0.3">
      <c r="B12" s="164" t="s">
        <v>4</v>
      </c>
      <c r="D12" s="5" t="s">
        <v>449</v>
      </c>
      <c r="F12" s="202" t="s">
        <v>5</v>
      </c>
      <c r="H12" s="202" t="s">
        <v>154</v>
      </c>
      <c r="J12" s="202" t="s">
        <v>6</v>
      </c>
      <c r="K12" s="191" t="s">
        <v>286</v>
      </c>
      <c r="L12" s="202" t="s">
        <v>165</v>
      </c>
      <c r="N12" s="202" t="s">
        <v>6</v>
      </c>
      <c r="O12" s="191" t="s">
        <v>286</v>
      </c>
      <c r="P12" s="202" t="s">
        <v>7</v>
      </c>
      <c r="Q12" s="91"/>
      <c r="R12" s="202" t="s">
        <v>8</v>
      </c>
      <c r="S12" s="91"/>
      <c r="T12" s="202" t="s">
        <v>9</v>
      </c>
      <c r="U12" s="91"/>
      <c r="V12" s="202" t="s">
        <v>10</v>
      </c>
      <c r="X12" s="202" t="s">
        <v>11</v>
      </c>
      <c r="Z12" s="36" t="s">
        <v>107</v>
      </c>
      <c r="AB12" s="21"/>
    </row>
    <row r="13" spans="2:29" x14ac:dyDescent="0.25">
      <c r="F13" s="91" t="s">
        <v>12</v>
      </c>
      <c r="H13" s="91" t="s">
        <v>13</v>
      </c>
      <c r="J13" s="91" t="s">
        <v>14</v>
      </c>
      <c r="K13" s="192"/>
      <c r="L13" s="91" t="s">
        <v>217</v>
      </c>
      <c r="N13" s="91" t="s">
        <v>15</v>
      </c>
      <c r="O13" s="192"/>
      <c r="P13" s="91" t="s">
        <v>16</v>
      </c>
      <c r="Q13" s="91"/>
      <c r="R13" s="91" t="s">
        <v>59</v>
      </c>
      <c r="S13" s="91"/>
      <c r="T13" s="91" t="s">
        <v>61</v>
      </c>
      <c r="U13" s="91"/>
      <c r="V13" s="91" t="s">
        <v>62</v>
      </c>
      <c r="X13" s="91" t="s">
        <v>163</v>
      </c>
      <c r="Z13" s="37"/>
    </row>
    <row r="14" spans="2:29" s="187" customFormat="1" ht="13" x14ac:dyDescent="0.3">
      <c r="B14" s="186"/>
      <c r="E14" s="94"/>
      <c r="F14" s="94"/>
      <c r="G14" s="94"/>
      <c r="H14" s="94"/>
      <c r="I14" s="94"/>
      <c r="J14" s="91"/>
      <c r="K14" s="188"/>
      <c r="L14" s="94"/>
      <c r="M14" s="94"/>
      <c r="N14" s="94"/>
      <c r="O14" s="188"/>
      <c r="P14" s="188">
        <v>4</v>
      </c>
      <c r="Q14" s="188"/>
      <c r="R14" s="188">
        <v>6</v>
      </c>
      <c r="S14" s="188"/>
      <c r="T14" s="188">
        <v>8</v>
      </c>
      <c r="U14" s="188"/>
      <c r="V14" s="188">
        <v>10</v>
      </c>
      <c r="W14" s="188"/>
      <c r="X14" s="188"/>
      <c r="Z14" s="190" t="str">
        <f t="shared" ref="Z14:Z61" si="0">IF(ROUND(F14,4)=ROUND(X14,4), "", "check")</f>
        <v/>
      </c>
      <c r="AC14" s="73"/>
    </row>
    <row r="15" spans="2:29" ht="13" x14ac:dyDescent="0.3">
      <c r="D15" s="6"/>
      <c r="E15" s="219"/>
      <c r="F15" s="219"/>
      <c r="Z15" s="35" t="str">
        <f t="shared" si="0"/>
        <v/>
      </c>
    </row>
    <row r="16" spans="2:29" s="99" customFormat="1" ht="13" x14ac:dyDescent="0.3">
      <c r="B16" s="163"/>
      <c r="D16" s="6" t="s">
        <v>329</v>
      </c>
      <c r="E16" s="220"/>
      <c r="F16" s="220"/>
      <c r="G16" s="94"/>
      <c r="H16" s="94"/>
      <c r="I16" s="94"/>
      <c r="J16" s="91"/>
      <c r="K16" s="188"/>
      <c r="L16" s="94"/>
      <c r="M16" s="94"/>
      <c r="N16" s="94"/>
      <c r="O16" s="188"/>
      <c r="P16" s="94"/>
      <c r="Q16" s="94"/>
      <c r="R16" s="94"/>
      <c r="S16" s="94"/>
      <c r="T16" s="94"/>
      <c r="U16" s="94"/>
      <c r="V16" s="94"/>
      <c r="W16" s="94"/>
      <c r="X16" s="94"/>
      <c r="Z16" s="35" t="str">
        <f t="shared" si="0"/>
        <v/>
      </c>
      <c r="AC16" s="73"/>
    </row>
    <row r="17" spans="2:37" s="99" customFormat="1" ht="13" x14ac:dyDescent="0.3">
      <c r="B17" s="163"/>
      <c r="E17" s="94"/>
      <c r="F17" s="94"/>
      <c r="G17" s="94"/>
      <c r="H17" s="94"/>
      <c r="I17" s="94"/>
      <c r="J17" s="91"/>
      <c r="K17" s="188"/>
      <c r="L17" s="94"/>
      <c r="M17" s="94"/>
      <c r="N17" s="94"/>
      <c r="O17" s="188"/>
      <c r="P17" s="94"/>
      <c r="Q17" s="94"/>
      <c r="R17" s="94"/>
      <c r="S17" s="94"/>
      <c r="T17" s="94"/>
      <c r="U17" s="94"/>
      <c r="V17" s="94"/>
      <c r="W17" s="94"/>
      <c r="X17" s="94"/>
      <c r="Z17" s="35" t="str">
        <f t="shared" si="0"/>
        <v/>
      </c>
      <c r="AC17" s="73"/>
    </row>
    <row r="18" spans="2:37" s="99" customFormat="1" ht="13" x14ac:dyDescent="0.3">
      <c r="B18" s="163">
        <v>1</v>
      </c>
      <c r="D18" s="99" t="s">
        <v>77</v>
      </c>
      <c r="E18" s="94"/>
      <c r="F18" s="113">
        <v>221951.98928670486</v>
      </c>
      <c r="G18" s="94"/>
      <c r="H18" s="113"/>
      <c r="I18" s="94"/>
      <c r="J18" s="91"/>
      <c r="K18" s="192">
        <f>_xlfn.IFNA(MATCH(J18,'Function Factors'!$B$9:$B$455,0),0)</f>
        <v>0</v>
      </c>
      <c r="L18" s="113">
        <f>F18-H18</f>
        <v>221951.98928670486</v>
      </c>
      <c r="M18" s="94"/>
      <c r="N18" s="42" t="s">
        <v>18</v>
      </c>
      <c r="O18" s="192">
        <f>_xlfn.IFNA(MATCH(N18,'Function Factors'!$B$9:$B$455,0),0)</f>
        <v>57</v>
      </c>
      <c r="P18" s="200">
        <f ca="1">OFFSET('Function Factors'!$B$9,$O18-1,P$14)*$L18+OFFSET('Function Factors'!$B$9,$K18-1,P$14)*$H18</f>
        <v>0</v>
      </c>
      <c r="Q18" s="94"/>
      <c r="R18" s="200">
        <f ca="1">OFFSET('Function Factors'!$B$9,$O18-1,R$14)*$L18+OFFSET('Function Factors'!$B$9,$K18-1,R$14)*$H18</f>
        <v>12712.975753678993</v>
      </c>
      <c r="S18" s="200"/>
      <c r="T18" s="200">
        <f ca="1">OFFSET('Function Factors'!$B$9,$O18-1,T$14)*$L18+OFFSET('Function Factors'!$B$9,$K18-1,T$14)*$H18</f>
        <v>81031.114909682263</v>
      </c>
      <c r="U18" s="200"/>
      <c r="V18" s="200">
        <f ca="1">OFFSET('Function Factors'!$B$9,$O18-1,V$14)*$L18+OFFSET('Function Factors'!$B$9,$K18-1,V$14)*$H18</f>
        <v>128207.8986233436</v>
      </c>
      <c r="W18" s="94"/>
      <c r="X18" s="200">
        <f ca="1">P18+R18+T18+V18</f>
        <v>221951.98928670486</v>
      </c>
      <c r="Z18" s="35" t="str">
        <f ca="1">IF(ROUND(F18,4)=ROUND(X18,4), "", "check")</f>
        <v/>
      </c>
      <c r="AC18" s="73"/>
    </row>
    <row r="19" spans="2:37" s="99" customFormat="1" ht="13" x14ac:dyDescent="0.3">
      <c r="B19" s="163">
        <f>B18+1</f>
        <v>2</v>
      </c>
      <c r="D19" s="99" t="s">
        <v>76</v>
      </c>
      <c r="E19" s="94"/>
      <c r="F19" s="113">
        <v>263688.93406293896</v>
      </c>
      <c r="G19" s="94"/>
      <c r="H19" s="113"/>
      <c r="I19" s="94"/>
      <c r="J19" s="91"/>
      <c r="K19" s="192">
        <f>_xlfn.IFNA(MATCH(J19,'Function Factors'!$B$9:$B$455,0),0)</f>
        <v>0</v>
      </c>
      <c r="L19" s="113">
        <f>F19-H19</f>
        <v>263688.93406293896</v>
      </c>
      <c r="M19" s="94"/>
      <c r="N19" s="91" t="s">
        <v>185</v>
      </c>
      <c r="O19" s="192">
        <f>_xlfn.IFNA(MATCH(N19,'Function Factors'!$B$9:$B$455,0),0)</f>
        <v>60</v>
      </c>
      <c r="P19" s="200">
        <f ca="1">OFFSET('Function Factors'!$B$9,$O19-1,P$14)*$L19+OFFSET('Function Factors'!$B$9,$K19-1,P$14)*$H19</f>
        <v>0</v>
      </c>
      <c r="Q19" s="94"/>
      <c r="R19" s="200">
        <f ca="1">OFFSET('Function Factors'!$B$9,$O19-1,R$14)*$L19+OFFSET('Function Factors'!$B$9,$K19-1,R$14)*$H19</f>
        <v>76519.049630000023</v>
      </c>
      <c r="S19" s="200"/>
      <c r="T19" s="200">
        <f ca="1">OFFSET('Function Factors'!$B$9,$O19-1,T$14)*$L19+OFFSET('Function Factors'!$B$9,$K19-1,T$14)*$H19</f>
        <v>64690.372260000018</v>
      </c>
      <c r="U19" s="200"/>
      <c r="V19" s="200">
        <f ca="1">OFFSET('Function Factors'!$B$9,$O19-1,V$14)*$L19+OFFSET('Function Factors'!$B$9,$K19-1,V$14)*$H19</f>
        <v>122479.51217293895</v>
      </c>
      <c r="W19" s="94"/>
      <c r="X19" s="200">
        <f ca="1">P19+R19+T19+V19</f>
        <v>263688.93406293902</v>
      </c>
      <c r="Z19" s="35" t="str">
        <f t="shared" ref="Z19:Z37" ca="1" si="1">IF(ROUND(F19,4)=ROUND(X19,4), "", "check")</f>
        <v/>
      </c>
      <c r="AC19" s="73"/>
    </row>
    <row r="20" spans="2:37" s="99" customFormat="1" ht="13" x14ac:dyDescent="0.3">
      <c r="B20" s="163">
        <f t="shared" ref="B20:B31" si="2">B19+1</f>
        <v>3</v>
      </c>
      <c r="D20" s="99" t="s">
        <v>19</v>
      </c>
      <c r="E20" s="94"/>
      <c r="F20" s="113">
        <v>667009.05225133034</v>
      </c>
      <c r="G20" s="94"/>
      <c r="H20" s="113"/>
      <c r="I20" s="94"/>
      <c r="J20" s="91"/>
      <c r="K20" s="192">
        <f>_xlfn.IFNA(MATCH(J20,'Function Factors'!$B$9:$B$455,0),0)</f>
        <v>0</v>
      </c>
      <c r="L20" s="113">
        <f t="shared" ref="L20:L30" si="3">F20-H20</f>
        <v>667009.05225133034</v>
      </c>
      <c r="M20" s="94"/>
      <c r="N20" s="91" t="s">
        <v>20</v>
      </c>
      <c r="O20" s="192">
        <f>_xlfn.IFNA(MATCH(N20,'Function Factors'!$B$9:$B$455,0),0)</f>
        <v>102</v>
      </c>
      <c r="P20" s="200">
        <f ca="1">OFFSET('Function Factors'!$B$9,$O20-1,P$14)*$L20+OFFSET('Function Factors'!$B$9,$K20-1,P$14)*$H20</f>
        <v>0</v>
      </c>
      <c r="Q20" s="94"/>
      <c r="R20" s="200">
        <f ca="1">OFFSET('Function Factors'!$B$9,$O20-1,R$14)*$L20+OFFSET('Function Factors'!$B$9,$K20-1,R$14)*$H20</f>
        <v>83033.542008632023</v>
      </c>
      <c r="S20" s="200"/>
      <c r="T20" s="200">
        <f ca="1">OFFSET('Function Factors'!$B$9,$O20-1,T$14)*$L20+OFFSET('Function Factors'!$B$9,$K20-1,T$14)*$H20</f>
        <v>211742.30627404284</v>
      </c>
      <c r="U20" s="200"/>
      <c r="V20" s="200">
        <f ca="1">OFFSET('Function Factors'!$B$9,$O20-1,V$14)*$L20+OFFSET('Function Factors'!$B$9,$K20-1,V$14)*$H20</f>
        <v>372233.20396865549</v>
      </c>
      <c r="W20" s="94"/>
      <c r="X20" s="200">
        <f t="shared" ref="X20:X30" ca="1" si="4">P20+R20+T20+V20</f>
        <v>667009.05225133034</v>
      </c>
      <c r="Z20" s="35" t="str">
        <f t="shared" ca="1" si="1"/>
        <v/>
      </c>
      <c r="AC20" s="73"/>
    </row>
    <row r="21" spans="2:37" s="99" customFormat="1" ht="13" x14ac:dyDescent="0.3">
      <c r="B21" s="163">
        <f t="shared" si="2"/>
        <v>4</v>
      </c>
      <c r="D21" s="99" t="s">
        <v>21</v>
      </c>
      <c r="E21" s="94"/>
      <c r="F21" s="113">
        <v>1741318.9830492442</v>
      </c>
      <c r="G21" s="94"/>
      <c r="H21" s="113"/>
      <c r="I21" s="94"/>
      <c r="J21" s="91"/>
      <c r="K21" s="192">
        <f>_xlfn.IFNA(MATCH(J21,'Function Factors'!$B$9:$B$455,0),0)</f>
        <v>0</v>
      </c>
      <c r="L21" s="113">
        <f t="shared" si="3"/>
        <v>1741318.9830492442</v>
      </c>
      <c r="M21" s="94"/>
      <c r="N21" s="91" t="s">
        <v>22</v>
      </c>
      <c r="O21" s="192">
        <f>_xlfn.IFNA(MATCH(N21,'Function Factors'!$B$9:$B$455,0),0)</f>
        <v>75</v>
      </c>
      <c r="P21" s="200">
        <f ca="1">OFFSET('Function Factors'!$B$9,$O21-1,P$14)*$L21+OFFSET('Function Factors'!$B$9,$K21-1,P$14)*$H21</f>
        <v>0</v>
      </c>
      <c r="Q21" s="94"/>
      <c r="R21" s="200">
        <f ca="1">OFFSET('Function Factors'!$B$9,$O21-1,R$14)*$L21+OFFSET('Function Factors'!$B$9,$K21-1,R$14)*$H21</f>
        <v>37640.926755705739</v>
      </c>
      <c r="S21" s="200"/>
      <c r="T21" s="200">
        <f ca="1">OFFSET('Function Factors'!$B$9,$O21-1,T$14)*$L21+OFFSET('Function Factors'!$B$9,$K21-1,T$14)*$H21</f>
        <v>293466.87206014263</v>
      </c>
      <c r="U21" s="200"/>
      <c r="V21" s="200">
        <f ca="1">OFFSET('Function Factors'!$B$9,$O21-1,V$14)*$L21+OFFSET('Function Factors'!$B$9,$K21-1,V$14)*$H21</f>
        <v>1410211.1842333958</v>
      </c>
      <c r="W21" s="94"/>
      <c r="X21" s="200">
        <f t="shared" ca="1" si="4"/>
        <v>1741318.9830492442</v>
      </c>
      <c r="Z21" s="35" t="str">
        <f t="shared" ca="1" si="1"/>
        <v/>
      </c>
      <c r="AC21" s="73"/>
    </row>
    <row r="22" spans="2:37" s="99" customFormat="1" ht="13" x14ac:dyDescent="0.3">
      <c r="B22" s="163">
        <f t="shared" si="2"/>
        <v>5</v>
      </c>
      <c r="D22" s="99" t="s">
        <v>23</v>
      </c>
      <c r="E22" s="94"/>
      <c r="F22" s="113">
        <v>11087197.208408531</v>
      </c>
      <c r="G22" s="94"/>
      <c r="H22" s="113"/>
      <c r="I22" s="94"/>
      <c r="J22" s="91"/>
      <c r="K22" s="192">
        <f>_xlfn.IFNA(MATCH(J22,'Function Factors'!$B$9:$B$455,0),0)</f>
        <v>0</v>
      </c>
      <c r="L22" s="113">
        <f t="shared" si="3"/>
        <v>11087197.208408531</v>
      </c>
      <c r="M22" s="94"/>
      <c r="N22" s="91" t="s">
        <v>24</v>
      </c>
      <c r="O22" s="192">
        <f>_xlfn.IFNA(MATCH(N22,'Function Factors'!$B$9:$B$455,0),0)</f>
        <v>69</v>
      </c>
      <c r="P22" s="200">
        <f ca="1">OFFSET('Function Factors'!$B$9,$O22-1,P$14)*$L22+OFFSET('Function Factors'!$B$9,$K22-1,P$14)*$H22</f>
        <v>0</v>
      </c>
      <c r="Q22" s="94"/>
      <c r="R22" s="200">
        <f ca="1">OFFSET('Function Factors'!$B$9,$O22-1,R$14)*$L22+OFFSET('Function Factors'!$B$9,$K22-1,R$14)*$H22</f>
        <v>0</v>
      </c>
      <c r="S22" s="200"/>
      <c r="T22" s="200">
        <f ca="1">OFFSET('Function Factors'!$B$9,$O22-1,T$14)*$L22+OFFSET('Function Factors'!$B$9,$K22-1,T$14)*$H22</f>
        <v>2318861.9823710392</v>
      </c>
      <c r="U22" s="200"/>
      <c r="V22" s="200">
        <f ca="1">OFFSET('Function Factors'!$B$9,$O22-1,V$14)*$L22+OFFSET('Function Factors'!$B$9,$K22-1,V$14)*$H22</f>
        <v>8768335.2260374911</v>
      </c>
      <c r="W22" s="94"/>
      <c r="X22" s="200">
        <f t="shared" ca="1" si="4"/>
        <v>11087197.208408531</v>
      </c>
      <c r="Z22" s="35" t="str">
        <f t="shared" ca="1" si="1"/>
        <v/>
      </c>
      <c r="AC22" s="73"/>
    </row>
    <row r="23" spans="2:37" s="99" customFormat="1" ht="13" x14ac:dyDescent="0.3">
      <c r="B23" s="163">
        <f t="shared" si="2"/>
        <v>6</v>
      </c>
      <c r="D23" s="99" t="s">
        <v>25</v>
      </c>
      <c r="E23" s="94"/>
      <c r="F23" s="113">
        <v>1766302.1521406353</v>
      </c>
      <c r="G23" s="94"/>
      <c r="H23" s="113"/>
      <c r="I23" s="94"/>
      <c r="J23" s="91"/>
      <c r="K23" s="192">
        <f>_xlfn.IFNA(MATCH(J23,'Function Factors'!$B$9:$B$455,0),0)</f>
        <v>0</v>
      </c>
      <c r="L23" s="113">
        <f t="shared" si="3"/>
        <v>1766302.1521406353</v>
      </c>
      <c r="M23" s="94"/>
      <c r="N23" s="91" t="s">
        <v>26</v>
      </c>
      <c r="O23" s="192">
        <f>_xlfn.IFNA(MATCH(N23,'Function Factors'!$B$9:$B$455,0),0)</f>
        <v>24</v>
      </c>
      <c r="P23" s="200">
        <f ca="1">OFFSET('Function Factors'!$B$9,$O23-1,P$14)*$L23+OFFSET('Function Factors'!$B$9,$K23-1,P$14)*$H23</f>
        <v>0</v>
      </c>
      <c r="Q23" s="94"/>
      <c r="R23" s="200">
        <f ca="1">OFFSET('Function Factors'!$B$9,$O23-1,R$14)*$L23+OFFSET('Function Factors'!$B$9,$K23-1,R$14)*$H23</f>
        <v>373232.12316475576</v>
      </c>
      <c r="S23" s="200"/>
      <c r="T23" s="200">
        <f ca="1">OFFSET('Function Factors'!$B$9,$O23-1,T$14)*$L23+OFFSET('Function Factors'!$B$9,$K23-1,T$14)*$H23</f>
        <v>1361920.8223768368</v>
      </c>
      <c r="U23" s="200"/>
      <c r="V23" s="200">
        <f ca="1">OFFSET('Function Factors'!$B$9,$O23-1,V$14)*$L23+OFFSET('Function Factors'!$B$9,$K23-1,V$14)*$H23</f>
        <v>31149.206599042627</v>
      </c>
      <c r="W23" s="94"/>
      <c r="X23" s="200">
        <f t="shared" ca="1" si="4"/>
        <v>1766302.1521406351</v>
      </c>
      <c r="Z23" s="35" t="str">
        <f t="shared" ca="1" si="1"/>
        <v/>
      </c>
      <c r="AC23" s="73"/>
      <c r="AK23" s="15"/>
    </row>
    <row r="24" spans="2:37" s="99" customFormat="1" ht="13" x14ac:dyDescent="0.3">
      <c r="B24" s="163">
        <f t="shared" si="2"/>
        <v>7</v>
      </c>
      <c r="D24" s="99" t="s">
        <v>27</v>
      </c>
      <c r="E24" s="94"/>
      <c r="F24" s="113">
        <v>32021.043297775072</v>
      </c>
      <c r="G24" s="94"/>
      <c r="H24" s="113"/>
      <c r="I24" s="94"/>
      <c r="J24" s="91"/>
      <c r="K24" s="192">
        <f>_xlfn.IFNA(MATCH(J24,'Function Factors'!$B$9:$B$455,0),0)</f>
        <v>0</v>
      </c>
      <c r="L24" s="113">
        <f t="shared" si="3"/>
        <v>32021.043297775072</v>
      </c>
      <c r="M24" s="94"/>
      <c r="N24" s="91" t="s">
        <v>28</v>
      </c>
      <c r="O24" s="192">
        <f>_xlfn.IFNA(MATCH(N24,'Function Factors'!$B$9:$B$455,0),0)</f>
        <v>99</v>
      </c>
      <c r="P24" s="200">
        <f ca="1">OFFSET('Function Factors'!$B$9,$O24-1,P$14)*$L24+OFFSET('Function Factors'!$B$9,$K24-1,P$14)*$H24</f>
        <v>0</v>
      </c>
      <c r="Q24" s="94"/>
      <c r="R24" s="200">
        <f ca="1">OFFSET('Function Factors'!$B$9,$O24-1,R$14)*$L24+OFFSET('Function Factors'!$B$9,$K24-1,R$14)*$H24</f>
        <v>32021.043297775072</v>
      </c>
      <c r="S24" s="200"/>
      <c r="T24" s="200">
        <f ca="1">OFFSET('Function Factors'!$B$9,$O24-1,T$14)*$L24+OFFSET('Function Factors'!$B$9,$K24-1,T$14)*$H24</f>
        <v>0</v>
      </c>
      <c r="U24" s="200"/>
      <c r="V24" s="200">
        <f ca="1">OFFSET('Function Factors'!$B$9,$O24-1,V$14)*$L24+OFFSET('Function Factors'!$B$9,$K24-1,V$14)*$H24</f>
        <v>0</v>
      </c>
      <c r="W24" s="94"/>
      <c r="X24" s="200">
        <f t="shared" ca="1" si="4"/>
        <v>32021.043297775072</v>
      </c>
      <c r="Z24" s="35" t="str">
        <f t="shared" ca="1" si="1"/>
        <v/>
      </c>
      <c r="AC24" s="73"/>
      <c r="AK24" s="15"/>
    </row>
    <row r="25" spans="2:37" s="99" customFormat="1" ht="13" x14ac:dyDescent="0.3">
      <c r="B25" s="163">
        <f t="shared" si="2"/>
        <v>8</v>
      </c>
      <c r="D25" s="99" t="s">
        <v>29</v>
      </c>
      <c r="E25" s="94"/>
      <c r="F25" s="113">
        <v>456026.53656905453</v>
      </c>
      <c r="G25" s="94"/>
      <c r="H25" s="113"/>
      <c r="I25" s="94"/>
      <c r="J25" s="91"/>
      <c r="K25" s="192">
        <f>_xlfn.IFNA(MATCH(J25,'Function Factors'!$B$9:$B$455,0),0)</f>
        <v>0</v>
      </c>
      <c r="L25" s="113">
        <f t="shared" si="3"/>
        <v>456026.53656905453</v>
      </c>
      <c r="M25" s="94"/>
      <c r="N25" s="91" t="s">
        <v>28</v>
      </c>
      <c r="O25" s="192">
        <f>_xlfn.IFNA(MATCH(N25,'Function Factors'!$B$9:$B$455,0),0)</f>
        <v>99</v>
      </c>
      <c r="P25" s="200">
        <f ca="1">OFFSET('Function Factors'!$B$9,$O25-1,P$14)*$L25+OFFSET('Function Factors'!$B$9,$K25-1,P$14)*$H25</f>
        <v>0</v>
      </c>
      <c r="Q25" s="94"/>
      <c r="R25" s="200">
        <f ca="1">OFFSET('Function Factors'!$B$9,$O25-1,R$14)*$L25+OFFSET('Function Factors'!$B$9,$K25-1,R$14)*$H25</f>
        <v>456026.53656905453</v>
      </c>
      <c r="S25" s="200"/>
      <c r="T25" s="200">
        <f ca="1">OFFSET('Function Factors'!$B$9,$O25-1,T$14)*$L25+OFFSET('Function Factors'!$B$9,$K25-1,T$14)*$H25</f>
        <v>0</v>
      </c>
      <c r="U25" s="200"/>
      <c r="V25" s="200">
        <f ca="1">OFFSET('Function Factors'!$B$9,$O25-1,V$14)*$L25+OFFSET('Function Factors'!$B$9,$K25-1,V$14)*$H25</f>
        <v>0</v>
      </c>
      <c r="W25" s="94"/>
      <c r="X25" s="200">
        <f t="shared" ca="1" si="4"/>
        <v>456026.53656905453</v>
      </c>
      <c r="Z25" s="35" t="str">
        <f t="shared" ca="1" si="1"/>
        <v/>
      </c>
      <c r="AC25" s="73"/>
    </row>
    <row r="26" spans="2:37" s="99" customFormat="1" ht="13" x14ac:dyDescent="0.3">
      <c r="B26" s="163">
        <f t="shared" si="2"/>
        <v>9</v>
      </c>
      <c r="D26" s="99" t="s">
        <v>30</v>
      </c>
      <c r="E26" s="94"/>
      <c r="F26" s="113">
        <v>69492.406220965684</v>
      </c>
      <c r="G26" s="94"/>
      <c r="H26" s="113"/>
      <c r="I26" s="94"/>
      <c r="J26" s="91"/>
      <c r="K26" s="192">
        <f>_xlfn.IFNA(MATCH(J26,'Function Factors'!$B$9:$B$455,0),0)</f>
        <v>0</v>
      </c>
      <c r="L26" s="113">
        <f t="shared" si="3"/>
        <v>69492.406220965684</v>
      </c>
      <c r="M26" s="94"/>
      <c r="N26" s="91" t="s">
        <v>28</v>
      </c>
      <c r="O26" s="192">
        <f>_xlfn.IFNA(MATCH(N26,'Function Factors'!$B$9:$B$455,0),0)</f>
        <v>99</v>
      </c>
      <c r="P26" s="200">
        <f ca="1">OFFSET('Function Factors'!$B$9,$O26-1,P$14)*$L26+OFFSET('Function Factors'!$B$9,$K26-1,P$14)*$H26</f>
        <v>0</v>
      </c>
      <c r="Q26" s="94"/>
      <c r="R26" s="200">
        <f ca="1">OFFSET('Function Factors'!$B$9,$O26-1,R$14)*$L26+OFFSET('Function Factors'!$B$9,$K26-1,R$14)*$H26</f>
        <v>69492.406220965684</v>
      </c>
      <c r="S26" s="200"/>
      <c r="T26" s="200">
        <f ca="1">OFFSET('Function Factors'!$B$9,$O26-1,T$14)*$L26+OFFSET('Function Factors'!$B$9,$K26-1,T$14)*$H26</f>
        <v>0</v>
      </c>
      <c r="U26" s="200"/>
      <c r="V26" s="200">
        <f ca="1">OFFSET('Function Factors'!$B$9,$O26-1,V$14)*$L26+OFFSET('Function Factors'!$B$9,$K26-1,V$14)*$H26</f>
        <v>0</v>
      </c>
      <c r="W26" s="94"/>
      <c r="X26" s="200">
        <f t="shared" ca="1" si="4"/>
        <v>69492.406220965684</v>
      </c>
      <c r="Z26" s="35" t="str">
        <f t="shared" ca="1" si="1"/>
        <v/>
      </c>
      <c r="AC26" s="73"/>
    </row>
    <row r="27" spans="2:37" s="99" customFormat="1" ht="13" x14ac:dyDescent="0.3">
      <c r="B27" s="163">
        <f t="shared" si="2"/>
        <v>10</v>
      </c>
      <c r="D27" s="99" t="s">
        <v>31</v>
      </c>
      <c r="E27" s="94"/>
      <c r="F27" s="113">
        <v>5590139.7289811559</v>
      </c>
      <c r="G27" s="94"/>
      <c r="H27" s="113"/>
      <c r="I27" s="94"/>
      <c r="J27" s="91"/>
      <c r="K27" s="192">
        <f>_xlfn.IFNA(MATCH(J27,'Function Factors'!$B$9:$B$455,0),0)</f>
        <v>0</v>
      </c>
      <c r="L27" s="113">
        <f t="shared" si="3"/>
        <v>5590139.7289811559</v>
      </c>
      <c r="M27" s="94"/>
      <c r="N27" s="91" t="s">
        <v>32</v>
      </c>
      <c r="O27" s="192">
        <f>_xlfn.IFNA(MATCH(N27,'Function Factors'!$B$9:$B$455,0),0)</f>
        <v>36</v>
      </c>
      <c r="P27" s="200">
        <f ca="1">OFFSET('Function Factors'!$B$9,$O27-1,P$14)*$L27+OFFSET('Function Factors'!$B$9,$K27-1,P$14)*$H27</f>
        <v>0</v>
      </c>
      <c r="Q27" s="94"/>
      <c r="R27" s="200">
        <f ca="1">OFFSET('Function Factors'!$B$9,$O27-1,R$14)*$L27+OFFSET('Function Factors'!$B$9,$K27-1,R$14)*$H27</f>
        <v>0</v>
      </c>
      <c r="S27" s="200"/>
      <c r="T27" s="200">
        <f ca="1">OFFSET('Function Factors'!$B$9,$O27-1,T$14)*$L27+OFFSET('Function Factors'!$B$9,$K27-1,T$14)*$H27</f>
        <v>0</v>
      </c>
      <c r="U27" s="200"/>
      <c r="V27" s="200">
        <f ca="1">OFFSET('Function Factors'!$B$9,$O27-1,V$14)*$L27+OFFSET('Function Factors'!$B$9,$K27-1,V$14)*$H27</f>
        <v>5590139.7289811559</v>
      </c>
      <c r="W27" s="94"/>
      <c r="X27" s="200">
        <f t="shared" ca="1" si="4"/>
        <v>5590139.7289811559</v>
      </c>
      <c r="Z27" s="35" t="str">
        <f t="shared" ca="1" si="1"/>
        <v/>
      </c>
      <c r="AC27" s="73"/>
    </row>
    <row r="28" spans="2:37" s="99" customFormat="1" ht="13" x14ac:dyDescent="0.3">
      <c r="B28" s="163">
        <f t="shared" si="2"/>
        <v>11</v>
      </c>
      <c r="D28" s="99" t="s">
        <v>327</v>
      </c>
      <c r="E28" s="94"/>
      <c r="F28" s="113">
        <v>1655519.1336483383</v>
      </c>
      <c r="G28" s="94"/>
      <c r="H28" s="113"/>
      <c r="I28" s="94"/>
      <c r="J28" s="91"/>
      <c r="K28" s="192">
        <f>_xlfn.IFNA(MATCH(J28,'Function Factors'!$B$9:$B$455,0),0)</f>
        <v>0</v>
      </c>
      <c r="L28" s="113">
        <f t="shared" si="3"/>
        <v>1655519.1336483383</v>
      </c>
      <c r="M28" s="94"/>
      <c r="N28" s="91" t="s">
        <v>32</v>
      </c>
      <c r="O28" s="192">
        <f>_xlfn.IFNA(MATCH(N28,'Function Factors'!$B$9:$B$455,0),0)</f>
        <v>36</v>
      </c>
      <c r="P28" s="200">
        <f ca="1">OFFSET('Function Factors'!$B$9,$O28-1,P$14)*$L28+OFFSET('Function Factors'!$B$9,$K28-1,P$14)*$H28</f>
        <v>0</v>
      </c>
      <c r="Q28" s="94"/>
      <c r="R28" s="200">
        <f ca="1">OFFSET('Function Factors'!$B$9,$O28-1,R$14)*$L28+OFFSET('Function Factors'!$B$9,$K28-1,R$14)*$H28</f>
        <v>0</v>
      </c>
      <c r="S28" s="200"/>
      <c r="T28" s="200">
        <f ca="1">OFFSET('Function Factors'!$B$9,$O28-1,T$14)*$L28+OFFSET('Function Factors'!$B$9,$K28-1,T$14)*$H28</f>
        <v>0</v>
      </c>
      <c r="U28" s="200"/>
      <c r="V28" s="200">
        <f ca="1">OFFSET('Function Factors'!$B$9,$O28-1,V$14)*$L28+OFFSET('Function Factors'!$B$9,$K28-1,V$14)*$H28</f>
        <v>1655519.1336483383</v>
      </c>
      <c r="W28" s="94"/>
      <c r="X28" s="200">
        <f t="shared" ca="1" si="4"/>
        <v>1655519.1336483383</v>
      </c>
      <c r="Z28" s="35" t="str">
        <f t="shared" ca="1" si="1"/>
        <v/>
      </c>
      <c r="AC28" s="73"/>
    </row>
    <row r="29" spans="2:37" s="99" customFormat="1" ht="13" x14ac:dyDescent="0.3">
      <c r="B29" s="163">
        <f>B28+1</f>
        <v>12</v>
      </c>
      <c r="D29" s="99" t="s">
        <v>34</v>
      </c>
      <c r="E29" s="94"/>
      <c r="F29" s="113">
        <v>169809.28182564292</v>
      </c>
      <c r="G29" s="94"/>
      <c r="H29" s="113"/>
      <c r="I29" s="94"/>
      <c r="J29" s="91"/>
      <c r="K29" s="192">
        <f>_xlfn.IFNA(MATCH(J29,'Function Factors'!$B$9:$B$455,0),0)</f>
        <v>0</v>
      </c>
      <c r="L29" s="113">
        <f t="shared" si="3"/>
        <v>169809.28182564292</v>
      </c>
      <c r="M29" s="94"/>
      <c r="N29" s="91" t="s">
        <v>32</v>
      </c>
      <c r="O29" s="192">
        <f>_xlfn.IFNA(MATCH(N29,'Function Factors'!$B$9:$B$455,0),0)</f>
        <v>36</v>
      </c>
      <c r="P29" s="200">
        <f ca="1">OFFSET('Function Factors'!$B$9,$O29-1,P$14)*$L29+OFFSET('Function Factors'!$B$9,$K29-1,P$14)*$H29</f>
        <v>0</v>
      </c>
      <c r="Q29" s="94"/>
      <c r="R29" s="200">
        <f ca="1">OFFSET('Function Factors'!$B$9,$O29-1,R$14)*$L29+OFFSET('Function Factors'!$B$9,$K29-1,R$14)*$H29</f>
        <v>0</v>
      </c>
      <c r="S29" s="200"/>
      <c r="T29" s="200">
        <f ca="1">OFFSET('Function Factors'!$B$9,$O29-1,T$14)*$L29+OFFSET('Function Factors'!$B$9,$K29-1,T$14)*$H29</f>
        <v>0</v>
      </c>
      <c r="U29" s="200"/>
      <c r="V29" s="200">
        <f ca="1">OFFSET('Function Factors'!$B$9,$O29-1,V$14)*$L29+OFFSET('Function Factors'!$B$9,$K29-1,V$14)*$H29</f>
        <v>169809.28182564292</v>
      </c>
      <c r="W29" s="94"/>
      <c r="X29" s="200">
        <f t="shared" ca="1" si="4"/>
        <v>169809.28182564292</v>
      </c>
      <c r="Z29" s="35" t="str">
        <f t="shared" ca="1" si="1"/>
        <v/>
      </c>
      <c r="AC29" s="73"/>
    </row>
    <row r="30" spans="2:37" s="99" customFormat="1" ht="13" x14ac:dyDescent="0.3">
      <c r="B30" s="163">
        <f>B29+1</f>
        <v>13</v>
      </c>
      <c r="D30" s="99" t="s">
        <v>78</v>
      </c>
      <c r="E30" s="94"/>
      <c r="F30" s="113">
        <v>7520.8874999999989</v>
      </c>
      <c r="G30" s="94"/>
      <c r="H30" s="113"/>
      <c r="I30" s="94"/>
      <c r="J30" s="91"/>
      <c r="K30" s="192">
        <f>_xlfn.IFNA(MATCH(J30,'Function Factors'!$B$9:$B$455,0),0)</f>
        <v>0</v>
      </c>
      <c r="L30" s="113">
        <f t="shared" si="3"/>
        <v>7520.8874999999989</v>
      </c>
      <c r="M30" s="94"/>
      <c r="N30" s="91" t="s">
        <v>106</v>
      </c>
      <c r="O30" s="192">
        <f>_xlfn.IFNA(MATCH(N30,'Function Factors'!$B$9:$B$455,0),0)</f>
        <v>66</v>
      </c>
      <c r="P30" s="200">
        <f ca="1">OFFSET('Function Factors'!$B$9,$O30-1,P$14)*$L30+OFFSET('Function Factors'!$B$9,$K30-1,P$14)*$H30</f>
        <v>0</v>
      </c>
      <c r="Q30" s="94"/>
      <c r="R30" s="200">
        <f ca="1">OFFSET('Function Factors'!$B$9,$O30-1,R$14)*$L30+OFFSET('Function Factors'!$B$9,$K30-1,R$14)*$H30</f>
        <v>499.49407531423083</v>
      </c>
      <c r="S30" s="200"/>
      <c r="T30" s="200">
        <f ca="1">OFFSET('Function Factors'!$B$9,$O30-1,T$14)*$L30+OFFSET('Function Factors'!$B$9,$K30-1,T$14)*$H30</f>
        <v>4521.5650130587501</v>
      </c>
      <c r="U30" s="200"/>
      <c r="V30" s="200">
        <f ca="1">OFFSET('Function Factors'!$B$9,$O30-1,V$14)*$L30+OFFSET('Function Factors'!$B$9,$K30-1,V$14)*$H30</f>
        <v>2499.8284116270188</v>
      </c>
      <c r="W30" s="94"/>
      <c r="X30" s="200">
        <f t="shared" ca="1" si="4"/>
        <v>7520.8874999999998</v>
      </c>
      <c r="Z30" s="35" t="str">
        <f t="shared" ca="1" si="1"/>
        <v/>
      </c>
      <c r="AC30" s="73"/>
    </row>
    <row r="31" spans="2:37" s="99" customFormat="1" ht="13" x14ac:dyDescent="0.3">
      <c r="B31" s="163">
        <f t="shared" si="2"/>
        <v>14</v>
      </c>
      <c r="D31" s="99" t="s">
        <v>333</v>
      </c>
      <c r="E31" s="94"/>
      <c r="F31" s="79">
        <f>SUM(F18:F30)</f>
        <v>23727997.337242316</v>
      </c>
      <c r="G31" s="94"/>
      <c r="H31" s="79">
        <f>SUM(H18:H30)</f>
        <v>0</v>
      </c>
      <c r="I31" s="94"/>
      <c r="J31" s="91"/>
      <c r="K31" s="188"/>
      <c r="L31" s="79">
        <f>SUM(L18:L30)</f>
        <v>23727997.337242316</v>
      </c>
      <c r="M31" s="94"/>
      <c r="N31" s="94"/>
      <c r="O31" s="188"/>
      <c r="P31" s="204">
        <f ca="1">SUM(P18:P30)</f>
        <v>0</v>
      </c>
      <c r="Q31" s="160"/>
      <c r="R31" s="204">
        <f ca="1">SUM(R18:R30)</f>
        <v>1141178.0974758822</v>
      </c>
      <c r="S31" s="66"/>
      <c r="T31" s="204">
        <f ca="1">SUM(T18:T30)</f>
        <v>4336235.0352648022</v>
      </c>
      <c r="U31" s="66"/>
      <c r="V31" s="204">
        <f ca="1">SUM(V18:V30)</f>
        <v>18250584.204501633</v>
      </c>
      <c r="W31" s="94"/>
      <c r="X31" s="204">
        <f ca="1">SUM(X18:X30)</f>
        <v>23727997.337242316</v>
      </c>
      <c r="Z31" s="35" t="str">
        <f t="shared" ca="1" si="1"/>
        <v/>
      </c>
      <c r="AC31" s="73"/>
    </row>
    <row r="32" spans="2:37" s="99" customFormat="1" ht="13" x14ac:dyDescent="0.3">
      <c r="B32" s="163"/>
      <c r="E32" s="94"/>
      <c r="F32" s="94"/>
      <c r="G32" s="94"/>
      <c r="H32" s="94"/>
      <c r="I32" s="94"/>
      <c r="J32" s="91"/>
      <c r="K32" s="188"/>
      <c r="L32" s="94"/>
      <c r="M32" s="94"/>
      <c r="N32" s="94"/>
      <c r="O32" s="188"/>
      <c r="P32" s="94"/>
      <c r="Q32" s="94"/>
      <c r="R32" s="94"/>
      <c r="S32" s="94"/>
      <c r="T32" s="94"/>
      <c r="U32" s="94"/>
      <c r="V32" s="94"/>
      <c r="W32" s="94"/>
      <c r="X32" s="113"/>
      <c r="Z32" s="35" t="str">
        <f t="shared" si="1"/>
        <v/>
      </c>
      <c r="AC32" s="73"/>
    </row>
    <row r="33" spans="2:37" s="99" customFormat="1" ht="13" x14ac:dyDescent="0.3">
      <c r="B33" s="163">
        <f>B31+1</f>
        <v>15</v>
      </c>
      <c r="D33" s="99" t="s">
        <v>221</v>
      </c>
      <c r="E33" s="94"/>
      <c r="F33" s="113">
        <v>1174974.3254504639</v>
      </c>
      <c r="G33" s="94"/>
      <c r="H33" s="113"/>
      <c r="I33" s="94"/>
      <c r="J33" s="91"/>
      <c r="K33" s="192">
        <f>_xlfn.IFNA(MATCH(J33,'Function Factors'!$B$9:$B$455,0),0)</f>
        <v>0</v>
      </c>
      <c r="L33" s="113">
        <f t="shared" ref="L33" si="5">F33-H33</f>
        <v>1174974.3254504639</v>
      </c>
      <c r="M33" s="94"/>
      <c r="N33" s="91" t="s">
        <v>142</v>
      </c>
      <c r="O33" s="192">
        <f>_xlfn.IFNA(MATCH(N33,'Function Factors'!$B$9:$B$455,0),0)</f>
        <v>45</v>
      </c>
      <c r="P33" s="200">
        <f ca="1">OFFSET('Function Factors'!$B$9,$O33-1,P$14)*$L33+OFFSET('Function Factors'!$B$9,$K33-1,P$14)*$H33</f>
        <v>0</v>
      </c>
      <c r="Q33" s="94"/>
      <c r="R33" s="200">
        <f ca="1">OFFSET('Function Factors'!$B$9,$O33-1,R$14)*$L33+OFFSET('Function Factors'!$B$9,$K33-1,R$14)*$H33</f>
        <v>63734.477354891656</v>
      </c>
      <c r="S33" s="200"/>
      <c r="T33" s="200">
        <f ca="1">OFFSET('Function Factors'!$B$9,$O33-1,T$14)*$L33+OFFSET('Function Factors'!$B$9,$K33-1,T$14)*$H33</f>
        <v>154460.43389627803</v>
      </c>
      <c r="U33" s="200"/>
      <c r="V33" s="200">
        <f ca="1">OFFSET('Function Factors'!$B$9,$O33-1,V$14)*$L33+OFFSET('Function Factors'!$B$9,$K33-1,V$14)*$H33</f>
        <v>956779.41419929441</v>
      </c>
      <c r="W33" s="200"/>
      <c r="X33" s="200">
        <f ca="1">P33+R33+T33+V33</f>
        <v>1174974.3254504642</v>
      </c>
      <c r="Z33" s="35" t="str">
        <f t="shared" ca="1" si="1"/>
        <v/>
      </c>
      <c r="AC33" s="73"/>
    </row>
    <row r="34" spans="2:37" s="99" customFormat="1" ht="13" x14ac:dyDescent="0.3">
      <c r="B34" s="163"/>
      <c r="E34" s="94"/>
      <c r="F34" s="94"/>
      <c r="G34" s="94"/>
      <c r="H34" s="94"/>
      <c r="I34" s="94"/>
      <c r="J34" s="91"/>
      <c r="K34" s="188"/>
      <c r="L34" s="94"/>
      <c r="M34" s="94"/>
      <c r="N34" s="94"/>
      <c r="O34" s="188"/>
      <c r="P34" s="94"/>
      <c r="Q34" s="94"/>
      <c r="R34" s="94"/>
      <c r="S34" s="94"/>
      <c r="T34" s="94"/>
      <c r="U34" s="94"/>
      <c r="V34" s="94"/>
      <c r="W34" s="94"/>
      <c r="X34" s="113"/>
      <c r="Z34" s="35" t="str">
        <f t="shared" si="1"/>
        <v/>
      </c>
      <c r="AC34" s="73"/>
    </row>
    <row r="35" spans="2:37" s="99" customFormat="1" ht="13" x14ac:dyDescent="0.3">
      <c r="B35" s="163">
        <f>B33+1</f>
        <v>16</v>
      </c>
      <c r="D35" s="99" t="s">
        <v>475</v>
      </c>
      <c r="E35" s="94"/>
      <c r="F35" s="79">
        <f>F31+F33</f>
        <v>24902971.662692782</v>
      </c>
      <c r="G35" s="94"/>
      <c r="H35" s="79">
        <f>H31+H33</f>
        <v>0</v>
      </c>
      <c r="I35" s="94"/>
      <c r="J35" s="91"/>
      <c r="K35" s="188"/>
      <c r="L35" s="79">
        <f>L31+L33</f>
        <v>24902971.662692782</v>
      </c>
      <c r="M35" s="94"/>
      <c r="N35" s="94"/>
      <c r="O35" s="188"/>
      <c r="P35" s="79">
        <f ca="1">P31+P33</f>
        <v>0</v>
      </c>
      <c r="Q35" s="229"/>
      <c r="R35" s="79">
        <f ca="1">R31+R33</f>
        <v>1204912.5748307738</v>
      </c>
      <c r="S35" s="113"/>
      <c r="T35" s="79">
        <f ca="1">T31+T33</f>
        <v>4490695.4691610802</v>
      </c>
      <c r="U35" s="113"/>
      <c r="V35" s="79">
        <f ca="1">V31+V33</f>
        <v>19207363.618700925</v>
      </c>
      <c r="W35" s="94"/>
      <c r="X35" s="79">
        <f ca="1">X31+X33</f>
        <v>24902971.662692782</v>
      </c>
      <c r="Z35" s="35" t="str">
        <f t="shared" ca="1" si="1"/>
        <v/>
      </c>
      <c r="AC35" s="73"/>
    </row>
    <row r="36" spans="2:37" s="99" customFormat="1" ht="13" x14ac:dyDescent="0.3">
      <c r="B36" s="163"/>
      <c r="D36" s="6"/>
      <c r="E36" s="219"/>
      <c r="F36" s="219"/>
      <c r="G36" s="94"/>
      <c r="H36" s="219"/>
      <c r="I36" s="94"/>
      <c r="J36" s="91"/>
      <c r="K36" s="188"/>
      <c r="L36" s="219"/>
      <c r="M36" s="94"/>
      <c r="N36" s="94"/>
      <c r="O36" s="188"/>
      <c r="P36" s="94"/>
      <c r="Q36" s="94"/>
      <c r="R36" s="94"/>
      <c r="S36" s="94"/>
      <c r="T36" s="94"/>
      <c r="U36" s="94"/>
      <c r="V36" s="94"/>
      <c r="W36" s="94"/>
      <c r="X36" s="94"/>
      <c r="Z36" s="35" t="str">
        <f t="shared" si="1"/>
        <v/>
      </c>
      <c r="AC36" s="73"/>
    </row>
    <row r="37" spans="2:37" s="99" customFormat="1" ht="13" x14ac:dyDescent="0.3">
      <c r="B37" s="163"/>
      <c r="E37" s="94"/>
      <c r="F37" s="113"/>
      <c r="G37" s="94"/>
      <c r="H37" s="94"/>
      <c r="I37" s="94"/>
      <c r="J37" s="91"/>
      <c r="K37" s="188"/>
      <c r="L37" s="94"/>
      <c r="M37" s="94"/>
      <c r="N37" s="94"/>
      <c r="O37" s="188"/>
      <c r="P37" s="94"/>
      <c r="Q37" s="94"/>
      <c r="R37" s="94"/>
      <c r="S37" s="94"/>
      <c r="T37" s="94"/>
      <c r="U37" s="94"/>
      <c r="V37" s="94"/>
      <c r="W37" s="94"/>
      <c r="X37" s="94"/>
      <c r="Z37" s="35" t="str">
        <f t="shared" si="1"/>
        <v/>
      </c>
      <c r="AC37" s="73"/>
    </row>
    <row r="38" spans="2:37" s="99" customFormat="1" ht="13" x14ac:dyDescent="0.3">
      <c r="B38" s="163"/>
      <c r="D38" s="6" t="s">
        <v>330</v>
      </c>
      <c r="E38" s="220"/>
      <c r="F38" s="220"/>
      <c r="G38" s="94"/>
      <c r="H38" s="94"/>
      <c r="I38" s="94"/>
      <c r="J38" s="91"/>
      <c r="K38" s="188"/>
      <c r="L38" s="94"/>
      <c r="M38" s="94"/>
      <c r="N38" s="94"/>
      <c r="O38" s="188"/>
      <c r="P38" s="94"/>
      <c r="Q38" s="94"/>
      <c r="R38" s="94"/>
      <c r="S38" s="94"/>
      <c r="T38" s="94"/>
      <c r="U38" s="94"/>
      <c r="V38" s="94"/>
      <c r="W38" s="94"/>
      <c r="X38" s="94"/>
      <c r="Z38" s="35" t="str">
        <f t="shared" ref="Z38:Z39" si="6">IF(ROUND(F38,4)=ROUND(X38,4), "", "check")</f>
        <v/>
      </c>
      <c r="AC38" s="73"/>
    </row>
    <row r="39" spans="2:37" s="99" customFormat="1" ht="13" x14ac:dyDescent="0.3">
      <c r="B39" s="163"/>
      <c r="E39" s="94"/>
      <c r="F39" s="94"/>
      <c r="G39" s="94"/>
      <c r="H39" s="94"/>
      <c r="I39" s="94"/>
      <c r="J39" s="91"/>
      <c r="K39" s="188"/>
      <c r="L39" s="94"/>
      <c r="M39" s="94"/>
      <c r="N39" s="94"/>
      <c r="O39" s="188"/>
      <c r="P39" s="94"/>
      <c r="Q39" s="94"/>
      <c r="R39" s="94"/>
      <c r="S39" s="94"/>
      <c r="T39" s="94"/>
      <c r="U39" s="94"/>
      <c r="V39" s="94"/>
      <c r="W39" s="94"/>
      <c r="X39" s="94"/>
      <c r="Z39" s="35" t="str">
        <f t="shared" si="6"/>
        <v/>
      </c>
      <c r="AC39" s="73"/>
    </row>
    <row r="40" spans="2:37" s="99" customFormat="1" ht="13" x14ac:dyDescent="0.3">
      <c r="B40" s="163">
        <f>B35+1</f>
        <v>17</v>
      </c>
      <c r="D40" s="99" t="s">
        <v>77</v>
      </c>
      <c r="E40" s="94"/>
      <c r="F40" s="113">
        <v>0</v>
      </c>
      <c r="G40" s="94"/>
      <c r="H40" s="113"/>
      <c r="I40" s="94"/>
      <c r="J40" s="91"/>
      <c r="K40" s="192">
        <f>_xlfn.IFNA(MATCH(J40,'Function Factors'!$B$9:$B$455,0),0)</f>
        <v>0</v>
      </c>
      <c r="L40" s="113">
        <f>F40-H40</f>
        <v>0</v>
      </c>
      <c r="M40" s="94"/>
      <c r="N40" s="91"/>
      <c r="O40" s="192">
        <f>_xlfn.IFNA(MATCH(N40,'Function Factors'!$B$9:$B$455,0),0)</f>
        <v>0</v>
      </c>
      <c r="P40" s="200">
        <f ca="1">OFFSET('Function Factors'!$B$9,$O40-1,P$14)*$L40+OFFSET('Function Factors'!$B$9,$K40-1,P$14)*$H40</f>
        <v>0</v>
      </c>
      <c r="Q40" s="94"/>
      <c r="R40" s="200">
        <f ca="1">OFFSET('Function Factors'!$B$9,$O40-1,R$14)*$L40+OFFSET('Function Factors'!$B$9,$K40-1,R$14)*$H40</f>
        <v>0</v>
      </c>
      <c r="S40" s="200"/>
      <c r="T40" s="200">
        <f ca="1">OFFSET('Function Factors'!$B$9,$O40-1,T$14)*$L40+OFFSET('Function Factors'!$B$9,$K40-1,T$14)*$H40</f>
        <v>0</v>
      </c>
      <c r="U40" s="200"/>
      <c r="V40" s="200">
        <f ca="1">OFFSET('Function Factors'!$B$9,$O40-1,V$14)*$L40+OFFSET('Function Factors'!$B$9,$K40-1,V$14)*$H40</f>
        <v>0</v>
      </c>
      <c r="W40" s="94"/>
      <c r="X40" s="200">
        <f ca="1">P40+R40+T40+V40</f>
        <v>0</v>
      </c>
      <c r="Z40" s="35" t="str">
        <f ca="1">IF(ROUND(F40,4)=ROUND(X40,4), "", "check")</f>
        <v/>
      </c>
      <c r="AC40" s="73"/>
    </row>
    <row r="41" spans="2:37" s="99" customFormat="1" ht="13" x14ac:dyDescent="0.3">
      <c r="B41" s="163">
        <f>B40+1</f>
        <v>18</v>
      </c>
      <c r="D41" s="99" t="s">
        <v>76</v>
      </c>
      <c r="E41" s="94"/>
      <c r="F41" s="113">
        <v>-89062.605249351778</v>
      </c>
      <c r="G41" s="94"/>
      <c r="H41" s="113"/>
      <c r="I41" s="94"/>
      <c r="J41" s="91"/>
      <c r="K41" s="192">
        <f>_xlfn.IFNA(MATCH(J41,'Function Factors'!$B$9:$B$455,0),0)</f>
        <v>0</v>
      </c>
      <c r="L41" s="113">
        <f>F41-H41</f>
        <v>-89062.605249351778</v>
      </c>
      <c r="M41" s="94"/>
      <c r="N41" s="91" t="s">
        <v>342</v>
      </c>
      <c r="O41" s="192">
        <f>_xlfn.IFNA(MATCH(N41,'Function Factors'!$B$9:$B$455,0),0)</f>
        <v>63</v>
      </c>
      <c r="P41" s="200">
        <f ca="1">OFFSET('Function Factors'!$B$9,$O41-1,P$14)*$L41+OFFSET('Function Factors'!$B$9,$K41-1,P$14)*$H41</f>
        <v>0</v>
      </c>
      <c r="Q41" s="94"/>
      <c r="R41" s="200">
        <f ca="1">OFFSET('Function Factors'!$B$9,$O41-1,R$14)*$L41+OFFSET('Function Factors'!$B$9,$K41-1,R$14)*$H41</f>
        <v>-48801.440541232747</v>
      </c>
      <c r="S41" s="200"/>
      <c r="T41" s="200">
        <f ca="1">OFFSET('Function Factors'!$B$9,$O41-1,T$14)*$L41+OFFSET('Function Factors'!$B$9,$K41-1,T$14)*$H41</f>
        <v>-17442.616532928576</v>
      </c>
      <c r="U41" s="200"/>
      <c r="V41" s="200">
        <f ca="1">OFFSET('Function Factors'!$B$9,$O41-1,V$14)*$L41+OFFSET('Function Factors'!$B$9,$K41-1,V$14)*$H41</f>
        <v>-22818.548175190463</v>
      </c>
      <c r="W41" s="94"/>
      <c r="X41" s="200">
        <f ca="1">P41+R41+T41+V41</f>
        <v>-89062.605249351778</v>
      </c>
      <c r="Z41" s="35" t="str">
        <f t="shared" ref="Z41:Z59" ca="1" si="7">IF(ROUND(F41,4)=ROUND(X41,4), "", "check")</f>
        <v/>
      </c>
      <c r="AC41" s="73"/>
    </row>
    <row r="42" spans="2:37" s="99" customFormat="1" ht="13" x14ac:dyDescent="0.3">
      <c r="B42" s="163">
        <f t="shared" ref="B42:B53" si="8">B41+1</f>
        <v>19</v>
      </c>
      <c r="D42" s="99" t="s">
        <v>19</v>
      </c>
      <c r="E42" s="94"/>
      <c r="F42" s="113">
        <v>-213039.49974216911</v>
      </c>
      <c r="G42" s="94"/>
      <c r="H42" s="113"/>
      <c r="I42" s="94"/>
      <c r="J42" s="91"/>
      <c r="K42" s="192">
        <f>_xlfn.IFNA(MATCH(J42,'Function Factors'!$B$9:$B$455,0),0)</f>
        <v>0</v>
      </c>
      <c r="L42" s="113">
        <f t="shared" ref="L42:L52" si="9">F42-H42</f>
        <v>-213039.49974216911</v>
      </c>
      <c r="M42" s="94"/>
      <c r="N42" s="91" t="s">
        <v>343</v>
      </c>
      <c r="O42" s="192">
        <f>_xlfn.IFNA(MATCH(N42,'Function Factors'!$B$9:$B$455,0),0)</f>
        <v>105</v>
      </c>
      <c r="P42" s="200">
        <f ca="1">OFFSET('Function Factors'!$B$9,$O42-1,P$14)*$L42+OFFSET('Function Factors'!$B$9,$K42-1,P$14)*$H42</f>
        <v>0</v>
      </c>
      <c r="Q42" s="94"/>
      <c r="R42" s="200">
        <f ca="1">OFFSET('Function Factors'!$B$9,$O42-1,R$14)*$L42+OFFSET('Function Factors'!$B$9,$K42-1,R$14)*$H42</f>
        <v>-29423.043528013535</v>
      </c>
      <c r="S42" s="200"/>
      <c r="T42" s="200">
        <f ca="1">OFFSET('Function Factors'!$B$9,$O42-1,T$14)*$L42+OFFSET('Function Factors'!$B$9,$K42-1,T$14)*$H42</f>
        <v>-77607.043173399012</v>
      </c>
      <c r="U42" s="200"/>
      <c r="V42" s="200">
        <f ca="1">OFFSET('Function Factors'!$B$9,$O42-1,V$14)*$L42+OFFSET('Function Factors'!$B$9,$K42-1,V$14)*$H42</f>
        <v>-106009.41304075658</v>
      </c>
      <c r="W42" s="94"/>
      <c r="X42" s="200">
        <f t="shared" ref="X42:X52" ca="1" si="10">P42+R42+T42+V42</f>
        <v>-213039.49974216911</v>
      </c>
      <c r="Z42" s="35" t="str">
        <f t="shared" ca="1" si="7"/>
        <v/>
      </c>
      <c r="AC42" s="73"/>
    </row>
    <row r="43" spans="2:37" s="99" customFormat="1" ht="13" x14ac:dyDescent="0.3">
      <c r="B43" s="163">
        <f t="shared" si="8"/>
        <v>20</v>
      </c>
      <c r="D43" s="99" t="s">
        <v>21</v>
      </c>
      <c r="E43" s="94"/>
      <c r="F43" s="113">
        <v>-626809.06456604158</v>
      </c>
      <c r="G43" s="94"/>
      <c r="H43" s="113"/>
      <c r="I43" s="94"/>
      <c r="J43" s="91"/>
      <c r="K43" s="192">
        <f>_xlfn.IFNA(MATCH(J43,'Function Factors'!$B$9:$B$455,0),0)</f>
        <v>0</v>
      </c>
      <c r="L43" s="113">
        <f t="shared" si="9"/>
        <v>-626809.06456604158</v>
      </c>
      <c r="M43" s="94"/>
      <c r="N43" s="91" t="s">
        <v>344</v>
      </c>
      <c r="O43" s="192">
        <f>_xlfn.IFNA(MATCH(N43,'Function Factors'!$B$9:$B$455,0),0)</f>
        <v>78</v>
      </c>
      <c r="P43" s="200">
        <f ca="1">OFFSET('Function Factors'!$B$9,$O43-1,P$14)*$L43+OFFSET('Function Factors'!$B$9,$K43-1,P$14)*$H43</f>
        <v>0</v>
      </c>
      <c r="Q43" s="94"/>
      <c r="R43" s="200">
        <f ca="1">OFFSET('Function Factors'!$B$9,$O43-1,R$14)*$L43+OFFSET('Function Factors'!$B$9,$K43-1,R$14)*$H43</f>
        <v>-30584.51938464956</v>
      </c>
      <c r="S43" s="200"/>
      <c r="T43" s="200">
        <f ca="1">OFFSET('Function Factors'!$B$9,$O43-1,T$14)*$L43+OFFSET('Function Factors'!$B$9,$K43-1,T$14)*$H43</f>
        <v>-92652.685535819983</v>
      </c>
      <c r="U43" s="200"/>
      <c r="V43" s="200">
        <f ca="1">OFFSET('Function Factors'!$B$9,$O43-1,V$14)*$L43+OFFSET('Function Factors'!$B$9,$K43-1,V$14)*$H43</f>
        <v>-503571.85964557203</v>
      </c>
      <c r="W43" s="94"/>
      <c r="X43" s="200">
        <f t="shared" ca="1" si="10"/>
        <v>-626809.06456604158</v>
      </c>
      <c r="Z43" s="35" t="str">
        <f t="shared" ca="1" si="7"/>
        <v/>
      </c>
      <c r="AC43" s="73"/>
    </row>
    <row r="44" spans="2:37" s="99" customFormat="1" ht="13" x14ac:dyDescent="0.3">
      <c r="B44" s="163">
        <f t="shared" si="8"/>
        <v>21</v>
      </c>
      <c r="D44" s="99" t="s">
        <v>23</v>
      </c>
      <c r="E44" s="94"/>
      <c r="F44" s="113">
        <v>-3913248.2619602792</v>
      </c>
      <c r="G44" s="94"/>
      <c r="H44" s="113"/>
      <c r="I44" s="94"/>
      <c r="J44" s="91"/>
      <c r="K44" s="192">
        <f>_xlfn.IFNA(MATCH(J44,'Function Factors'!$B$9:$B$455,0),0)</f>
        <v>0</v>
      </c>
      <c r="L44" s="113">
        <f t="shared" si="9"/>
        <v>-3913248.2619602792</v>
      </c>
      <c r="M44" s="94"/>
      <c r="N44" s="91" t="s">
        <v>345</v>
      </c>
      <c r="O44" s="192">
        <f>_xlfn.IFNA(MATCH(N44,'Function Factors'!$B$9:$B$455,0),0)</f>
        <v>72</v>
      </c>
      <c r="P44" s="200">
        <f ca="1">OFFSET('Function Factors'!$B$9,$O44-1,P$14)*$L44+OFFSET('Function Factors'!$B$9,$K44-1,P$14)*$H44</f>
        <v>0</v>
      </c>
      <c r="Q44" s="94"/>
      <c r="R44" s="200">
        <f ca="1">OFFSET('Function Factors'!$B$9,$O44-1,R$14)*$L44+OFFSET('Function Factors'!$B$9,$K44-1,R$14)*$H44</f>
        <v>0</v>
      </c>
      <c r="S44" s="200"/>
      <c r="T44" s="200">
        <f ca="1">OFFSET('Function Factors'!$B$9,$O44-1,T$14)*$L44+OFFSET('Function Factors'!$B$9,$K44-1,T$14)*$H44</f>
        <v>-723064.55407582107</v>
      </c>
      <c r="U44" s="200"/>
      <c r="V44" s="200">
        <f ca="1">OFFSET('Function Factors'!$B$9,$O44-1,V$14)*$L44+OFFSET('Function Factors'!$B$9,$K44-1,V$14)*$H44</f>
        <v>-3190183.7078844584</v>
      </c>
      <c r="W44" s="94"/>
      <c r="X44" s="200">
        <f t="shared" ca="1" si="10"/>
        <v>-3913248.2619602792</v>
      </c>
      <c r="Z44" s="35" t="str">
        <f t="shared" ca="1" si="7"/>
        <v/>
      </c>
      <c r="AC44" s="73"/>
    </row>
    <row r="45" spans="2:37" s="99" customFormat="1" ht="13" x14ac:dyDescent="0.3">
      <c r="B45" s="163">
        <f t="shared" si="8"/>
        <v>22</v>
      </c>
      <c r="D45" s="99" t="s">
        <v>25</v>
      </c>
      <c r="E45" s="94"/>
      <c r="F45" s="113">
        <v>-682850.15761198453</v>
      </c>
      <c r="G45" s="94"/>
      <c r="H45" s="113"/>
      <c r="I45" s="94"/>
      <c r="J45" s="91"/>
      <c r="K45" s="192">
        <f>_xlfn.IFNA(MATCH(J45,'Function Factors'!$B$9:$B$455,0),0)</f>
        <v>0</v>
      </c>
      <c r="L45" s="113">
        <f t="shared" si="9"/>
        <v>-682850.15761198453</v>
      </c>
      <c r="M45" s="94"/>
      <c r="N45" s="91" t="s">
        <v>346</v>
      </c>
      <c r="O45" s="192">
        <f>_xlfn.IFNA(MATCH(N45,'Function Factors'!$B$9:$B$455,0),0)</f>
        <v>27</v>
      </c>
      <c r="P45" s="200">
        <f ca="1">OFFSET('Function Factors'!$B$9,$O45-1,P$14)*$L45+OFFSET('Function Factors'!$B$9,$K45-1,P$14)*$H45</f>
        <v>0</v>
      </c>
      <c r="Q45" s="94"/>
      <c r="R45" s="200">
        <f ca="1">OFFSET('Function Factors'!$B$9,$O45-1,R$14)*$L45+OFFSET('Function Factors'!$B$9,$K45-1,R$14)*$H45</f>
        <v>-145034.61246955802</v>
      </c>
      <c r="S45" s="200"/>
      <c r="T45" s="200">
        <f ca="1">OFFSET('Function Factors'!$B$9,$O45-1,T$14)*$L45+OFFSET('Function Factors'!$B$9,$K45-1,T$14)*$H45</f>
        <v>-530200.06314518396</v>
      </c>
      <c r="U45" s="200"/>
      <c r="V45" s="200">
        <f ca="1">OFFSET('Function Factors'!$B$9,$O45-1,V$14)*$L45+OFFSET('Function Factors'!$B$9,$K45-1,V$14)*$H45</f>
        <v>-7615.4819972425539</v>
      </c>
      <c r="W45" s="94"/>
      <c r="X45" s="200">
        <f t="shared" ca="1" si="10"/>
        <v>-682850.15761198453</v>
      </c>
      <c r="Z45" s="35" t="str">
        <f t="shared" ca="1" si="7"/>
        <v/>
      </c>
      <c r="AC45" s="73"/>
      <c r="AK45" s="15"/>
    </row>
    <row r="46" spans="2:37" s="99" customFormat="1" ht="13" x14ac:dyDescent="0.3">
      <c r="B46" s="163">
        <f t="shared" si="8"/>
        <v>23</v>
      </c>
      <c r="D46" s="99" t="s">
        <v>27</v>
      </c>
      <c r="E46" s="94"/>
      <c r="F46" s="113">
        <v>-17452.974556718505</v>
      </c>
      <c r="G46" s="94"/>
      <c r="H46" s="113"/>
      <c r="I46" s="94"/>
      <c r="J46" s="91"/>
      <c r="K46" s="192">
        <f>_xlfn.IFNA(MATCH(J46,'Function Factors'!$B$9:$B$455,0),0)</f>
        <v>0</v>
      </c>
      <c r="L46" s="113">
        <f t="shared" si="9"/>
        <v>-17452.974556718505</v>
      </c>
      <c r="M46" s="94"/>
      <c r="N46" s="91" t="s">
        <v>28</v>
      </c>
      <c r="O46" s="192">
        <f>_xlfn.IFNA(MATCH(N46,'Function Factors'!$B$9:$B$455,0),0)</f>
        <v>99</v>
      </c>
      <c r="P46" s="200">
        <f ca="1">OFFSET('Function Factors'!$B$9,$O46-1,P$14)*$L46+OFFSET('Function Factors'!$B$9,$K46-1,P$14)*$H46</f>
        <v>0</v>
      </c>
      <c r="Q46" s="94"/>
      <c r="R46" s="200">
        <f ca="1">OFFSET('Function Factors'!$B$9,$O46-1,R$14)*$L46+OFFSET('Function Factors'!$B$9,$K46-1,R$14)*$H46</f>
        <v>-17452.974556718505</v>
      </c>
      <c r="S46" s="200"/>
      <c r="T46" s="200">
        <f ca="1">OFFSET('Function Factors'!$B$9,$O46-1,T$14)*$L46+OFFSET('Function Factors'!$B$9,$K46-1,T$14)*$H46</f>
        <v>0</v>
      </c>
      <c r="U46" s="200"/>
      <c r="V46" s="200">
        <f ca="1">OFFSET('Function Factors'!$B$9,$O46-1,V$14)*$L46+OFFSET('Function Factors'!$B$9,$K46-1,V$14)*$H46</f>
        <v>0</v>
      </c>
      <c r="W46" s="94"/>
      <c r="X46" s="200">
        <f t="shared" ca="1" si="10"/>
        <v>-17452.974556718505</v>
      </c>
      <c r="Z46" s="35" t="str">
        <f t="shared" ca="1" si="7"/>
        <v/>
      </c>
      <c r="AC46" s="73"/>
      <c r="AK46" s="15"/>
    </row>
    <row r="47" spans="2:37" s="99" customFormat="1" ht="13" x14ac:dyDescent="0.3">
      <c r="B47" s="163">
        <f t="shared" si="8"/>
        <v>24</v>
      </c>
      <c r="D47" s="99" t="s">
        <v>29</v>
      </c>
      <c r="E47" s="94"/>
      <c r="F47" s="113">
        <v>-129516.95304599847</v>
      </c>
      <c r="G47" s="94"/>
      <c r="H47" s="113"/>
      <c r="I47" s="94"/>
      <c r="J47" s="91"/>
      <c r="K47" s="192">
        <f>_xlfn.IFNA(MATCH(J47,'Function Factors'!$B$9:$B$455,0),0)</f>
        <v>0</v>
      </c>
      <c r="L47" s="113">
        <f t="shared" si="9"/>
        <v>-129516.95304599847</v>
      </c>
      <c r="M47" s="94"/>
      <c r="N47" s="91" t="s">
        <v>28</v>
      </c>
      <c r="O47" s="192">
        <f>_xlfn.IFNA(MATCH(N47,'Function Factors'!$B$9:$B$455,0),0)</f>
        <v>99</v>
      </c>
      <c r="P47" s="200">
        <f ca="1">OFFSET('Function Factors'!$B$9,$O47-1,P$14)*$L47+OFFSET('Function Factors'!$B$9,$K47-1,P$14)*$H47</f>
        <v>0</v>
      </c>
      <c r="Q47" s="94"/>
      <c r="R47" s="200">
        <f ca="1">OFFSET('Function Factors'!$B$9,$O47-1,R$14)*$L47+OFFSET('Function Factors'!$B$9,$K47-1,R$14)*$H47</f>
        <v>-129516.95304599847</v>
      </c>
      <c r="S47" s="200"/>
      <c r="T47" s="200">
        <f ca="1">OFFSET('Function Factors'!$B$9,$O47-1,T$14)*$L47+OFFSET('Function Factors'!$B$9,$K47-1,T$14)*$H47</f>
        <v>0</v>
      </c>
      <c r="U47" s="200"/>
      <c r="V47" s="200">
        <f ca="1">OFFSET('Function Factors'!$B$9,$O47-1,V$14)*$L47+OFFSET('Function Factors'!$B$9,$K47-1,V$14)*$H47</f>
        <v>0</v>
      </c>
      <c r="W47" s="94"/>
      <c r="X47" s="200">
        <f t="shared" ca="1" si="10"/>
        <v>-129516.95304599847</v>
      </c>
      <c r="Z47" s="35" t="str">
        <f t="shared" ca="1" si="7"/>
        <v/>
      </c>
      <c r="AC47" s="73"/>
    </row>
    <row r="48" spans="2:37" s="99" customFormat="1" ht="13" x14ac:dyDescent="0.3">
      <c r="B48" s="163">
        <f t="shared" si="8"/>
        <v>25</v>
      </c>
      <c r="D48" s="99" t="s">
        <v>30</v>
      </c>
      <c r="E48" s="94"/>
      <c r="F48" s="113">
        <v>0</v>
      </c>
      <c r="G48" s="94"/>
      <c r="H48" s="113"/>
      <c r="I48" s="94"/>
      <c r="J48" s="91"/>
      <c r="K48" s="192">
        <f>_xlfn.IFNA(MATCH(J48,'Function Factors'!$B$9:$B$455,0),0)</f>
        <v>0</v>
      </c>
      <c r="L48" s="113">
        <f t="shared" si="9"/>
        <v>0</v>
      </c>
      <c r="M48" s="94"/>
      <c r="N48" s="91"/>
      <c r="O48" s="192">
        <f>_xlfn.IFNA(MATCH(N48,'Function Factors'!$B$9:$B$455,0),0)</f>
        <v>0</v>
      </c>
      <c r="P48" s="200">
        <f ca="1">OFFSET('Function Factors'!$B$9,$O48-1,P$14)*$L48+OFFSET('Function Factors'!$B$9,$K48-1,P$14)*$H48</f>
        <v>0</v>
      </c>
      <c r="Q48" s="94"/>
      <c r="R48" s="200">
        <f ca="1">OFFSET('Function Factors'!$B$9,$O48-1,R$14)*$L48+OFFSET('Function Factors'!$B$9,$K48-1,R$14)*$H48</f>
        <v>0</v>
      </c>
      <c r="S48" s="200"/>
      <c r="T48" s="200">
        <f ca="1">OFFSET('Function Factors'!$B$9,$O48-1,T$14)*$L48+OFFSET('Function Factors'!$B$9,$K48-1,T$14)*$H48</f>
        <v>0</v>
      </c>
      <c r="U48" s="200"/>
      <c r="V48" s="200">
        <f ca="1">OFFSET('Function Factors'!$B$9,$O48-1,V$14)*$L48+OFFSET('Function Factors'!$B$9,$K48-1,V$14)*$H48</f>
        <v>0</v>
      </c>
      <c r="W48" s="94"/>
      <c r="X48" s="200">
        <f t="shared" ca="1" si="10"/>
        <v>0</v>
      </c>
      <c r="Z48" s="35" t="str">
        <f t="shared" ca="1" si="7"/>
        <v/>
      </c>
      <c r="AC48" s="73"/>
    </row>
    <row r="49" spans="2:29" s="99" customFormat="1" ht="13" x14ac:dyDescent="0.3">
      <c r="B49" s="163">
        <f t="shared" si="8"/>
        <v>26</v>
      </c>
      <c r="D49" s="99" t="s">
        <v>31</v>
      </c>
      <c r="E49" s="94"/>
      <c r="F49" s="113">
        <v>-2154595.1744134566</v>
      </c>
      <c r="G49" s="94"/>
      <c r="H49" s="113"/>
      <c r="I49" s="94"/>
      <c r="J49" s="91"/>
      <c r="K49" s="192">
        <f>_xlfn.IFNA(MATCH(J49,'Function Factors'!$B$9:$B$455,0),0)</f>
        <v>0</v>
      </c>
      <c r="L49" s="113">
        <f t="shared" si="9"/>
        <v>-2154595.1744134566</v>
      </c>
      <c r="M49" s="94"/>
      <c r="N49" s="91" t="s">
        <v>32</v>
      </c>
      <c r="O49" s="192">
        <f>_xlfn.IFNA(MATCH(N49,'Function Factors'!$B$9:$B$455,0),0)</f>
        <v>36</v>
      </c>
      <c r="P49" s="200">
        <f ca="1">OFFSET('Function Factors'!$B$9,$O49-1,P$14)*$L49+OFFSET('Function Factors'!$B$9,$K49-1,P$14)*$H49</f>
        <v>0</v>
      </c>
      <c r="Q49" s="94"/>
      <c r="R49" s="200">
        <f ca="1">OFFSET('Function Factors'!$B$9,$O49-1,R$14)*$L49+OFFSET('Function Factors'!$B$9,$K49-1,R$14)*$H49</f>
        <v>0</v>
      </c>
      <c r="S49" s="200"/>
      <c r="T49" s="200">
        <f ca="1">OFFSET('Function Factors'!$B$9,$O49-1,T$14)*$L49+OFFSET('Function Factors'!$B$9,$K49-1,T$14)*$H49</f>
        <v>0</v>
      </c>
      <c r="U49" s="200"/>
      <c r="V49" s="200">
        <f ca="1">OFFSET('Function Factors'!$B$9,$O49-1,V$14)*$L49+OFFSET('Function Factors'!$B$9,$K49-1,V$14)*$H49</f>
        <v>-2154595.1744134566</v>
      </c>
      <c r="W49" s="94"/>
      <c r="X49" s="200">
        <f t="shared" ca="1" si="10"/>
        <v>-2154595.1744134566</v>
      </c>
      <c r="Z49" s="35" t="str">
        <f t="shared" ca="1" si="7"/>
        <v/>
      </c>
      <c r="AC49" s="73"/>
    </row>
    <row r="50" spans="2:29" s="99" customFormat="1" ht="13" x14ac:dyDescent="0.3">
      <c r="B50" s="163">
        <f t="shared" si="8"/>
        <v>27</v>
      </c>
      <c r="D50" s="99" t="s">
        <v>327</v>
      </c>
      <c r="E50" s="94"/>
      <c r="F50" s="113">
        <v>-673512.34004937287</v>
      </c>
      <c r="G50" s="94"/>
      <c r="H50" s="113"/>
      <c r="I50" s="94"/>
      <c r="J50" s="91"/>
      <c r="K50" s="192">
        <f>_xlfn.IFNA(MATCH(J50,'Function Factors'!$B$9:$B$455,0),0)</f>
        <v>0</v>
      </c>
      <c r="L50" s="113">
        <f t="shared" si="9"/>
        <v>-673512.34004937287</v>
      </c>
      <c r="M50" s="94"/>
      <c r="N50" s="91" t="s">
        <v>32</v>
      </c>
      <c r="O50" s="192">
        <f>_xlfn.IFNA(MATCH(N50,'Function Factors'!$B$9:$B$455,0),0)</f>
        <v>36</v>
      </c>
      <c r="P50" s="200">
        <f ca="1">OFFSET('Function Factors'!$B$9,$O50-1,P$14)*$L50+OFFSET('Function Factors'!$B$9,$K50-1,P$14)*$H50</f>
        <v>0</v>
      </c>
      <c r="Q50" s="94"/>
      <c r="R50" s="200">
        <f ca="1">OFFSET('Function Factors'!$B$9,$O50-1,R$14)*$L50+OFFSET('Function Factors'!$B$9,$K50-1,R$14)*$H50</f>
        <v>0</v>
      </c>
      <c r="S50" s="200"/>
      <c r="T50" s="200">
        <f ca="1">OFFSET('Function Factors'!$B$9,$O50-1,T$14)*$L50+OFFSET('Function Factors'!$B$9,$K50-1,T$14)*$H50</f>
        <v>0</v>
      </c>
      <c r="U50" s="200"/>
      <c r="V50" s="200">
        <f ca="1">OFFSET('Function Factors'!$B$9,$O50-1,V$14)*$L50+OFFSET('Function Factors'!$B$9,$K50-1,V$14)*$H50</f>
        <v>-673512.34004937287</v>
      </c>
      <c r="W50" s="94"/>
      <c r="X50" s="200">
        <f t="shared" ca="1" si="10"/>
        <v>-673512.34004937287</v>
      </c>
      <c r="Z50" s="35" t="str">
        <f t="shared" ca="1" si="7"/>
        <v/>
      </c>
      <c r="AC50" s="73"/>
    </row>
    <row r="51" spans="2:29" s="99" customFormat="1" ht="13" x14ac:dyDescent="0.3">
      <c r="B51" s="163">
        <f>B50+1</f>
        <v>28</v>
      </c>
      <c r="D51" s="99" t="s">
        <v>34</v>
      </c>
      <c r="E51" s="94"/>
      <c r="F51" s="113">
        <v>-62257.94207050046</v>
      </c>
      <c r="G51" s="94"/>
      <c r="H51" s="113"/>
      <c r="I51" s="94"/>
      <c r="J51" s="91"/>
      <c r="K51" s="192">
        <f>_xlfn.IFNA(MATCH(J51,'Function Factors'!$B$9:$B$455,0),0)</f>
        <v>0</v>
      </c>
      <c r="L51" s="113">
        <f t="shared" si="9"/>
        <v>-62257.94207050046</v>
      </c>
      <c r="M51" s="94"/>
      <c r="N51" s="91" t="s">
        <v>32</v>
      </c>
      <c r="O51" s="192">
        <f>_xlfn.IFNA(MATCH(N51,'Function Factors'!$B$9:$B$455,0),0)</f>
        <v>36</v>
      </c>
      <c r="P51" s="200">
        <f ca="1">OFFSET('Function Factors'!$B$9,$O51-1,P$14)*$L51+OFFSET('Function Factors'!$B$9,$K51-1,P$14)*$H51</f>
        <v>0</v>
      </c>
      <c r="Q51" s="94"/>
      <c r="R51" s="200">
        <f ca="1">OFFSET('Function Factors'!$B$9,$O51-1,R$14)*$L51+OFFSET('Function Factors'!$B$9,$K51-1,R$14)*$H51</f>
        <v>0</v>
      </c>
      <c r="S51" s="200"/>
      <c r="T51" s="200">
        <f ca="1">OFFSET('Function Factors'!$B$9,$O51-1,T$14)*$L51+OFFSET('Function Factors'!$B$9,$K51-1,T$14)*$H51</f>
        <v>0</v>
      </c>
      <c r="U51" s="200"/>
      <c r="V51" s="200">
        <f ca="1">OFFSET('Function Factors'!$B$9,$O51-1,V$14)*$L51+OFFSET('Function Factors'!$B$9,$K51-1,V$14)*$H51</f>
        <v>-62257.94207050046</v>
      </c>
      <c r="W51" s="94"/>
      <c r="X51" s="200">
        <f t="shared" ca="1" si="10"/>
        <v>-62257.94207050046</v>
      </c>
      <c r="Z51" s="35" t="str">
        <f t="shared" ca="1" si="7"/>
        <v/>
      </c>
      <c r="AC51" s="73"/>
    </row>
    <row r="52" spans="2:29" s="99" customFormat="1" ht="13" x14ac:dyDescent="0.3">
      <c r="B52" s="163">
        <f>B51+1</f>
        <v>29</v>
      </c>
      <c r="D52" s="99" t="s">
        <v>78</v>
      </c>
      <c r="E52" s="94"/>
      <c r="F52" s="113">
        <v>0</v>
      </c>
      <c r="G52" s="94"/>
      <c r="H52" s="113"/>
      <c r="I52" s="94"/>
      <c r="J52" s="91"/>
      <c r="K52" s="192">
        <f>_xlfn.IFNA(MATCH(J52,'Function Factors'!$B$9:$B$455,0),0)</f>
        <v>0</v>
      </c>
      <c r="L52" s="113">
        <f t="shared" si="9"/>
        <v>0</v>
      </c>
      <c r="M52" s="94"/>
      <c r="N52" s="91"/>
      <c r="O52" s="192">
        <f>_xlfn.IFNA(MATCH(N52,'Function Factors'!$B$9:$B$455,0),0)</f>
        <v>0</v>
      </c>
      <c r="P52" s="200">
        <f ca="1">OFFSET('Function Factors'!$B$9,$O52-1,P$14)*$L52+OFFSET('Function Factors'!$B$9,$K52-1,P$14)*$H52</f>
        <v>0</v>
      </c>
      <c r="Q52" s="94"/>
      <c r="R52" s="200">
        <f ca="1">OFFSET('Function Factors'!$B$9,$O52-1,R$14)*$L52+OFFSET('Function Factors'!$B$9,$K52-1,R$14)*$H52</f>
        <v>0</v>
      </c>
      <c r="S52" s="200"/>
      <c r="T52" s="200">
        <f ca="1">OFFSET('Function Factors'!$B$9,$O52-1,T$14)*$L52+OFFSET('Function Factors'!$B$9,$K52-1,T$14)*$H52</f>
        <v>0</v>
      </c>
      <c r="U52" s="200"/>
      <c r="V52" s="200">
        <f ca="1">OFFSET('Function Factors'!$B$9,$O52-1,V$14)*$L52+OFFSET('Function Factors'!$B$9,$K52-1,V$14)*$H52</f>
        <v>0</v>
      </c>
      <c r="W52" s="94"/>
      <c r="X52" s="200">
        <f t="shared" ca="1" si="10"/>
        <v>0</v>
      </c>
      <c r="Z52" s="35" t="str">
        <f t="shared" ca="1" si="7"/>
        <v/>
      </c>
      <c r="AC52" s="73"/>
    </row>
    <row r="53" spans="2:29" s="99" customFormat="1" ht="13" x14ac:dyDescent="0.3">
      <c r="B53" s="163">
        <f t="shared" si="8"/>
        <v>30</v>
      </c>
      <c r="D53" s="99" t="s">
        <v>334</v>
      </c>
      <c r="E53" s="94"/>
      <c r="F53" s="79">
        <f>SUM(F40:F52)</f>
        <v>-8562344.9732658733</v>
      </c>
      <c r="G53" s="94"/>
      <c r="H53" s="79">
        <f>SUM(H40:H52)</f>
        <v>0</v>
      </c>
      <c r="I53" s="94"/>
      <c r="J53" s="91"/>
      <c r="K53" s="188"/>
      <c r="L53" s="79">
        <f>SUM(L40:L52)</f>
        <v>-8562344.9732658733</v>
      </c>
      <c r="M53" s="94"/>
      <c r="N53" s="94"/>
      <c r="O53" s="188"/>
      <c r="P53" s="204">
        <f ca="1">SUM(P40:P52)</f>
        <v>0</v>
      </c>
      <c r="Q53" s="160"/>
      <c r="R53" s="204">
        <f ca="1">SUM(R40:R52)</f>
        <v>-400813.54352617083</v>
      </c>
      <c r="S53" s="66"/>
      <c r="T53" s="204">
        <f ca="1">SUM(T40:T52)</f>
        <v>-1440966.9624631526</v>
      </c>
      <c r="U53" s="66"/>
      <c r="V53" s="204">
        <f ca="1">SUM(V40:V52)</f>
        <v>-6720564.4672765508</v>
      </c>
      <c r="W53" s="94"/>
      <c r="X53" s="204">
        <f ca="1">SUM(X40:X52)</f>
        <v>-8562344.9732658733</v>
      </c>
      <c r="Z53" s="35" t="str">
        <f t="shared" ca="1" si="7"/>
        <v/>
      </c>
      <c r="AC53" s="73"/>
    </row>
    <row r="54" spans="2:29" s="99" customFormat="1" ht="13" x14ac:dyDescent="0.3">
      <c r="B54" s="163"/>
      <c r="E54" s="94"/>
      <c r="F54" s="94"/>
      <c r="G54" s="94"/>
      <c r="H54" s="94"/>
      <c r="I54" s="94"/>
      <c r="J54" s="91"/>
      <c r="K54" s="188"/>
      <c r="L54" s="94"/>
      <c r="M54" s="94"/>
      <c r="N54" s="94"/>
      <c r="O54" s="188"/>
      <c r="P54" s="94"/>
      <c r="Q54" s="94"/>
      <c r="R54" s="94"/>
      <c r="S54" s="94"/>
      <c r="T54" s="94"/>
      <c r="U54" s="94"/>
      <c r="V54" s="94"/>
      <c r="W54" s="94"/>
      <c r="X54" s="113"/>
      <c r="Z54" s="35" t="str">
        <f t="shared" si="7"/>
        <v/>
      </c>
      <c r="AC54" s="73"/>
    </row>
    <row r="55" spans="2:29" s="99" customFormat="1" ht="13" x14ac:dyDescent="0.3">
      <c r="B55" s="163">
        <f>B53+1</f>
        <v>31</v>
      </c>
      <c r="D55" s="99" t="s">
        <v>221</v>
      </c>
      <c r="E55" s="94"/>
      <c r="F55" s="113">
        <v>-616547.49660837417</v>
      </c>
      <c r="G55" s="94"/>
      <c r="H55" s="113"/>
      <c r="I55" s="94"/>
      <c r="J55" s="91"/>
      <c r="K55" s="192">
        <f>_xlfn.IFNA(MATCH(J55,'Function Factors'!$B$9:$B$455,0),0)</f>
        <v>0</v>
      </c>
      <c r="L55" s="113">
        <f t="shared" ref="L55" si="11">F55-H55</f>
        <v>-616547.49660837417</v>
      </c>
      <c r="M55" s="94"/>
      <c r="N55" s="91" t="s">
        <v>142</v>
      </c>
      <c r="O55" s="192">
        <f>_xlfn.IFNA(MATCH(N55,'Function Factors'!$B$9:$B$455,0),0)</f>
        <v>45</v>
      </c>
      <c r="P55" s="200">
        <f ca="1">OFFSET('Function Factors'!$B$9,$O55-1,P$14)*$L55+OFFSET('Function Factors'!$B$9,$K55-1,P$14)*$H55</f>
        <v>0</v>
      </c>
      <c r="Q55" s="94"/>
      <c r="R55" s="200">
        <f ca="1">OFFSET('Function Factors'!$B$9,$O55-1,R$14)*$L55+OFFSET('Function Factors'!$B$9,$K55-1,R$14)*$H55</f>
        <v>-33443.566901546081</v>
      </c>
      <c r="S55" s="200"/>
      <c r="T55" s="200">
        <f ca="1">OFFSET('Function Factors'!$B$9,$O55-1,T$14)*$L55+OFFSET('Function Factors'!$B$9,$K55-1,T$14)*$H55</f>
        <v>-81050.44661914905</v>
      </c>
      <c r="U55" s="200"/>
      <c r="V55" s="200">
        <f ca="1">OFFSET('Function Factors'!$B$9,$O55-1,V$14)*$L55+OFFSET('Function Factors'!$B$9,$K55-1,V$14)*$H55</f>
        <v>-502053.48308767914</v>
      </c>
      <c r="W55" s="200"/>
      <c r="X55" s="200">
        <f ca="1">P55+R55+T55+V55</f>
        <v>-616547.49660837429</v>
      </c>
      <c r="Z55" s="35" t="str">
        <f t="shared" ca="1" si="7"/>
        <v/>
      </c>
      <c r="AC55" s="73"/>
    </row>
    <row r="56" spans="2:29" s="99" customFormat="1" ht="13" x14ac:dyDescent="0.3">
      <c r="B56" s="163"/>
      <c r="E56" s="94"/>
      <c r="F56" s="94"/>
      <c r="G56" s="94"/>
      <c r="H56" s="94"/>
      <c r="I56" s="94"/>
      <c r="J56" s="91"/>
      <c r="K56" s="188"/>
      <c r="L56" s="94"/>
      <c r="M56" s="94"/>
      <c r="N56" s="94"/>
      <c r="O56" s="188"/>
      <c r="P56" s="94"/>
      <c r="Q56" s="94"/>
      <c r="R56" s="94"/>
      <c r="S56" s="94"/>
      <c r="T56" s="94"/>
      <c r="U56" s="94"/>
      <c r="V56" s="94"/>
      <c r="W56" s="94"/>
      <c r="X56" s="113"/>
      <c r="Z56" s="35" t="str">
        <f t="shared" si="7"/>
        <v/>
      </c>
      <c r="AC56" s="73"/>
    </row>
    <row r="57" spans="2:29" s="99" customFormat="1" ht="13" x14ac:dyDescent="0.3">
      <c r="B57" s="163">
        <f>B55+1</f>
        <v>32</v>
      </c>
      <c r="D57" s="99" t="s">
        <v>476</v>
      </c>
      <c r="E57" s="94"/>
      <c r="F57" s="79">
        <f>F53+F55</f>
        <v>-9178892.4698742479</v>
      </c>
      <c r="G57" s="94"/>
      <c r="H57" s="79">
        <f>H53+H55</f>
        <v>0</v>
      </c>
      <c r="I57" s="94"/>
      <c r="J57" s="91"/>
      <c r="K57" s="188"/>
      <c r="L57" s="79">
        <f>L53+L55</f>
        <v>-9178892.4698742479</v>
      </c>
      <c r="M57" s="94"/>
      <c r="N57" s="94"/>
      <c r="O57" s="188"/>
      <c r="P57" s="79">
        <f ca="1">P53+P55</f>
        <v>0</v>
      </c>
      <c r="Q57" s="229"/>
      <c r="R57" s="79">
        <f ca="1">R53+R55</f>
        <v>-434257.11042771692</v>
      </c>
      <c r="S57" s="113"/>
      <c r="T57" s="79">
        <f ca="1">T53+T55</f>
        <v>-1522017.4090823017</v>
      </c>
      <c r="U57" s="113"/>
      <c r="V57" s="79">
        <f ca="1">V53+V55</f>
        <v>-7222617.9503642302</v>
      </c>
      <c r="W57" s="94"/>
      <c r="X57" s="79">
        <f ca="1">X53+X55</f>
        <v>-9178892.4698742479</v>
      </c>
      <c r="Z57" s="35" t="str">
        <f t="shared" ca="1" si="7"/>
        <v/>
      </c>
      <c r="AC57" s="73"/>
    </row>
    <row r="58" spans="2:29" s="99" customFormat="1" ht="13" x14ac:dyDescent="0.3">
      <c r="B58" s="163"/>
      <c r="D58" s="6"/>
      <c r="E58" s="219"/>
      <c r="F58" s="219"/>
      <c r="G58" s="94"/>
      <c r="H58" s="219"/>
      <c r="I58" s="94"/>
      <c r="J58" s="91"/>
      <c r="K58" s="188"/>
      <c r="L58" s="219"/>
      <c r="M58" s="94"/>
      <c r="N58" s="94"/>
      <c r="O58" s="188"/>
      <c r="P58" s="94"/>
      <c r="Q58" s="94"/>
      <c r="R58" s="94"/>
      <c r="S58" s="94"/>
      <c r="T58" s="94"/>
      <c r="U58" s="94"/>
      <c r="V58" s="94"/>
      <c r="W58" s="94"/>
      <c r="X58" s="94"/>
      <c r="Z58" s="35" t="str">
        <f t="shared" si="7"/>
        <v/>
      </c>
      <c r="AC58" s="73"/>
    </row>
    <row r="59" spans="2:29" s="99" customFormat="1" ht="13" x14ac:dyDescent="0.3">
      <c r="B59" s="163"/>
      <c r="E59" s="94"/>
      <c r="F59" s="113"/>
      <c r="G59" s="94"/>
      <c r="H59" s="94"/>
      <c r="I59" s="94"/>
      <c r="J59" s="91"/>
      <c r="K59" s="188"/>
      <c r="L59" s="94"/>
      <c r="M59" s="94"/>
      <c r="N59" s="94"/>
      <c r="O59" s="188"/>
      <c r="P59" s="94"/>
      <c r="Q59" s="94"/>
      <c r="R59" s="94"/>
      <c r="S59" s="94"/>
      <c r="T59" s="94"/>
      <c r="U59" s="94"/>
      <c r="V59" s="94"/>
      <c r="W59" s="94"/>
      <c r="X59" s="94"/>
      <c r="Z59" s="35" t="str">
        <f t="shared" si="7"/>
        <v/>
      </c>
      <c r="AC59" s="73"/>
    </row>
    <row r="60" spans="2:29" ht="13" x14ac:dyDescent="0.3">
      <c r="D60" s="6" t="s">
        <v>17</v>
      </c>
      <c r="E60" s="220"/>
      <c r="F60" s="220"/>
      <c r="Z60" s="35" t="str">
        <f t="shared" si="0"/>
        <v/>
      </c>
    </row>
    <row r="61" spans="2:29" ht="13" x14ac:dyDescent="0.3">
      <c r="Z61" s="35" t="str">
        <f t="shared" si="0"/>
        <v/>
      </c>
    </row>
    <row r="62" spans="2:29" ht="13" x14ac:dyDescent="0.3">
      <c r="B62" s="163">
        <f>B57+1</f>
        <v>33</v>
      </c>
      <c r="D62" s="99" t="s">
        <v>77</v>
      </c>
      <c r="F62" s="113">
        <f>F18+F40</f>
        <v>221951.98928670486</v>
      </c>
      <c r="H62" s="113"/>
      <c r="K62" s="192">
        <f>_xlfn.IFNA(MATCH(J62,'Function Factors'!$B$9:$B$455,0),0)</f>
        <v>0</v>
      </c>
      <c r="L62" s="113">
        <f>F62-H62</f>
        <v>221951.98928670486</v>
      </c>
      <c r="N62" s="91"/>
      <c r="O62" s="192">
        <f>_xlfn.IFNA(MATCH(N62,'Function Factors'!$B$9:$B$455,0),0)</f>
        <v>0</v>
      </c>
      <c r="P62" s="200">
        <f ca="1">P18+P40</f>
        <v>0</v>
      </c>
      <c r="R62" s="200">
        <f ca="1">R18+R40</f>
        <v>12712.975753678993</v>
      </c>
      <c r="S62" s="200"/>
      <c r="T62" s="200">
        <f ca="1">T18+T40</f>
        <v>81031.114909682263</v>
      </c>
      <c r="U62" s="200"/>
      <c r="V62" s="200">
        <f ca="1">V18+V40</f>
        <v>128207.8986233436</v>
      </c>
      <c r="X62" s="200">
        <f ca="1">P62+R62+T62+V62</f>
        <v>221951.98928670486</v>
      </c>
      <c r="Z62" s="35" t="str">
        <f ca="1">IF(ROUND(F62,4)=ROUND(X62,4), "", "check")</f>
        <v/>
      </c>
    </row>
    <row r="63" spans="2:29" ht="13" x14ac:dyDescent="0.3">
      <c r="B63" s="163">
        <f>B62+1</f>
        <v>34</v>
      </c>
      <c r="D63" s="99" t="s">
        <v>76</v>
      </c>
      <c r="F63" s="113">
        <f t="shared" ref="F63:F74" si="12">F19+F41</f>
        <v>174626.3288135872</v>
      </c>
      <c r="H63" s="113"/>
      <c r="K63" s="192">
        <f>_xlfn.IFNA(MATCH(J63,'Function Factors'!$B$9:$B$455,0),0)</f>
        <v>0</v>
      </c>
      <c r="L63" s="113">
        <f>F63-H63</f>
        <v>174626.3288135872</v>
      </c>
      <c r="N63" s="91"/>
      <c r="O63" s="192">
        <f>_xlfn.IFNA(MATCH(N63,'Function Factors'!$B$9:$B$455,0),0)</f>
        <v>0</v>
      </c>
      <c r="P63" s="200">
        <f t="shared" ref="P63:R74" ca="1" si="13">P19+P41</f>
        <v>0</v>
      </c>
      <c r="R63" s="200">
        <f t="shared" ca="1" si="13"/>
        <v>27717.609088767276</v>
      </c>
      <c r="S63" s="200"/>
      <c r="T63" s="200">
        <f t="shared" ref="T63" ca="1" si="14">T19+T41</f>
        <v>47247.755727071446</v>
      </c>
      <c r="U63" s="200"/>
      <c r="V63" s="200">
        <f t="shared" ref="V63" ca="1" si="15">V19+V41</f>
        <v>99660.963997748491</v>
      </c>
      <c r="X63" s="200">
        <f ca="1">P63+R63+T63+V63</f>
        <v>174626.3288135872</v>
      </c>
      <c r="Z63" s="35" t="str">
        <f t="shared" ref="Z63:Z122" ca="1" si="16">IF(ROUND(F63,4)=ROUND(X63,4), "", "check")</f>
        <v/>
      </c>
    </row>
    <row r="64" spans="2:29" ht="13" x14ac:dyDescent="0.3">
      <c r="B64" s="163">
        <f t="shared" ref="B64:B75" si="17">B63+1</f>
        <v>35</v>
      </c>
      <c r="D64" s="99" t="s">
        <v>19</v>
      </c>
      <c r="F64" s="113">
        <f t="shared" si="12"/>
        <v>453969.55250916124</v>
      </c>
      <c r="H64" s="113"/>
      <c r="K64" s="192">
        <f>_xlfn.IFNA(MATCH(J64,'Function Factors'!$B$9:$B$455,0),0)</f>
        <v>0</v>
      </c>
      <c r="L64" s="113">
        <f t="shared" ref="L64:L74" si="18">F64-H64</f>
        <v>453969.55250916124</v>
      </c>
      <c r="N64" s="91"/>
      <c r="O64" s="192">
        <f>_xlfn.IFNA(MATCH(N64,'Function Factors'!$B$9:$B$455,0),0)</f>
        <v>0</v>
      </c>
      <c r="P64" s="200">
        <f t="shared" ca="1" si="13"/>
        <v>0</v>
      </c>
      <c r="R64" s="200">
        <f t="shared" ca="1" si="13"/>
        <v>53610.498480618488</v>
      </c>
      <c r="S64" s="200"/>
      <c r="T64" s="200">
        <f t="shared" ref="T64" ca="1" si="19">T20+T42</f>
        <v>134135.26310064382</v>
      </c>
      <c r="U64" s="200"/>
      <c r="V64" s="200">
        <f t="shared" ref="V64" ca="1" si="20">V20+V42</f>
        <v>266223.7909278989</v>
      </c>
      <c r="X64" s="200">
        <f t="shared" ref="X64:X74" ca="1" si="21">P64+R64+T64+V64</f>
        <v>453969.55250916118</v>
      </c>
      <c r="Z64" s="35" t="str">
        <f t="shared" ca="1" si="16"/>
        <v/>
      </c>
    </row>
    <row r="65" spans="2:37" ht="13" x14ac:dyDescent="0.3">
      <c r="B65" s="163">
        <f t="shared" si="17"/>
        <v>36</v>
      </c>
      <c r="D65" s="99" t="s">
        <v>21</v>
      </c>
      <c r="F65" s="113">
        <f t="shared" si="12"/>
        <v>1114509.9184832026</v>
      </c>
      <c r="H65" s="113"/>
      <c r="K65" s="192">
        <f>_xlfn.IFNA(MATCH(J65,'Function Factors'!$B$9:$B$455,0),0)</f>
        <v>0</v>
      </c>
      <c r="L65" s="113">
        <f t="shared" si="18"/>
        <v>1114509.9184832026</v>
      </c>
      <c r="N65" s="91"/>
      <c r="O65" s="192">
        <f>_xlfn.IFNA(MATCH(N65,'Function Factors'!$B$9:$B$455,0),0)</f>
        <v>0</v>
      </c>
      <c r="P65" s="200">
        <f t="shared" ca="1" si="13"/>
        <v>0</v>
      </c>
      <c r="R65" s="200">
        <f t="shared" ca="1" si="13"/>
        <v>7056.4073710561788</v>
      </c>
      <c r="S65" s="200"/>
      <c r="T65" s="200">
        <f t="shared" ref="T65" ca="1" si="22">T21+T43</f>
        <v>200814.18652432266</v>
      </c>
      <c r="U65" s="200"/>
      <c r="V65" s="200">
        <f t="shared" ref="V65" ca="1" si="23">V21+V43</f>
        <v>906639.32458782382</v>
      </c>
      <c r="X65" s="200">
        <f t="shared" ca="1" si="21"/>
        <v>1114509.9184832026</v>
      </c>
      <c r="Z65" s="35" t="str">
        <f t="shared" ca="1" si="16"/>
        <v/>
      </c>
    </row>
    <row r="66" spans="2:37" ht="13" x14ac:dyDescent="0.3">
      <c r="B66" s="163">
        <f t="shared" si="17"/>
        <v>37</v>
      </c>
      <c r="D66" s="99" t="s">
        <v>23</v>
      </c>
      <c r="F66" s="113">
        <f t="shared" si="12"/>
        <v>7173948.9464482516</v>
      </c>
      <c r="H66" s="113"/>
      <c r="K66" s="192">
        <f>_xlfn.IFNA(MATCH(J66,'Function Factors'!$B$9:$B$455,0),0)</f>
        <v>0</v>
      </c>
      <c r="L66" s="113">
        <f t="shared" si="18"/>
        <v>7173948.9464482516</v>
      </c>
      <c r="N66" s="91"/>
      <c r="O66" s="192">
        <f>_xlfn.IFNA(MATCH(N66,'Function Factors'!$B$9:$B$455,0),0)</f>
        <v>0</v>
      </c>
      <c r="P66" s="200">
        <f t="shared" ca="1" si="13"/>
        <v>0</v>
      </c>
      <c r="R66" s="200">
        <f t="shared" ca="1" si="13"/>
        <v>0</v>
      </c>
      <c r="S66" s="200"/>
      <c r="T66" s="200">
        <f t="shared" ref="T66" ca="1" si="24">T22+T44</f>
        <v>1595797.4282952182</v>
      </c>
      <c r="U66" s="200"/>
      <c r="V66" s="200">
        <f t="shared" ref="V66" ca="1" si="25">V22+V44</f>
        <v>5578151.5181530323</v>
      </c>
      <c r="X66" s="200">
        <f t="shared" ref="X66:X67" ca="1" si="26">P66+R66+T66+V66</f>
        <v>7173948.9464482507</v>
      </c>
      <c r="Z66" s="35" t="str">
        <f t="shared" ca="1" si="16"/>
        <v/>
      </c>
    </row>
    <row r="67" spans="2:37" ht="13" x14ac:dyDescent="0.3">
      <c r="B67" s="163">
        <f t="shared" si="17"/>
        <v>38</v>
      </c>
      <c r="D67" s="99" t="s">
        <v>25</v>
      </c>
      <c r="F67" s="113">
        <f t="shared" si="12"/>
        <v>1083451.9945286508</v>
      </c>
      <c r="H67" s="113"/>
      <c r="K67" s="192">
        <f>_xlfn.IFNA(MATCH(J67,'Function Factors'!$B$9:$B$455,0),0)</f>
        <v>0</v>
      </c>
      <c r="L67" s="113">
        <f t="shared" si="18"/>
        <v>1083451.9945286508</v>
      </c>
      <c r="N67" s="91"/>
      <c r="O67" s="192">
        <f>_xlfn.IFNA(MATCH(N67,'Function Factors'!$B$9:$B$455,0),0)</f>
        <v>0</v>
      </c>
      <c r="P67" s="200">
        <f t="shared" ca="1" si="13"/>
        <v>0</v>
      </c>
      <c r="R67" s="200">
        <f t="shared" ca="1" si="13"/>
        <v>228197.51069519774</v>
      </c>
      <c r="S67" s="200"/>
      <c r="T67" s="200">
        <f t="shared" ref="T67" ca="1" si="27">T23+T45</f>
        <v>831720.75923165283</v>
      </c>
      <c r="U67" s="200"/>
      <c r="V67" s="200">
        <f t="shared" ref="V67" ca="1" si="28">V23+V45</f>
        <v>23533.724601800073</v>
      </c>
      <c r="X67" s="200">
        <f t="shared" ca="1" si="26"/>
        <v>1083451.9945286508</v>
      </c>
      <c r="Z67" s="35" t="str">
        <f t="shared" ca="1" si="16"/>
        <v/>
      </c>
      <c r="AK67" s="15"/>
    </row>
    <row r="68" spans="2:37" ht="13" x14ac:dyDescent="0.3">
      <c r="B68" s="163">
        <f t="shared" si="17"/>
        <v>39</v>
      </c>
      <c r="D68" s="99" t="s">
        <v>27</v>
      </c>
      <c r="F68" s="113">
        <f t="shared" si="12"/>
        <v>14568.068741056566</v>
      </c>
      <c r="H68" s="113"/>
      <c r="K68" s="192">
        <f>_xlfn.IFNA(MATCH(J68,'Function Factors'!$B$9:$B$455,0),0)</f>
        <v>0</v>
      </c>
      <c r="L68" s="113">
        <f t="shared" si="18"/>
        <v>14568.068741056566</v>
      </c>
      <c r="N68" s="91"/>
      <c r="O68" s="192">
        <f>_xlfn.IFNA(MATCH(N68,'Function Factors'!$B$9:$B$455,0),0)</f>
        <v>0</v>
      </c>
      <c r="P68" s="200">
        <f t="shared" ca="1" si="13"/>
        <v>0</v>
      </c>
      <c r="R68" s="200">
        <f t="shared" ca="1" si="13"/>
        <v>14568.068741056566</v>
      </c>
      <c r="S68" s="200"/>
      <c r="T68" s="200">
        <f t="shared" ref="T68" ca="1" si="29">T24+T46</f>
        <v>0</v>
      </c>
      <c r="U68" s="200"/>
      <c r="V68" s="200">
        <f t="shared" ref="V68" ca="1" si="30">V24+V46</f>
        <v>0</v>
      </c>
      <c r="X68" s="200">
        <f t="shared" ca="1" si="21"/>
        <v>14568.068741056566</v>
      </c>
      <c r="Y68" s="97"/>
      <c r="Z68" s="35" t="str">
        <f t="shared" ca="1" si="16"/>
        <v/>
      </c>
      <c r="AK68" s="15"/>
    </row>
    <row r="69" spans="2:37" ht="13" x14ac:dyDescent="0.3">
      <c r="B69" s="163">
        <f t="shared" si="17"/>
        <v>40</v>
      </c>
      <c r="D69" s="99" t="s">
        <v>29</v>
      </c>
      <c r="F69" s="113">
        <f t="shared" si="12"/>
        <v>326509.58352305606</v>
      </c>
      <c r="H69" s="113"/>
      <c r="K69" s="192">
        <f>_xlfn.IFNA(MATCH(J69,'Function Factors'!$B$9:$B$455,0),0)</f>
        <v>0</v>
      </c>
      <c r="L69" s="113">
        <f t="shared" si="18"/>
        <v>326509.58352305606</v>
      </c>
      <c r="N69" s="91"/>
      <c r="O69" s="192">
        <f>_xlfn.IFNA(MATCH(N69,'Function Factors'!$B$9:$B$455,0),0)</f>
        <v>0</v>
      </c>
      <c r="P69" s="200">
        <f t="shared" ca="1" si="13"/>
        <v>0</v>
      </c>
      <c r="R69" s="200">
        <f t="shared" ca="1" si="13"/>
        <v>326509.58352305606</v>
      </c>
      <c r="S69" s="200"/>
      <c r="T69" s="200">
        <f t="shared" ref="T69" ca="1" si="31">T25+T47</f>
        <v>0</v>
      </c>
      <c r="U69" s="200"/>
      <c r="V69" s="200">
        <f t="shared" ref="V69" ca="1" si="32">V25+V47</f>
        <v>0</v>
      </c>
      <c r="X69" s="200">
        <f t="shared" ca="1" si="21"/>
        <v>326509.58352305606</v>
      </c>
      <c r="Y69" s="97"/>
      <c r="Z69" s="35" t="str">
        <f t="shared" ca="1" si="16"/>
        <v/>
      </c>
    </row>
    <row r="70" spans="2:37" ht="13" x14ac:dyDescent="0.3">
      <c r="B70" s="163">
        <f t="shared" si="17"/>
        <v>41</v>
      </c>
      <c r="D70" s="99" t="s">
        <v>30</v>
      </c>
      <c r="F70" s="113">
        <f t="shared" si="12"/>
        <v>69492.406220965684</v>
      </c>
      <c r="H70" s="113"/>
      <c r="K70" s="192">
        <f>_xlfn.IFNA(MATCH(J70,'Function Factors'!$B$9:$B$455,0),0)</f>
        <v>0</v>
      </c>
      <c r="L70" s="113">
        <f t="shared" si="18"/>
        <v>69492.406220965684</v>
      </c>
      <c r="N70" s="91"/>
      <c r="O70" s="192">
        <f>_xlfn.IFNA(MATCH(N70,'Function Factors'!$B$9:$B$455,0),0)</f>
        <v>0</v>
      </c>
      <c r="P70" s="200">
        <f t="shared" ca="1" si="13"/>
        <v>0</v>
      </c>
      <c r="R70" s="200">
        <f t="shared" ca="1" si="13"/>
        <v>69492.406220965684</v>
      </c>
      <c r="S70" s="200"/>
      <c r="T70" s="200">
        <f t="shared" ref="T70" ca="1" si="33">T26+T48</f>
        <v>0</v>
      </c>
      <c r="U70" s="200"/>
      <c r="V70" s="200">
        <f t="shared" ref="V70" ca="1" si="34">V26+V48</f>
        <v>0</v>
      </c>
      <c r="X70" s="200">
        <f t="shared" ca="1" si="21"/>
        <v>69492.406220965684</v>
      </c>
      <c r="Y70" s="97"/>
      <c r="Z70" s="35" t="str">
        <f t="shared" ca="1" si="16"/>
        <v/>
      </c>
    </row>
    <row r="71" spans="2:37" ht="13" x14ac:dyDescent="0.3">
      <c r="B71" s="163">
        <f t="shared" si="17"/>
        <v>42</v>
      </c>
      <c r="D71" s="99" t="s">
        <v>31</v>
      </c>
      <c r="F71" s="113">
        <f t="shared" si="12"/>
        <v>3435544.5545676993</v>
      </c>
      <c r="H71" s="113"/>
      <c r="K71" s="192">
        <f>_xlfn.IFNA(MATCH(J71,'Function Factors'!$B$9:$B$455,0),0)</f>
        <v>0</v>
      </c>
      <c r="L71" s="113">
        <f t="shared" si="18"/>
        <v>3435544.5545676993</v>
      </c>
      <c r="N71" s="91"/>
      <c r="O71" s="192">
        <f>_xlfn.IFNA(MATCH(N71,'Function Factors'!$B$9:$B$455,0),0)</f>
        <v>0</v>
      </c>
      <c r="P71" s="200">
        <f t="shared" ca="1" si="13"/>
        <v>0</v>
      </c>
      <c r="R71" s="200">
        <f t="shared" ca="1" si="13"/>
        <v>0</v>
      </c>
      <c r="S71" s="200"/>
      <c r="T71" s="200">
        <f t="shared" ref="T71" ca="1" si="35">T27+T49</f>
        <v>0</v>
      </c>
      <c r="U71" s="200"/>
      <c r="V71" s="200">
        <f t="shared" ref="V71" ca="1" si="36">V27+V49</f>
        <v>3435544.5545676993</v>
      </c>
      <c r="X71" s="200">
        <f t="shared" ca="1" si="21"/>
        <v>3435544.5545676993</v>
      </c>
      <c r="Y71" s="97"/>
      <c r="Z71" s="35" t="str">
        <f t="shared" ca="1" si="16"/>
        <v/>
      </c>
    </row>
    <row r="72" spans="2:37" ht="13" x14ac:dyDescent="0.3">
      <c r="B72" s="163">
        <f t="shared" si="17"/>
        <v>43</v>
      </c>
      <c r="D72" s="99" t="s">
        <v>327</v>
      </c>
      <c r="F72" s="113">
        <f t="shared" si="12"/>
        <v>982006.79359896539</v>
      </c>
      <c r="H72" s="113"/>
      <c r="K72" s="192">
        <f>_xlfn.IFNA(MATCH(J72,'Function Factors'!$B$9:$B$455,0),0)</f>
        <v>0</v>
      </c>
      <c r="L72" s="113">
        <f t="shared" si="18"/>
        <v>982006.79359896539</v>
      </c>
      <c r="N72" s="91"/>
      <c r="O72" s="192">
        <f>_xlfn.IFNA(MATCH(N72,'Function Factors'!$B$9:$B$455,0),0)</f>
        <v>0</v>
      </c>
      <c r="P72" s="200">
        <f t="shared" ca="1" si="13"/>
        <v>0</v>
      </c>
      <c r="R72" s="200">
        <f t="shared" ca="1" si="13"/>
        <v>0</v>
      </c>
      <c r="S72" s="200"/>
      <c r="T72" s="200">
        <f t="shared" ref="T72" ca="1" si="37">T28+T50</f>
        <v>0</v>
      </c>
      <c r="U72" s="200"/>
      <c r="V72" s="200">
        <f t="shared" ref="V72" ca="1" si="38">V28+V50</f>
        <v>982006.79359896539</v>
      </c>
      <c r="X72" s="200">
        <f t="shared" ca="1" si="21"/>
        <v>982006.79359896539</v>
      </c>
      <c r="Y72" s="97"/>
      <c r="Z72" s="35" t="str">
        <f t="shared" ca="1" si="16"/>
        <v/>
      </c>
    </row>
    <row r="73" spans="2:37" ht="13" x14ac:dyDescent="0.3">
      <c r="B73" s="163">
        <f>B72+1</f>
        <v>44</v>
      </c>
      <c r="D73" s="99" t="s">
        <v>34</v>
      </c>
      <c r="F73" s="113">
        <f t="shared" si="12"/>
        <v>107551.33975514246</v>
      </c>
      <c r="H73" s="113"/>
      <c r="K73" s="192">
        <f>_xlfn.IFNA(MATCH(J73,'Function Factors'!$B$9:$B$455,0),0)</f>
        <v>0</v>
      </c>
      <c r="L73" s="113">
        <f t="shared" si="18"/>
        <v>107551.33975514246</v>
      </c>
      <c r="N73" s="91"/>
      <c r="O73" s="192">
        <f>_xlfn.IFNA(MATCH(N73,'Function Factors'!$B$9:$B$455,0),0)</f>
        <v>0</v>
      </c>
      <c r="P73" s="200">
        <f t="shared" ca="1" si="13"/>
        <v>0</v>
      </c>
      <c r="R73" s="200">
        <f t="shared" ca="1" si="13"/>
        <v>0</v>
      </c>
      <c r="S73" s="200"/>
      <c r="T73" s="200">
        <f t="shared" ref="T73" ca="1" si="39">T29+T51</f>
        <v>0</v>
      </c>
      <c r="U73" s="200"/>
      <c r="V73" s="200">
        <f t="shared" ref="V73" ca="1" si="40">V29+V51</f>
        <v>107551.33975514246</v>
      </c>
      <c r="X73" s="200">
        <f t="shared" ca="1" si="21"/>
        <v>107551.33975514246</v>
      </c>
      <c r="Y73" s="97"/>
      <c r="Z73" s="35" t="str">
        <f t="shared" ca="1" si="16"/>
        <v/>
      </c>
    </row>
    <row r="74" spans="2:37" ht="13" x14ac:dyDescent="0.3">
      <c r="B74" s="163">
        <f>B73+1</f>
        <v>45</v>
      </c>
      <c r="D74" s="99" t="s">
        <v>78</v>
      </c>
      <c r="F74" s="113">
        <f t="shared" si="12"/>
        <v>7520.8874999999989</v>
      </c>
      <c r="H74" s="113"/>
      <c r="K74" s="192">
        <f>_xlfn.IFNA(MATCH(J74,'Function Factors'!$B$9:$B$455,0),0)</f>
        <v>0</v>
      </c>
      <c r="L74" s="113">
        <f t="shared" si="18"/>
        <v>7520.8874999999989</v>
      </c>
      <c r="N74" s="91"/>
      <c r="O74" s="192">
        <f>_xlfn.IFNA(MATCH(N74,'Function Factors'!$B$9:$B$455,0),0)</f>
        <v>0</v>
      </c>
      <c r="P74" s="200">
        <f t="shared" ca="1" si="13"/>
        <v>0</v>
      </c>
      <c r="R74" s="200">
        <f t="shared" ca="1" si="13"/>
        <v>499.49407531423083</v>
      </c>
      <c r="S74" s="200"/>
      <c r="T74" s="200">
        <f t="shared" ref="T74" ca="1" si="41">T30+T52</f>
        <v>4521.5650130587501</v>
      </c>
      <c r="U74" s="200"/>
      <c r="V74" s="200">
        <f t="shared" ref="V74" ca="1" si="42">V30+V52</f>
        <v>2499.8284116270188</v>
      </c>
      <c r="X74" s="200">
        <f t="shared" ca="1" si="21"/>
        <v>7520.8874999999998</v>
      </c>
      <c r="Y74" s="97"/>
      <c r="Z74" s="35" t="str">
        <f t="shared" ca="1" si="16"/>
        <v/>
      </c>
    </row>
    <row r="75" spans="2:37" ht="13" x14ac:dyDescent="0.3">
      <c r="B75" s="163">
        <f t="shared" si="17"/>
        <v>46</v>
      </c>
      <c r="D75" s="99" t="s">
        <v>477</v>
      </c>
      <c r="F75" s="79">
        <f>SUM(F62:F74)</f>
        <v>15165652.363976443</v>
      </c>
      <c r="H75" s="79">
        <f>SUM(H62:H74)</f>
        <v>0</v>
      </c>
      <c r="L75" s="79">
        <f>SUM(L62:L74)</f>
        <v>15165652.363976443</v>
      </c>
      <c r="P75" s="204">
        <f ca="1">SUM(P62:P74)</f>
        <v>0</v>
      </c>
      <c r="Q75" s="160"/>
      <c r="R75" s="204">
        <f ca="1">SUM(R62:R74)</f>
        <v>740364.55394971115</v>
      </c>
      <c r="S75" s="66"/>
      <c r="T75" s="204">
        <f ca="1">SUM(T62:T74)</f>
        <v>2895268.07280165</v>
      </c>
      <c r="U75" s="66"/>
      <c r="V75" s="204">
        <f ca="1">SUM(V62:V74)</f>
        <v>11530019.73722508</v>
      </c>
      <c r="X75" s="204">
        <f ca="1">SUM(X62:X74)</f>
        <v>15165652.363976439</v>
      </c>
      <c r="Y75" s="97"/>
      <c r="Z75" s="35" t="str">
        <f t="shared" ca="1" si="16"/>
        <v/>
      </c>
    </row>
    <row r="76" spans="2:37" ht="13" x14ac:dyDescent="0.3">
      <c r="X76" s="113"/>
      <c r="Y76" s="97"/>
      <c r="Z76" s="35" t="str">
        <f t="shared" si="16"/>
        <v/>
      </c>
    </row>
    <row r="77" spans="2:37" ht="13" x14ac:dyDescent="0.3">
      <c r="B77" s="163">
        <f>B75+1</f>
        <v>47</v>
      </c>
      <c r="D77" s="99" t="s">
        <v>221</v>
      </c>
      <c r="F77" s="113">
        <f>F33+F55</f>
        <v>558426.82884208974</v>
      </c>
      <c r="H77" s="113"/>
      <c r="K77" s="192">
        <f>_xlfn.IFNA(MATCH(J77,'Function Factors'!$B$9:$B$455,0),0)</f>
        <v>0</v>
      </c>
      <c r="L77" s="113">
        <f t="shared" ref="L77" si="43">F77-H77</f>
        <v>558426.82884208974</v>
      </c>
      <c r="N77" s="91"/>
      <c r="O77" s="192">
        <f>_xlfn.IFNA(MATCH(N77,'Function Factors'!$B$9:$B$455,0),0)</f>
        <v>0</v>
      </c>
      <c r="P77" s="200">
        <f ca="1">P33+P55</f>
        <v>0</v>
      </c>
      <c r="R77" s="200">
        <f ca="1">R33+R55</f>
        <v>30290.910453345576</v>
      </c>
      <c r="S77" s="200"/>
      <c r="T77" s="200">
        <f ca="1">T33+T55</f>
        <v>73409.987277128981</v>
      </c>
      <c r="U77" s="200"/>
      <c r="V77" s="200">
        <f ca="1">V33+V55</f>
        <v>454725.93111161527</v>
      </c>
      <c r="W77" s="200"/>
      <c r="X77" s="200">
        <f ca="1">P77+R77+T77+V77</f>
        <v>558426.82884208986</v>
      </c>
      <c r="Y77" s="97"/>
      <c r="Z77" s="35" t="str">
        <f t="shared" ca="1" si="16"/>
        <v/>
      </c>
    </row>
    <row r="78" spans="2:37" ht="13" x14ac:dyDescent="0.3">
      <c r="X78" s="113"/>
      <c r="Y78" s="97"/>
      <c r="Z78" s="35" t="str">
        <f t="shared" si="16"/>
        <v/>
      </c>
    </row>
    <row r="79" spans="2:37" ht="13" x14ac:dyDescent="0.3">
      <c r="B79" s="163">
        <f>B77+1</f>
        <v>48</v>
      </c>
      <c r="D79" s="99" t="s">
        <v>478</v>
      </c>
      <c r="F79" s="79">
        <f>F75+F77</f>
        <v>15724079.192818534</v>
      </c>
      <c r="H79" s="79">
        <f>H75+H77</f>
        <v>0</v>
      </c>
      <c r="L79" s="79">
        <f>L75+L77</f>
        <v>15724079.192818534</v>
      </c>
      <c r="P79" s="79">
        <f ca="1">P75+P77</f>
        <v>0</v>
      </c>
      <c r="Q79" s="229"/>
      <c r="R79" s="79">
        <f ca="1">R75+R77</f>
        <v>770655.46440305677</v>
      </c>
      <c r="S79" s="113"/>
      <c r="T79" s="79">
        <f ca="1">T75+T77</f>
        <v>2968678.0600787792</v>
      </c>
      <c r="U79" s="113"/>
      <c r="V79" s="79">
        <f ca="1">V75+V77</f>
        <v>11984745.668336695</v>
      </c>
      <c r="X79" s="79">
        <f ca="1">X75+X77</f>
        <v>15724079.19281853</v>
      </c>
      <c r="Y79" s="97"/>
      <c r="Z79" s="35" t="str">
        <f t="shared" ca="1" si="16"/>
        <v/>
      </c>
    </row>
    <row r="80" spans="2:37" ht="13" x14ac:dyDescent="0.3">
      <c r="D80" s="6"/>
      <c r="E80" s="219"/>
      <c r="F80" s="219"/>
      <c r="H80" s="219"/>
      <c r="L80" s="219"/>
      <c r="Z80" s="35" t="str">
        <f t="shared" si="16"/>
        <v/>
      </c>
    </row>
    <row r="81" spans="2:26" ht="13" x14ac:dyDescent="0.3">
      <c r="F81" s="113"/>
      <c r="Z81" s="35" t="str">
        <f t="shared" si="16"/>
        <v/>
      </c>
    </row>
    <row r="82" spans="2:26" ht="13" x14ac:dyDescent="0.3">
      <c r="D82" s="6" t="s">
        <v>36</v>
      </c>
      <c r="E82" s="220"/>
      <c r="F82" s="220"/>
      <c r="H82" s="220"/>
      <c r="L82" s="220"/>
      <c r="Z82" s="35" t="str">
        <f t="shared" si="16"/>
        <v/>
      </c>
    </row>
    <row r="83" spans="2:26" ht="13" x14ac:dyDescent="0.3">
      <c r="D83" s="97"/>
      <c r="Z83" s="35" t="str">
        <f t="shared" si="16"/>
        <v/>
      </c>
    </row>
    <row r="84" spans="2:26" ht="13" x14ac:dyDescent="0.3">
      <c r="B84" s="163">
        <f>B79+1</f>
        <v>49</v>
      </c>
      <c r="D84" s="97" t="s">
        <v>41</v>
      </c>
      <c r="F84" s="113">
        <v>106990.37774285467</v>
      </c>
      <c r="H84" s="113"/>
      <c r="K84" s="192">
        <f>_xlfn.IFNA(MATCH(J84,'Function Factors'!$B$9:$B$455,0),0)</f>
        <v>0</v>
      </c>
      <c r="L84" s="113">
        <f t="shared" ref="L84:L88" si="44">F84-H84</f>
        <v>106990.37774285467</v>
      </c>
      <c r="N84" s="91" t="s">
        <v>35</v>
      </c>
      <c r="O84" s="192">
        <f>_xlfn.IFNA(MATCH(N84,'Function Factors'!$B$9:$B$455,0),0)</f>
        <v>81</v>
      </c>
      <c r="P84" s="200">
        <f ca="1">OFFSET('Function Factors'!$B$9,$O84-1,P$14)*$L84+OFFSET('Function Factors'!$B$9,$K84-1,P$14)*$H84</f>
        <v>0</v>
      </c>
      <c r="R84" s="200">
        <f ca="1">OFFSET('Function Factors'!$B$9,$O84-1,R$14)*$L84+OFFSET('Function Factors'!$B$9,$K84-1,R$14)*$H84</f>
        <v>4790.9467422107828</v>
      </c>
      <c r="S84" s="200"/>
      <c r="T84" s="200">
        <f ca="1">OFFSET('Function Factors'!$B$9,$O84-1,T$14)*$L84+OFFSET('Function Factors'!$B$9,$K84-1,T$14)*$H84</f>
        <v>20268.095318388616</v>
      </c>
      <c r="U84" s="200"/>
      <c r="V84" s="200">
        <f ca="1">OFFSET('Function Factors'!$B$9,$O84-1,V$14)*$L84+OFFSET('Function Factors'!$B$9,$K84-1,V$14)*$H84</f>
        <v>81931.33568225526</v>
      </c>
      <c r="X84" s="200">
        <f t="shared" ref="X84" ca="1" si="45">P84+R84+T84+V84</f>
        <v>106990.37774285466</v>
      </c>
      <c r="Z84" s="35" t="str">
        <f t="shared" ca="1" si="16"/>
        <v/>
      </c>
    </row>
    <row r="85" spans="2:26" ht="13" x14ac:dyDescent="0.3">
      <c r="B85" s="163">
        <f>B84+1</f>
        <v>50</v>
      </c>
      <c r="D85" s="97" t="s">
        <v>457</v>
      </c>
      <c r="F85" s="113">
        <v>-5076.4162604167295</v>
      </c>
      <c r="H85" s="113"/>
      <c r="K85" s="192">
        <f>_xlfn.IFNA(MATCH(J85,'Function Factors'!$B$9:$B$455,0),0)</f>
        <v>0</v>
      </c>
      <c r="L85" s="113">
        <f t="shared" si="44"/>
        <v>-5076.4162604167295</v>
      </c>
      <c r="N85" s="91" t="s">
        <v>35</v>
      </c>
      <c r="O85" s="192">
        <f>_xlfn.IFNA(MATCH(N85,'Function Factors'!$B$9:$B$455,0),0)</f>
        <v>81</v>
      </c>
      <c r="P85" s="200">
        <f ca="1">OFFSET('Function Factors'!$B$9,$O85-1,P$14)*$L85+OFFSET('Function Factors'!$B$9,$K85-1,P$14)*$H85</f>
        <v>0</v>
      </c>
      <c r="R85" s="200">
        <f ca="1">OFFSET('Function Factors'!$B$9,$O85-1,R$14)*$L85+OFFSET('Function Factors'!$B$9,$K85-1,R$14)*$H85</f>
        <v>-227.31801175058132</v>
      </c>
      <c r="S85" s="200"/>
      <c r="T85" s="200">
        <f ca="1">OFFSET('Function Factors'!$B$9,$O85-1,T$14)*$L85+OFFSET('Function Factors'!$B$9,$K85-1,T$14)*$H85</f>
        <v>-961.66861742681908</v>
      </c>
      <c r="U85" s="200"/>
      <c r="V85" s="200">
        <f ca="1">OFFSET('Function Factors'!$B$9,$O85-1,V$14)*$L85+OFFSET('Function Factors'!$B$9,$K85-1,V$14)*$H85</f>
        <v>-3887.429631239329</v>
      </c>
      <c r="X85" s="200">
        <f t="shared" ref="X85:X88" ca="1" si="46">P85+R85+T85+V85</f>
        <v>-5076.4162604167295</v>
      </c>
      <c r="Z85" s="35" t="str">
        <f t="shared" ca="1" si="16"/>
        <v/>
      </c>
    </row>
    <row r="86" spans="2:26" ht="13" x14ac:dyDescent="0.3">
      <c r="B86" s="163">
        <f t="shared" ref="B86:B89" si="47">B85+1</f>
        <v>51</v>
      </c>
      <c r="D86" s="97" t="s">
        <v>42</v>
      </c>
      <c r="F86" s="113">
        <v>-60186.114249104641</v>
      </c>
      <c r="H86" s="113"/>
      <c r="K86" s="192">
        <f>_xlfn.IFNA(MATCH(J86,'Function Factors'!$B$9:$B$455,0),0)</f>
        <v>0</v>
      </c>
      <c r="L86" s="113">
        <f t="shared" si="44"/>
        <v>-60186.114249104641</v>
      </c>
      <c r="N86" s="91" t="s">
        <v>35</v>
      </c>
      <c r="O86" s="192">
        <f>_xlfn.IFNA(MATCH(N86,'Function Factors'!$B$9:$B$455,0),0)</f>
        <v>81</v>
      </c>
      <c r="P86" s="200">
        <f ca="1">OFFSET('Function Factors'!$B$9,$O86-1,P$14)*$L86+OFFSET('Function Factors'!$B$9,$K86-1,P$14)*$H86</f>
        <v>0</v>
      </c>
      <c r="R86" s="200">
        <f ca="1">OFFSET('Function Factors'!$B$9,$O86-1,R$14)*$L86+OFFSET('Function Factors'!$B$9,$K86-1,R$14)*$H86</f>
        <v>-2695.0878580978851</v>
      </c>
      <c r="S86" s="200"/>
      <c r="T86" s="200">
        <f ca="1">OFFSET('Function Factors'!$B$9,$O86-1,T$14)*$L86+OFFSET('Function Factors'!$B$9,$K86-1,T$14)*$H86</f>
        <v>-11401.56644157421</v>
      </c>
      <c r="U86" s="200"/>
      <c r="V86" s="200">
        <f ca="1">OFFSET('Function Factors'!$B$9,$O86-1,V$14)*$L86+OFFSET('Function Factors'!$B$9,$K86-1,V$14)*$H86</f>
        <v>-46089.459949432538</v>
      </c>
      <c r="X86" s="200">
        <f t="shared" ca="1" si="46"/>
        <v>-60186.114249104634</v>
      </c>
      <c r="Z86" s="35" t="str">
        <f t="shared" ca="1" si="16"/>
        <v/>
      </c>
    </row>
    <row r="87" spans="2:26" ht="13" x14ac:dyDescent="0.3">
      <c r="B87" s="163">
        <f t="shared" si="47"/>
        <v>52</v>
      </c>
      <c r="D87" s="97" t="s">
        <v>458</v>
      </c>
      <c r="F87" s="113">
        <v>648411.24997650366</v>
      </c>
      <c r="H87" s="113"/>
      <c r="K87" s="192">
        <f>_xlfn.IFNA(MATCH(J87,'Function Factors'!$B$9:$B$455,0),0)</f>
        <v>0</v>
      </c>
      <c r="L87" s="113">
        <f t="shared" si="44"/>
        <v>648411.24997650366</v>
      </c>
      <c r="N87" s="91" t="s">
        <v>28</v>
      </c>
      <c r="O87" s="192">
        <f>_xlfn.IFNA(MATCH(N87,'Function Factors'!$B$9:$B$455,0),0)</f>
        <v>99</v>
      </c>
      <c r="P87" s="200">
        <f ca="1">OFFSET('Function Factors'!$B$9,$O87-1,P$14)*$L87+OFFSET('Function Factors'!$B$9,$K87-1,P$14)*$H87</f>
        <v>0</v>
      </c>
      <c r="R87" s="200">
        <f ca="1">OFFSET('Function Factors'!$B$9,$O87-1,R$14)*$L87+OFFSET('Function Factors'!$B$9,$K87-1,R$14)*$H87</f>
        <v>648411.24997650366</v>
      </c>
      <c r="S87" s="200"/>
      <c r="T87" s="200">
        <f ca="1">OFFSET('Function Factors'!$B$9,$O87-1,T$14)*$L87+OFFSET('Function Factors'!$B$9,$K87-1,T$14)*$H87</f>
        <v>0</v>
      </c>
      <c r="U87" s="200"/>
      <c r="V87" s="200">
        <f ca="1">OFFSET('Function Factors'!$B$9,$O87-1,V$14)*$L87+OFFSET('Function Factors'!$B$9,$K87-1,V$14)*$H87</f>
        <v>0</v>
      </c>
      <c r="X87" s="200">
        <f t="shared" ca="1" si="46"/>
        <v>648411.24997650366</v>
      </c>
      <c r="Z87" s="35" t="str">
        <f t="shared" ca="1" si="16"/>
        <v/>
      </c>
    </row>
    <row r="88" spans="2:26" ht="13" x14ac:dyDescent="0.3">
      <c r="B88" s="163">
        <f t="shared" si="47"/>
        <v>53</v>
      </c>
      <c r="D88" s="97" t="s">
        <v>459</v>
      </c>
      <c r="F88" s="113">
        <f>-13319.1065998255-184768.319726572+55111.6237561644+9853.17584332426</f>
        <v>-133122.62672690884</v>
      </c>
      <c r="H88" s="113"/>
      <c r="K88" s="192">
        <f>_xlfn.IFNA(MATCH(J88,'Function Factors'!$B$9:$B$455,0),0)</f>
        <v>0</v>
      </c>
      <c r="L88" s="113">
        <f t="shared" si="44"/>
        <v>-133122.62672690884</v>
      </c>
      <c r="N88" s="91" t="s">
        <v>35</v>
      </c>
      <c r="O88" s="192">
        <f>_xlfn.IFNA(MATCH(N88,'Function Factors'!$B$9:$B$455,0),0)</f>
        <v>81</v>
      </c>
      <c r="P88" s="200">
        <f ca="1">OFFSET('Function Factors'!$B$9,$O88-1,P$14)*$L88+OFFSET('Function Factors'!$B$9,$K88-1,P$14)*$H88</f>
        <v>0</v>
      </c>
      <c r="R88" s="200">
        <f ca="1">OFFSET('Function Factors'!$B$9,$O88-1,R$14)*$L88+OFFSET('Function Factors'!$B$9,$K88-1,R$14)*$H88</f>
        <v>-5961.1287321996597</v>
      </c>
      <c r="S88" s="200"/>
      <c r="T88" s="200">
        <f ca="1">OFFSET('Function Factors'!$B$9,$O88-1,T$14)*$L88+OFFSET('Function Factors'!$B$9,$K88-1,T$14)*$H88</f>
        <v>-25218.549036438479</v>
      </c>
      <c r="U88" s="200"/>
      <c r="V88" s="200">
        <f ca="1">OFFSET('Function Factors'!$B$9,$O88-1,V$14)*$L88+OFFSET('Function Factors'!$B$9,$K88-1,V$14)*$H88</f>
        <v>-101942.94895827069</v>
      </c>
      <c r="X88" s="200">
        <f t="shared" ca="1" si="46"/>
        <v>-133122.62672690884</v>
      </c>
      <c r="Z88" s="35" t="str">
        <f t="shared" ca="1" si="16"/>
        <v/>
      </c>
    </row>
    <row r="89" spans="2:26" ht="13" x14ac:dyDescent="0.3">
      <c r="B89" s="163">
        <f t="shared" si="47"/>
        <v>54</v>
      </c>
      <c r="D89" s="97" t="s">
        <v>479</v>
      </c>
      <c r="F89" s="79">
        <f>SUM(F84:F88)</f>
        <v>557016.4704829281</v>
      </c>
      <c r="H89" s="79">
        <f>SUM(H84:H88)</f>
        <v>0</v>
      </c>
      <c r="L89" s="79">
        <f>SUM(L84:L88)</f>
        <v>557016.4704829281</v>
      </c>
      <c r="P89" s="204">
        <f ca="1">SUM(P84:P88)</f>
        <v>0</v>
      </c>
      <c r="Q89" s="66"/>
      <c r="R89" s="204">
        <f ca="1">SUM(R84:R88)</f>
        <v>644318.66211666632</v>
      </c>
      <c r="S89" s="66"/>
      <c r="T89" s="204">
        <f ca="1">SUM(T84:T88)</f>
        <v>-17313.688777050891</v>
      </c>
      <c r="U89" s="66"/>
      <c r="V89" s="204">
        <f ca="1">SUM(V84:V88)</f>
        <v>-69988.502856687293</v>
      </c>
      <c r="W89" s="113"/>
      <c r="X89" s="204">
        <f ca="1">SUM(X84:X88)</f>
        <v>557016.4704829281</v>
      </c>
      <c r="Z89" s="35" t="str">
        <f t="shared" ca="1" si="16"/>
        <v/>
      </c>
    </row>
    <row r="90" spans="2:26" ht="13" x14ac:dyDescent="0.3">
      <c r="D90" s="97"/>
      <c r="Z90" s="35" t="str">
        <f t="shared" si="16"/>
        <v/>
      </c>
    </row>
    <row r="91" spans="2:26" ht="13" x14ac:dyDescent="0.3">
      <c r="Z91" s="35" t="str">
        <f t="shared" si="16"/>
        <v/>
      </c>
    </row>
    <row r="92" spans="2:26" ht="13" x14ac:dyDescent="0.3">
      <c r="B92" s="163">
        <f>B89+1</f>
        <v>55</v>
      </c>
      <c r="D92" s="97" t="s">
        <v>480</v>
      </c>
      <c r="F92" s="79">
        <f>F79+F89</f>
        <v>16281095.663301462</v>
      </c>
      <c r="H92" s="79">
        <f>H79+H89</f>
        <v>0</v>
      </c>
      <c r="L92" s="79">
        <f>L79+L89</f>
        <v>16281095.663301462</v>
      </c>
      <c r="P92" s="79">
        <f ca="1">P79+P89</f>
        <v>0</v>
      </c>
      <c r="Q92" s="229"/>
      <c r="R92" s="79">
        <f ca="1">R79+R89</f>
        <v>1414974.1265197231</v>
      </c>
      <c r="S92" s="113"/>
      <c r="T92" s="79">
        <f ca="1">T79+T89</f>
        <v>2951364.3713017283</v>
      </c>
      <c r="U92" s="113"/>
      <c r="V92" s="79">
        <f ca="1">V79+V89</f>
        <v>11914757.165480008</v>
      </c>
      <c r="W92" s="113"/>
      <c r="X92" s="79">
        <f ca="1">X79+X89</f>
        <v>16281095.663301459</v>
      </c>
      <c r="Z92" s="35" t="str">
        <f t="shared" ca="1" si="16"/>
        <v/>
      </c>
    </row>
    <row r="93" spans="2:26" ht="13" x14ac:dyDescent="0.3">
      <c r="F93" s="222"/>
      <c r="Z93" s="35" t="str">
        <f t="shared" si="16"/>
        <v/>
      </c>
    </row>
    <row r="94" spans="2:26" ht="13" x14ac:dyDescent="0.3">
      <c r="Z94" s="35" t="str">
        <f t="shared" si="16"/>
        <v/>
      </c>
    </row>
    <row r="95" spans="2:26" ht="13" x14ac:dyDescent="0.3">
      <c r="B95" s="163">
        <f>B92+1</f>
        <v>56</v>
      </c>
      <c r="D95" s="99" t="s">
        <v>38</v>
      </c>
      <c r="F95" s="223">
        <v>5.8701360377304071E-2</v>
      </c>
      <c r="H95" s="230"/>
      <c r="L95" s="223">
        <f>F95</f>
        <v>5.8701360377304071E-2</v>
      </c>
      <c r="P95" s="223">
        <f>$F$95</f>
        <v>5.8701360377304071E-2</v>
      </c>
      <c r="Q95" s="231"/>
      <c r="R95" s="223">
        <f>$F$95</f>
        <v>5.8701360377304071E-2</v>
      </c>
      <c r="S95" s="231"/>
      <c r="T95" s="223">
        <f>$F$95</f>
        <v>5.8701360377304071E-2</v>
      </c>
      <c r="U95" s="231"/>
      <c r="V95" s="223">
        <f>$F$95</f>
        <v>5.8701360377304071E-2</v>
      </c>
      <c r="X95" s="223">
        <f>$F$95</f>
        <v>5.8701360377304071E-2</v>
      </c>
      <c r="Z95" s="35" t="str">
        <f>IF(ROUND(F95,4)=ROUND(X95,4), "", "check")</f>
        <v/>
      </c>
    </row>
    <row r="96" spans="2:26" ht="13" x14ac:dyDescent="0.3">
      <c r="Z96" s="35" t="str">
        <f t="shared" si="16"/>
        <v/>
      </c>
    </row>
    <row r="97" spans="2:26" ht="13" x14ac:dyDescent="0.3">
      <c r="B97" s="163">
        <f>B95+1</f>
        <v>57</v>
      </c>
      <c r="D97" s="99" t="s">
        <v>481</v>
      </c>
      <c r="F97" s="79">
        <f>F92*F95</f>
        <v>955722.46386882162</v>
      </c>
      <c r="H97" s="79"/>
      <c r="L97" s="79">
        <f>L92*L95</f>
        <v>955722.46386882162</v>
      </c>
      <c r="P97" s="79">
        <f ca="1">P92*P95</f>
        <v>0</v>
      </c>
      <c r="R97" s="79">
        <f ca="1">R92*R95</f>
        <v>83060.906125395311</v>
      </c>
      <c r="T97" s="79">
        <f ca="1">T92*T95</f>
        <v>173249.10356451821</v>
      </c>
      <c r="V97" s="79">
        <f ca="1">V92*V95</f>
        <v>699412.45417890791</v>
      </c>
      <c r="X97" s="204">
        <f t="shared" ref="X97" ca="1" si="48">P97+R97+T97+V97</f>
        <v>955722.46386882151</v>
      </c>
      <c r="Z97" s="35" t="str">
        <f t="shared" ca="1" si="16"/>
        <v/>
      </c>
    </row>
    <row r="98" spans="2:26" ht="13" x14ac:dyDescent="0.3">
      <c r="F98" s="113"/>
      <c r="H98" s="113"/>
      <c r="L98" s="113"/>
      <c r="P98" s="113"/>
      <c r="R98" s="113"/>
      <c r="T98" s="113"/>
      <c r="V98" s="113"/>
      <c r="X98" s="232"/>
      <c r="Z98" s="35" t="str">
        <f t="shared" si="16"/>
        <v/>
      </c>
    </row>
    <row r="99" spans="2:26" ht="13" x14ac:dyDescent="0.3">
      <c r="F99" s="113"/>
      <c r="H99" s="113"/>
      <c r="L99" s="113"/>
      <c r="P99" s="113"/>
      <c r="R99" s="113"/>
      <c r="T99" s="113"/>
      <c r="V99" s="113"/>
      <c r="X99" s="232"/>
      <c r="Z99" s="35" t="str">
        <f t="shared" si="16"/>
        <v/>
      </c>
    </row>
    <row r="100" spans="2:26" ht="13" x14ac:dyDescent="0.3">
      <c r="D100" s="6" t="s">
        <v>70</v>
      </c>
      <c r="Z100" s="35" t="str">
        <f t="shared" si="16"/>
        <v/>
      </c>
    </row>
    <row r="101" spans="2:26" ht="13" x14ac:dyDescent="0.3">
      <c r="Z101" s="35" t="str">
        <f t="shared" si="16"/>
        <v/>
      </c>
    </row>
    <row r="102" spans="2:26" ht="13" x14ac:dyDescent="0.3">
      <c r="B102" s="163">
        <f>B97+1</f>
        <v>58</v>
      </c>
      <c r="D102" s="99" t="s">
        <v>220</v>
      </c>
      <c r="F102" s="113">
        <v>794045.1271271396</v>
      </c>
      <c r="H102" s="113"/>
      <c r="K102" s="192">
        <f>_xlfn.IFNA(MATCH(J102,'Function Factors'!$B$9:$B$455,0),0)</f>
        <v>0</v>
      </c>
      <c r="L102" s="113">
        <f>F102-H102</f>
        <v>794045.1271271396</v>
      </c>
      <c r="N102" s="91" t="s">
        <v>223</v>
      </c>
      <c r="O102" s="192">
        <f>_xlfn.IFNA(MATCH(N102,'Function Factors'!$B$9:$B$455,0),0)</f>
        <v>33</v>
      </c>
      <c r="P102" s="200">
        <f ca="1">OFFSET('Function Factors'!$B$9,$O102-1,P$14)*$L102+OFFSET('Function Factors'!$B$9,$K102-1,P$14)*$H102</f>
        <v>0</v>
      </c>
      <c r="R102" s="200">
        <f ca="1">OFFSET('Function Factors'!$B$9,$O102-1,R$14)*$L102+OFFSET('Function Factors'!$B$9,$K102-1,R$14)*$H102</f>
        <v>30302.427119821801</v>
      </c>
      <c r="S102" s="200"/>
      <c r="T102" s="200">
        <f ca="1">OFFSET('Function Factors'!$B$9,$O102-1,T$14)*$L102+OFFSET('Function Factors'!$B$9,$K102-1,T$14)*$H102</f>
        <v>103657.95343098546</v>
      </c>
      <c r="U102" s="200"/>
      <c r="V102" s="200">
        <f ca="1">OFFSET('Function Factors'!$B$9,$O102-1,V$14)*$L102+OFFSET('Function Factors'!$B$9,$K102-1,V$14)*$H102</f>
        <v>660084.74657633237</v>
      </c>
      <c r="X102" s="200">
        <f t="shared" ref="X102" ca="1" si="49">P102+R102+T102+V102</f>
        <v>794045.1271271396</v>
      </c>
      <c r="Z102" s="35" t="str">
        <f t="shared" ca="1" si="16"/>
        <v/>
      </c>
    </row>
    <row r="103" spans="2:26" ht="13" x14ac:dyDescent="0.3">
      <c r="B103" s="163">
        <f>B102+1</f>
        <v>59</v>
      </c>
      <c r="D103" s="99" t="s">
        <v>221</v>
      </c>
      <c r="F103" s="113">
        <v>97954.872872860346</v>
      </c>
      <c r="H103" s="113"/>
      <c r="K103" s="192">
        <f>_xlfn.IFNA(MATCH(J103,'Function Factors'!$B$9:$B$455,0),0)</f>
        <v>0</v>
      </c>
      <c r="L103" s="113">
        <f>F103-H103</f>
        <v>97954.872872860346</v>
      </c>
      <c r="N103" s="91" t="s">
        <v>353</v>
      </c>
      <c r="O103" s="192">
        <f>_xlfn.IFNA(MATCH(N103,'Function Factors'!$B$9:$B$455,0),0)</f>
        <v>48</v>
      </c>
      <c r="P103" s="200">
        <f ca="1">OFFSET('Function Factors'!$B$9,$O103-1,P$14)*$L103+OFFSET('Function Factors'!$B$9,$K103-1,P$14)*$H103</f>
        <v>0</v>
      </c>
      <c r="R103" s="200">
        <f ca="1">OFFSET('Function Factors'!$B$9,$O103-1,R$14)*$L103+OFFSET('Function Factors'!$B$9,$K103-1,R$14)*$H103</f>
        <v>4711.0573165857513</v>
      </c>
      <c r="S103" s="200"/>
      <c r="T103" s="200">
        <f ca="1">OFFSET('Function Factors'!$B$9,$O103-1,T$14)*$L103+OFFSET('Function Factors'!$B$9,$K103-1,T$14)*$H103</f>
        <v>17901.019862284433</v>
      </c>
      <c r="U103" s="200"/>
      <c r="V103" s="200">
        <f ca="1">OFFSET('Function Factors'!$B$9,$O103-1,V$14)*$L103+OFFSET('Function Factors'!$B$9,$K103-1,V$14)*$H103</f>
        <v>75342.795693990163</v>
      </c>
      <c r="X103" s="200">
        <f t="shared" ref="X103" ca="1" si="50">P103+R103+T103+V103</f>
        <v>97954.872872860346</v>
      </c>
      <c r="Z103" s="35" t="str">
        <f t="shared" ca="1" si="16"/>
        <v/>
      </c>
    </row>
    <row r="104" spans="2:26" ht="13" x14ac:dyDescent="0.3">
      <c r="B104" s="163">
        <f>B103+1</f>
        <v>60</v>
      </c>
      <c r="D104" s="99" t="s">
        <v>222</v>
      </c>
      <c r="F104" s="79">
        <f>SUM(F102:F103)</f>
        <v>892000</v>
      </c>
      <c r="H104" s="79">
        <f>SUM(H102:H103)</f>
        <v>0</v>
      </c>
      <c r="L104" s="79">
        <f>SUM(L102:L103)</f>
        <v>892000</v>
      </c>
      <c r="P104" s="204">
        <f ca="1">SUM(P102:P103)</f>
        <v>0</v>
      </c>
      <c r="R104" s="204">
        <f ca="1">SUM(R102:R103)</f>
        <v>35013.484436407554</v>
      </c>
      <c r="T104" s="204">
        <f ca="1">SUM(T102:T103)</f>
        <v>121558.9732932699</v>
      </c>
      <c r="V104" s="204">
        <f ca="1">SUM(V102:V103)</f>
        <v>735427.54227032256</v>
      </c>
      <c r="X104" s="204">
        <f ca="1">SUM(X102:X103)</f>
        <v>892000</v>
      </c>
      <c r="Z104" s="35" t="str">
        <f t="shared" ca="1" si="16"/>
        <v/>
      </c>
    </row>
    <row r="105" spans="2:26" ht="13" x14ac:dyDescent="0.3">
      <c r="Z105" s="35" t="str">
        <f t="shared" si="16"/>
        <v/>
      </c>
    </row>
    <row r="106" spans="2:26" ht="13" x14ac:dyDescent="0.3">
      <c r="D106" s="6" t="s">
        <v>69</v>
      </c>
      <c r="F106" s="113"/>
      <c r="H106" s="113"/>
      <c r="L106" s="113"/>
      <c r="P106" s="113"/>
      <c r="R106" s="113"/>
      <c r="T106" s="113"/>
      <c r="V106" s="113"/>
      <c r="X106" s="232"/>
      <c r="Z106" s="35" t="str">
        <f t="shared" ref="Z106:Z111" si="51">IF(ROUND(F106,4)=ROUND(X106,4), "", "check")</f>
        <v/>
      </c>
    </row>
    <row r="107" spans="2:26" ht="13" x14ac:dyDescent="0.3">
      <c r="F107" s="113"/>
      <c r="H107" s="113"/>
      <c r="L107" s="113"/>
      <c r="P107" s="113"/>
      <c r="R107" s="113"/>
      <c r="T107" s="113"/>
      <c r="V107" s="113"/>
      <c r="X107" s="232"/>
      <c r="Z107" s="35" t="str">
        <f t="shared" si="51"/>
        <v/>
      </c>
    </row>
    <row r="108" spans="2:26" ht="13" x14ac:dyDescent="0.3">
      <c r="B108" s="163">
        <f>B104+1</f>
        <v>61</v>
      </c>
      <c r="D108" s="99" t="s">
        <v>39</v>
      </c>
      <c r="F108" s="113">
        <v>121753.85822533414</v>
      </c>
      <c r="H108" s="113"/>
      <c r="K108" s="192">
        <f>_xlfn.IFNA(MATCH(J108,'Function Factors'!$B$9:$B$455,0),0)</f>
        <v>0</v>
      </c>
      <c r="L108" s="113">
        <f>F108-H108</f>
        <v>121753.85822533414</v>
      </c>
      <c r="N108" s="91" t="s">
        <v>43</v>
      </c>
      <c r="O108" s="192">
        <f>_xlfn.IFNA(MATCH(N108,'Function Factors'!$B$9:$B$455,0),0)</f>
        <v>93</v>
      </c>
      <c r="P108" s="200">
        <f ca="1">OFFSET('Function Factors'!$B$9,$O108-1,P$14)*$L108+OFFSET('Function Factors'!$B$9,$K108-1,P$14)*$H108</f>
        <v>0</v>
      </c>
      <c r="R108" s="200">
        <f ca="1">OFFSET('Function Factors'!$B$9,$O108-1,R$14)*$L108+OFFSET('Function Factors'!$B$9,$K108-1,R$14)*$H108</f>
        <v>10581.508932542194</v>
      </c>
      <c r="S108" s="200"/>
      <c r="T108" s="200">
        <f ca="1">OFFSET('Function Factors'!$B$9,$O108-1,T$14)*$L108+OFFSET('Function Factors'!$B$9,$K108-1,T$14)*$H108</f>
        <v>22070.996121271273</v>
      </c>
      <c r="U108" s="200"/>
      <c r="V108" s="200">
        <f ca="1">OFFSET('Function Factors'!$B$9,$O108-1,V$14)*$L108+OFFSET('Function Factors'!$B$9,$K108-1,V$14)*$H108</f>
        <v>89101.353171520663</v>
      </c>
      <c r="X108" s="200">
        <f ca="1">P108+R108+T108+V108</f>
        <v>121753.85822533413</v>
      </c>
      <c r="Z108" s="35" t="str">
        <f t="shared" ca="1" si="51"/>
        <v/>
      </c>
    </row>
    <row r="109" spans="2:26" ht="13" x14ac:dyDescent="0.3">
      <c r="B109" s="163">
        <f>B108+1</f>
        <v>62</v>
      </c>
      <c r="D109" s="99" t="s">
        <v>40</v>
      </c>
      <c r="F109" s="113">
        <v>127182.50292039152</v>
      </c>
      <c r="H109" s="113"/>
      <c r="K109" s="192">
        <f>_xlfn.IFNA(MATCH(J109,'Function Factors'!$B$9:$B$455,0),0)</f>
        <v>0</v>
      </c>
      <c r="L109" s="113">
        <f>F109-H109</f>
        <v>127182.50292039152</v>
      </c>
      <c r="N109" s="91" t="s">
        <v>147</v>
      </c>
      <c r="O109" s="192">
        <f>_xlfn.IFNA(MATCH(N109,'Function Factors'!$B$9:$B$455,0),0)</f>
        <v>90</v>
      </c>
      <c r="P109" s="200">
        <f ca="1">OFFSET('Function Factors'!$B$9,$O109-1,P$14)*$L109+OFFSET('Function Factors'!$B$9,$K109-1,P$14)*$H109</f>
        <v>0</v>
      </c>
      <c r="R109" s="200">
        <f ca="1">OFFSET('Function Factors'!$B$9,$O109-1,R$14)*$L109+OFFSET('Function Factors'!$B$9,$K109-1,R$14)*$H109</f>
        <v>4388.0617299920368</v>
      </c>
      <c r="S109" s="200"/>
      <c r="T109" s="200">
        <f ca="1">OFFSET('Function Factors'!$B$9,$O109-1,T$14)*$L109+OFFSET('Function Factors'!$B$9,$K109-1,T$14)*$H109</f>
        <v>26301.747439204766</v>
      </c>
      <c r="U109" s="200"/>
      <c r="V109" s="200">
        <f ca="1">OFFSET('Function Factors'!$B$9,$O109-1,V$14)*$L109+OFFSET('Function Factors'!$B$9,$K109-1,V$14)*$H109</f>
        <v>96492.693751194718</v>
      </c>
      <c r="W109" s="51"/>
      <c r="X109" s="200">
        <f ca="1">P109+R109+T109+V109</f>
        <v>127182.50292039152</v>
      </c>
      <c r="Z109" s="35" t="str">
        <f t="shared" ca="1" si="51"/>
        <v/>
      </c>
    </row>
    <row r="110" spans="2:26" ht="13" x14ac:dyDescent="0.3">
      <c r="B110" s="163">
        <f>B109+1</f>
        <v>63</v>
      </c>
      <c r="D110" s="99" t="s">
        <v>328</v>
      </c>
      <c r="F110" s="79">
        <f>SUM(F108:F109)</f>
        <v>248936.36114572565</v>
      </c>
      <c r="H110" s="79">
        <f>SUM(H108:H109)</f>
        <v>0</v>
      </c>
      <c r="L110" s="79">
        <f>SUM(L108:L109)</f>
        <v>248936.36114572565</v>
      </c>
      <c r="P110" s="204">
        <f ca="1">SUM(P108:P109)</f>
        <v>0</v>
      </c>
      <c r="R110" s="204">
        <f ca="1">SUM(R108:R109)</f>
        <v>14969.570662534232</v>
      </c>
      <c r="T110" s="204">
        <f ca="1">SUM(T108:T109)</f>
        <v>48372.743560476039</v>
      </c>
      <c r="V110" s="204">
        <f ca="1">SUM(V108:V109)</f>
        <v>185594.04692271538</v>
      </c>
      <c r="X110" s="204">
        <f ca="1">SUM(X108:X109)</f>
        <v>248936.36114572565</v>
      </c>
      <c r="Z110" s="35" t="str">
        <f t="shared" ca="1" si="51"/>
        <v/>
      </c>
    </row>
    <row r="111" spans="2:26" ht="13" x14ac:dyDescent="0.3">
      <c r="Z111" s="35" t="str">
        <f t="shared" si="51"/>
        <v/>
      </c>
    </row>
    <row r="112" spans="2:26" ht="13" x14ac:dyDescent="0.3">
      <c r="Z112" s="35" t="str">
        <f t="shared" si="16"/>
        <v/>
      </c>
    </row>
    <row r="113" spans="2:40" ht="13" x14ac:dyDescent="0.3">
      <c r="D113" s="6" t="s">
        <v>74</v>
      </c>
      <c r="Z113" s="35" t="str">
        <f t="shared" si="16"/>
        <v/>
      </c>
      <c r="AC113" s="2" t="s">
        <v>206</v>
      </c>
      <c r="AD113" s="163" t="s">
        <v>214</v>
      </c>
    </row>
    <row r="114" spans="2:40" ht="13" x14ac:dyDescent="0.3">
      <c r="F114" s="113"/>
      <c r="Z114" s="35" t="str">
        <f t="shared" si="16"/>
        <v/>
      </c>
      <c r="AC114" s="57" t="s">
        <v>212</v>
      </c>
      <c r="AD114" s="164" t="s">
        <v>213</v>
      </c>
      <c r="AF114" s="81" t="s">
        <v>182</v>
      </c>
      <c r="AG114" s="80"/>
      <c r="AH114" s="81" t="s">
        <v>8</v>
      </c>
      <c r="AI114" s="80"/>
      <c r="AJ114" s="81" t="s">
        <v>9</v>
      </c>
      <c r="AK114" s="80"/>
      <c r="AL114" s="81" t="s">
        <v>10</v>
      </c>
      <c r="AN114" s="81" t="s">
        <v>11</v>
      </c>
    </row>
    <row r="115" spans="2:40" ht="13" x14ac:dyDescent="0.3">
      <c r="D115" s="97" t="s">
        <v>7</v>
      </c>
      <c r="Z115" s="35" t="str">
        <f t="shared" si="16"/>
        <v/>
      </c>
    </row>
    <row r="116" spans="2:40" ht="13" x14ac:dyDescent="0.3">
      <c r="B116" s="28">
        <f>B110+1</f>
        <v>64</v>
      </c>
      <c r="D116" s="63" t="s">
        <v>352</v>
      </c>
      <c r="F116" s="200">
        <v>3112816.4694699193</v>
      </c>
      <c r="H116" s="200"/>
      <c r="K116" s="192">
        <f>_xlfn.IFNA(MATCH(J116,'Function Factors'!$B$9:$B$455,0),0)</f>
        <v>0</v>
      </c>
      <c r="L116" s="113">
        <f t="shared" ref="L116:L159" si="52">F116-H116</f>
        <v>3112816.4694699193</v>
      </c>
      <c r="N116" s="91" t="s">
        <v>401</v>
      </c>
      <c r="O116" s="192">
        <f>_xlfn.IFNA(MATCH(N116,'Function Factors'!$B$9:$B$455,0),0)</f>
        <v>39</v>
      </c>
      <c r="P116" s="200">
        <f ca="1">OFFSET('Function Factors'!$B$9,$O116-1,P$14)*$L116+OFFSET('Function Factors'!$B$9,$K116-1,P$14)*$H116</f>
        <v>3112816.4694699193</v>
      </c>
      <c r="R116" s="200">
        <f ca="1">OFFSET('Function Factors'!$B$9,$O116-1,R$14)*$L116+OFFSET('Function Factors'!$B$9,$K116-1,R$14)*$H116</f>
        <v>0</v>
      </c>
      <c r="S116" s="200"/>
      <c r="T116" s="200">
        <f ca="1">OFFSET('Function Factors'!$B$9,$O116-1,T$14)*$L116+OFFSET('Function Factors'!$B$9,$K116-1,T$14)*$H116</f>
        <v>0</v>
      </c>
      <c r="U116" s="200"/>
      <c r="V116" s="200">
        <f ca="1">OFFSET('Function Factors'!$B$9,$O116-1,V$14)*$L116+OFFSET('Function Factors'!$B$9,$K116-1,V$14)*$H116</f>
        <v>0</v>
      </c>
      <c r="X116" s="200">
        <f t="shared" ref="X116:X124" ca="1" si="53">P116+R116+T116+V116</f>
        <v>3112816.4694699193</v>
      </c>
      <c r="Z116" s="35" t="str">
        <f t="shared" ca="1" si="16"/>
        <v/>
      </c>
      <c r="AC116" s="234"/>
      <c r="AD116" s="62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ht="13" x14ac:dyDescent="0.3">
      <c r="B117" s="28">
        <f t="shared" ref="B117:B122" si="54">B116+1</f>
        <v>65</v>
      </c>
      <c r="D117" s="63" t="s">
        <v>128</v>
      </c>
      <c r="F117" s="200">
        <v>35305.77863132624</v>
      </c>
      <c r="H117" s="200"/>
      <c r="K117" s="192">
        <f>_xlfn.IFNA(MATCH(J117,'Function Factors'!$B$9:$B$455,0),0)</f>
        <v>0</v>
      </c>
      <c r="L117" s="113">
        <f t="shared" si="52"/>
        <v>35305.77863132624</v>
      </c>
      <c r="N117" s="91" t="s">
        <v>131</v>
      </c>
      <c r="O117" s="192">
        <f>_xlfn.IFNA(MATCH(N117,'Function Factors'!$B$9:$B$455,0),0)</f>
        <v>21</v>
      </c>
      <c r="P117" s="200">
        <f ca="1">OFFSET('Function Factors'!$B$9,$O117-1,P$14)*$L117+OFFSET('Function Factors'!$B$9,$K117-1,P$14)*$H117</f>
        <v>0</v>
      </c>
      <c r="R117" s="200">
        <f ca="1">OFFSET('Function Factors'!$B$9,$O117-1,R$14)*$L117+OFFSET('Function Factors'!$B$9,$K117-1,R$14)*$H117</f>
        <v>8340.1650067942555</v>
      </c>
      <c r="S117" s="200"/>
      <c r="T117" s="200">
        <f ca="1">OFFSET('Function Factors'!$B$9,$O117-1,T$14)*$L117+OFFSET('Function Factors'!$B$9,$K117-1,T$14)*$H117</f>
        <v>26965.613624531987</v>
      </c>
      <c r="U117" s="200"/>
      <c r="V117" s="200">
        <f ca="1">OFFSET('Function Factors'!$B$9,$O117-1,V$14)*$L117+OFFSET('Function Factors'!$B$9,$K117-1,V$14)*$H117</f>
        <v>0</v>
      </c>
      <c r="X117" s="200">
        <f t="shared" ca="1" si="53"/>
        <v>35305.77863132624</v>
      </c>
      <c r="Z117" s="35" t="str">
        <f t="shared" ca="1" si="16"/>
        <v/>
      </c>
      <c r="AC117" s="234"/>
      <c r="AD117" s="62">
        <f t="shared" ref="AD117:AD122" si="55">IFERROR(AC117/F117,0)</f>
        <v>0</v>
      </c>
      <c r="AF117" s="8">
        <f t="shared" ref="AF117:AF160" ca="1" si="56">$AD117*P117</f>
        <v>0</v>
      </c>
      <c r="AH117" s="8">
        <f t="shared" ref="AH117:AH160" ca="1" si="57">$AD117*R117</f>
        <v>0</v>
      </c>
      <c r="AJ117" s="8">
        <f t="shared" ref="AJ117:AJ160" ca="1" si="58">$AD117*T117</f>
        <v>0</v>
      </c>
      <c r="AL117" s="8">
        <f t="shared" ref="AL117:AL160" ca="1" si="59">$AD117*V117</f>
        <v>0</v>
      </c>
      <c r="AN117" s="8">
        <f t="shared" ref="AN117:AN160" ca="1" si="60">SUM(AF117:AL117)</f>
        <v>0</v>
      </c>
    </row>
    <row r="118" spans="2:40" ht="13" x14ac:dyDescent="0.3">
      <c r="B118" s="28">
        <f t="shared" si="54"/>
        <v>66</v>
      </c>
      <c r="D118" s="63" t="s">
        <v>129</v>
      </c>
      <c r="F118" s="200">
        <v>56099.879742018238</v>
      </c>
      <c r="H118" s="200"/>
      <c r="K118" s="192">
        <f>_xlfn.IFNA(MATCH(J118,'Function Factors'!$B$9:$B$455,0),0)</f>
        <v>0</v>
      </c>
      <c r="L118" s="113">
        <f t="shared" si="52"/>
        <v>56099.879742018238</v>
      </c>
      <c r="N118" s="91" t="s">
        <v>130</v>
      </c>
      <c r="O118" s="192">
        <f>_xlfn.IFNA(MATCH(N118,'Function Factors'!$B$9:$B$455,0),0)</f>
        <v>111</v>
      </c>
      <c r="P118" s="200">
        <f ca="1">OFFSET('Function Factors'!$B$9,$O118-1,P$14)*$L118+OFFSET('Function Factors'!$B$9,$K118-1,P$14)*$H118</f>
        <v>0</v>
      </c>
      <c r="R118" s="200">
        <f ca="1">OFFSET('Function Factors'!$B$9,$O118-1,R$14)*$L118+OFFSET('Function Factors'!$B$9,$K118-1,R$14)*$H118</f>
        <v>12127.286792026953</v>
      </c>
      <c r="S118" s="200"/>
      <c r="T118" s="200">
        <f ca="1">OFFSET('Function Factors'!$B$9,$O118-1,T$14)*$L118+OFFSET('Function Factors'!$B$9,$K118-1,T$14)*$H118</f>
        <v>17163.793884536266</v>
      </c>
      <c r="U118" s="200"/>
      <c r="V118" s="200">
        <f ca="1">OFFSET('Function Factors'!$B$9,$O118-1,V$14)*$L118+OFFSET('Function Factors'!$B$9,$K118-1,V$14)*$H118</f>
        <v>26808.799065455016</v>
      </c>
      <c r="X118" s="200">
        <f t="shared" ca="1" si="53"/>
        <v>56099.879742018238</v>
      </c>
      <c r="Z118" s="35" t="str">
        <f t="shared" ca="1" si="16"/>
        <v/>
      </c>
      <c r="AC118" s="234"/>
      <c r="AD118" s="62">
        <f t="shared" si="55"/>
        <v>0</v>
      </c>
      <c r="AF118" s="8">
        <f t="shared" ca="1" si="56"/>
        <v>0</v>
      </c>
      <c r="AH118" s="8">
        <f t="shared" ca="1" si="57"/>
        <v>0</v>
      </c>
      <c r="AJ118" s="8">
        <f t="shared" ca="1" si="58"/>
        <v>0</v>
      </c>
      <c r="AL118" s="8">
        <f t="shared" ca="1" si="59"/>
        <v>0</v>
      </c>
      <c r="AN118" s="8">
        <f t="shared" ca="1" si="60"/>
        <v>0</v>
      </c>
    </row>
    <row r="119" spans="2:40" ht="13" x14ac:dyDescent="0.3">
      <c r="B119" s="28">
        <f t="shared" si="54"/>
        <v>67</v>
      </c>
      <c r="D119" s="63" t="s">
        <v>253</v>
      </c>
      <c r="F119" s="200">
        <v>3884.1941707516062</v>
      </c>
      <c r="H119" s="200"/>
      <c r="K119" s="192">
        <f>_xlfn.IFNA(MATCH(J119,'Function Factors'!$B$9:$B$455,0),0)</f>
        <v>0</v>
      </c>
      <c r="L119" s="113">
        <f t="shared" si="52"/>
        <v>3884.1941707516062</v>
      </c>
      <c r="N119" s="91" t="s">
        <v>300</v>
      </c>
      <c r="O119" s="192">
        <f>_xlfn.IFNA(MATCH(N119,'Function Factors'!$B$9:$B$455,0),0)</f>
        <v>87</v>
      </c>
      <c r="P119" s="200">
        <f ca="1">OFFSET('Function Factors'!$B$9,$O119-1,P$14)*$L119+OFFSET('Function Factors'!$B$9,$K119-1,P$14)*$H119</f>
        <v>0</v>
      </c>
      <c r="R119" s="200">
        <f ca="1">OFFSET('Function Factors'!$B$9,$O119-1,R$14)*$L119+OFFSET('Function Factors'!$B$9,$K119-1,R$14)*$H119</f>
        <v>282.38085597626258</v>
      </c>
      <c r="S119" s="200"/>
      <c r="T119" s="200">
        <f ca="1">OFFSET('Function Factors'!$B$9,$O119-1,T$14)*$L119+OFFSET('Function Factors'!$B$9,$K119-1,T$14)*$H119</f>
        <v>1104.2779834838057</v>
      </c>
      <c r="U119" s="200"/>
      <c r="V119" s="200">
        <f ca="1">OFFSET('Function Factors'!$B$9,$O119-1,V$14)*$L119+OFFSET('Function Factors'!$B$9,$K119-1,V$14)*$H119</f>
        <v>2497.5353312915377</v>
      </c>
      <c r="X119" s="200">
        <f t="shared" ref="X119" ca="1" si="61">P119+R119+T119+V119</f>
        <v>3884.1941707516062</v>
      </c>
      <c r="Z119" s="35"/>
      <c r="AC119" s="234"/>
      <c r="AD119" s="62">
        <f t="shared" si="55"/>
        <v>0</v>
      </c>
      <c r="AF119" s="8">
        <f t="shared" ca="1" si="56"/>
        <v>0</v>
      </c>
      <c r="AH119" s="8">
        <f t="shared" ca="1" si="57"/>
        <v>0</v>
      </c>
      <c r="AJ119" s="8">
        <f t="shared" ca="1" si="58"/>
        <v>0</v>
      </c>
      <c r="AL119" s="8">
        <f t="shared" ca="1" si="59"/>
        <v>0</v>
      </c>
      <c r="AN119" s="8">
        <f t="shared" ca="1" si="60"/>
        <v>0</v>
      </c>
    </row>
    <row r="120" spans="2:40" ht="13" x14ac:dyDescent="0.3">
      <c r="B120" s="28">
        <f t="shared" si="54"/>
        <v>68</v>
      </c>
      <c r="D120" s="63" t="s">
        <v>382</v>
      </c>
      <c r="F120" s="200">
        <v>13946.739835347375</v>
      </c>
      <c r="H120" s="200"/>
      <c r="K120" s="192">
        <f>_xlfn.IFNA(MATCH(J120,'Function Factors'!$B$9:$B$455,0),0)</f>
        <v>0</v>
      </c>
      <c r="L120" s="113">
        <f t="shared" si="52"/>
        <v>13946.739835347375</v>
      </c>
      <c r="N120" s="91" t="s">
        <v>28</v>
      </c>
      <c r="O120" s="192">
        <f>_xlfn.IFNA(MATCH(N120,'Function Factors'!$B$9:$B$455,0),0)</f>
        <v>99</v>
      </c>
      <c r="P120" s="200">
        <f ca="1">OFFSET('Function Factors'!$B$9,$O120-1,P$14)*$L120+OFFSET('Function Factors'!$B$9,$K120-1,P$14)*$H120</f>
        <v>0</v>
      </c>
      <c r="R120" s="200">
        <f ca="1">OFFSET('Function Factors'!$B$9,$O120-1,R$14)*$L120+OFFSET('Function Factors'!$B$9,$K120-1,R$14)*$H120</f>
        <v>13946.739835347375</v>
      </c>
      <c r="S120" s="200"/>
      <c r="T120" s="200">
        <f ca="1">OFFSET('Function Factors'!$B$9,$O120-1,T$14)*$L120+OFFSET('Function Factors'!$B$9,$K120-1,T$14)*$H120</f>
        <v>0</v>
      </c>
      <c r="U120" s="200"/>
      <c r="V120" s="200">
        <f ca="1">OFFSET('Function Factors'!$B$9,$O120-1,V$14)*$L120+OFFSET('Function Factors'!$B$9,$K120-1,V$14)*$H120</f>
        <v>0</v>
      </c>
      <c r="X120" s="200">
        <f t="shared" ca="1" si="53"/>
        <v>13946.739835347375</v>
      </c>
      <c r="Z120" s="35" t="str">
        <f t="shared" ca="1" si="16"/>
        <v/>
      </c>
      <c r="AC120" s="234"/>
      <c r="AD120" s="62">
        <f t="shared" si="55"/>
        <v>0</v>
      </c>
      <c r="AF120" s="8">
        <f t="shared" ca="1" si="56"/>
        <v>0</v>
      </c>
      <c r="AH120" s="8">
        <f t="shared" ca="1" si="57"/>
        <v>0</v>
      </c>
      <c r="AJ120" s="8">
        <f t="shared" ca="1" si="58"/>
        <v>0</v>
      </c>
      <c r="AL120" s="8">
        <f t="shared" ca="1" si="59"/>
        <v>0</v>
      </c>
      <c r="AN120" s="8">
        <f t="shared" ca="1" si="60"/>
        <v>0</v>
      </c>
    </row>
    <row r="121" spans="2:40" ht="13" x14ac:dyDescent="0.3">
      <c r="B121" s="28">
        <f t="shared" si="54"/>
        <v>69</v>
      </c>
      <c r="D121" s="63" t="s">
        <v>228</v>
      </c>
      <c r="F121" s="200">
        <v>17612.274764011701</v>
      </c>
      <c r="H121" s="200"/>
      <c r="K121" s="192">
        <f>_xlfn.IFNA(MATCH(J121,'Function Factors'!$B$9:$B$455,0),0)</f>
        <v>0</v>
      </c>
      <c r="L121" s="113">
        <f>F121-H121</f>
        <v>17612.274764011701</v>
      </c>
      <c r="N121" s="91" t="s">
        <v>73</v>
      </c>
      <c r="O121" s="192">
        <f>_xlfn.IFNA(MATCH(N121,'Function Factors'!$B$9:$B$455,0),0)</f>
        <v>108</v>
      </c>
      <c r="P121" s="200">
        <f ca="1">OFFSET('Function Factors'!$B$9,$O121-1,P$14)*$L121+OFFSET('Function Factors'!$B$9,$K121-1,P$14)*$H121</f>
        <v>0</v>
      </c>
      <c r="R121" s="200">
        <f ca="1">OFFSET('Function Factors'!$B$9,$O121-1,R$14)*$L121+OFFSET('Function Factors'!$B$9,$K121-1,R$14)*$H121</f>
        <v>0</v>
      </c>
      <c r="S121" s="200"/>
      <c r="T121" s="200">
        <f ca="1">OFFSET('Function Factors'!$B$9,$O121-1,T$14)*$L121+OFFSET('Function Factors'!$B$9,$K121-1,T$14)*$H121</f>
        <v>17612.274764011701</v>
      </c>
      <c r="U121" s="200"/>
      <c r="V121" s="200">
        <f ca="1">OFFSET('Function Factors'!$B$9,$O121-1,V$14)*$L121+OFFSET('Function Factors'!$B$9,$K121-1,V$14)*$H121</f>
        <v>0</v>
      </c>
      <c r="X121" s="200">
        <f t="shared" ca="1" si="53"/>
        <v>17612.274764011701</v>
      </c>
      <c r="Z121" s="35" t="str">
        <f t="shared" ca="1" si="16"/>
        <v/>
      </c>
      <c r="AC121" s="234"/>
      <c r="AD121" s="62">
        <f t="shared" si="55"/>
        <v>0</v>
      </c>
      <c r="AF121" s="8">
        <f t="shared" ca="1" si="56"/>
        <v>0</v>
      </c>
      <c r="AH121" s="8">
        <f t="shared" ca="1" si="57"/>
        <v>0</v>
      </c>
      <c r="AJ121" s="8">
        <f t="shared" ca="1" si="58"/>
        <v>0</v>
      </c>
      <c r="AL121" s="8">
        <f t="shared" ca="1" si="59"/>
        <v>0</v>
      </c>
      <c r="AN121" s="8">
        <f t="shared" ca="1" si="60"/>
        <v>0</v>
      </c>
    </row>
    <row r="122" spans="2:40" ht="13" x14ac:dyDescent="0.3">
      <c r="B122" s="28">
        <f t="shared" si="54"/>
        <v>70</v>
      </c>
      <c r="D122" s="63" t="s">
        <v>140</v>
      </c>
      <c r="F122" s="200">
        <v>12223.017490216926</v>
      </c>
      <c r="H122" s="200"/>
      <c r="K122" s="192">
        <f>_xlfn.IFNA(MATCH(J122,'Function Factors'!$B$9:$B$455,0),0)</f>
        <v>0</v>
      </c>
      <c r="L122" s="113">
        <f t="shared" si="52"/>
        <v>12223.017490216926</v>
      </c>
      <c r="N122" s="91" t="s">
        <v>403</v>
      </c>
      <c r="O122" s="192">
        <f>_xlfn.IFNA(MATCH(N122,'Function Factors'!$B$9:$B$455,0),0)</f>
        <v>51</v>
      </c>
      <c r="P122" s="200">
        <f ca="1">OFFSET('Function Factors'!$B$9,$O122-1,P$14)*$L122+OFFSET('Function Factors'!$B$9,$K122-1,P$14)*$H122</f>
        <v>0</v>
      </c>
      <c r="R122" s="200">
        <f ca="1">OFFSET('Function Factors'!$B$9,$O122-1,R$14)*$L122+OFFSET('Function Factors'!$B$9,$K122-1,R$14)*$H122</f>
        <v>0</v>
      </c>
      <c r="S122" s="200"/>
      <c r="T122" s="200">
        <f ca="1">OFFSET('Function Factors'!$B$9,$O122-1,T$14)*$L122+OFFSET('Function Factors'!$B$9,$K122-1,T$14)*$H122</f>
        <v>1285.4070408906441</v>
      </c>
      <c r="U122" s="200"/>
      <c r="V122" s="200">
        <f ca="1">OFFSET('Function Factors'!$B$9,$O122-1,V$14)*$L122+OFFSET('Function Factors'!$B$9,$K122-1,V$14)*$H122</f>
        <v>10937.610449326283</v>
      </c>
      <c r="X122" s="200">
        <f t="shared" ca="1" si="53"/>
        <v>12223.017490216927</v>
      </c>
      <c r="Z122" s="35" t="str">
        <f t="shared" ca="1" si="16"/>
        <v/>
      </c>
      <c r="AC122" s="234"/>
      <c r="AD122" s="62">
        <f t="shared" si="55"/>
        <v>0</v>
      </c>
      <c r="AF122" s="8">
        <f t="shared" ca="1" si="56"/>
        <v>0</v>
      </c>
      <c r="AH122" s="8">
        <f t="shared" ca="1" si="57"/>
        <v>0</v>
      </c>
      <c r="AJ122" s="8">
        <f t="shared" ca="1" si="58"/>
        <v>0</v>
      </c>
      <c r="AL122" s="8">
        <f t="shared" ca="1" si="59"/>
        <v>0</v>
      </c>
      <c r="AN122" s="8">
        <f t="shared" ca="1" si="60"/>
        <v>0</v>
      </c>
    </row>
    <row r="123" spans="2:40" ht="13" x14ac:dyDescent="0.3">
      <c r="B123" s="28"/>
      <c r="D123" s="97" t="s">
        <v>8</v>
      </c>
      <c r="Z123" s="35" t="str">
        <f t="shared" ref="Z123:Z180" si="62">IF(ROUND(F123,4)=ROUND(X123,4), "", "check")</f>
        <v/>
      </c>
      <c r="AF123" s="8"/>
      <c r="AH123" s="8"/>
      <c r="AJ123" s="8"/>
      <c r="AL123" s="8"/>
      <c r="AN123" s="8"/>
    </row>
    <row r="124" spans="2:40" ht="13" x14ac:dyDescent="0.3">
      <c r="B124" s="28">
        <f>B122+1</f>
        <v>71</v>
      </c>
      <c r="D124" s="63" t="s">
        <v>71</v>
      </c>
      <c r="F124" s="200">
        <v>1640.1810497976596</v>
      </c>
      <c r="H124" s="200"/>
      <c r="K124" s="192">
        <f>_xlfn.IFNA(MATCH(J124,'Function Factors'!$B$9:$B$455,0),0)</f>
        <v>0</v>
      </c>
      <c r="L124" s="113">
        <f t="shared" si="52"/>
        <v>1640.1810497976596</v>
      </c>
      <c r="N124" s="91" t="s">
        <v>28</v>
      </c>
      <c r="O124" s="192">
        <f>_xlfn.IFNA(MATCH(N124,'Function Factors'!$B$9:$B$455,0),0)</f>
        <v>99</v>
      </c>
      <c r="P124" s="200">
        <f ca="1">OFFSET('Function Factors'!$B$9,$O124-1,P$14)*$L124+OFFSET('Function Factors'!$B$9,$K124-1,P$14)*$H124</f>
        <v>0</v>
      </c>
      <c r="R124" s="200">
        <f ca="1">OFFSET('Function Factors'!$B$9,$O124-1,R$14)*$L124+OFFSET('Function Factors'!$B$9,$K124-1,R$14)*$H124</f>
        <v>1640.1810497976596</v>
      </c>
      <c r="S124" s="200"/>
      <c r="T124" s="200">
        <f ca="1">OFFSET('Function Factors'!$B$9,$O124-1,T$14)*$L124+OFFSET('Function Factors'!$B$9,$K124-1,T$14)*$H124</f>
        <v>0</v>
      </c>
      <c r="U124" s="200"/>
      <c r="V124" s="200">
        <f ca="1">OFFSET('Function Factors'!$B$9,$O124-1,V$14)*$L124+OFFSET('Function Factors'!$B$9,$K124-1,V$14)*$H124</f>
        <v>0</v>
      </c>
      <c r="X124" s="200">
        <f t="shared" ca="1" si="53"/>
        <v>1640.1810497976596</v>
      </c>
      <c r="Z124" s="35" t="str">
        <f t="shared" ca="1" si="62"/>
        <v/>
      </c>
      <c r="AC124" s="235">
        <v>579.59980981929994</v>
      </c>
      <c r="AD124" s="62">
        <f t="shared" ref="AD124:AD131" si="63">IFERROR(AC124/F124,0)</f>
        <v>0.35337550686297836</v>
      </c>
      <c r="AF124" s="8">
        <f t="shared" ca="1" si="56"/>
        <v>0</v>
      </c>
      <c r="AH124" s="8">
        <f t="shared" ca="1" si="57"/>
        <v>579.59980981929994</v>
      </c>
      <c r="AJ124" s="8">
        <f t="shared" ca="1" si="58"/>
        <v>0</v>
      </c>
      <c r="AL124" s="8">
        <f t="shared" ca="1" si="59"/>
        <v>0</v>
      </c>
      <c r="AN124" s="8">
        <f t="shared" ca="1" si="60"/>
        <v>579.59980981929994</v>
      </c>
    </row>
    <row r="125" spans="2:40" ht="13" x14ac:dyDescent="0.3">
      <c r="B125" s="28">
        <f t="shared" ref="B125:B131" si="64">B124+1</f>
        <v>72</v>
      </c>
      <c r="D125" s="63" t="s">
        <v>196</v>
      </c>
      <c r="F125" s="200">
        <v>17097.195056345034</v>
      </c>
      <c r="H125" s="200"/>
      <c r="K125" s="192">
        <f>_xlfn.IFNA(MATCH(J125,'Function Factors'!$B$9:$B$455,0),0)</f>
        <v>0</v>
      </c>
      <c r="L125" s="113">
        <f t="shared" si="52"/>
        <v>17097.195056345034</v>
      </c>
      <c r="N125" s="91" t="s">
        <v>295</v>
      </c>
      <c r="O125" s="192">
        <f>_xlfn.IFNA(MATCH(N125,'Function Factors'!$B$9:$B$455,0),0)</f>
        <v>96</v>
      </c>
      <c r="P125" s="200">
        <f ca="1">OFFSET('Function Factors'!$B$9,$O125-1,P$14)*$L125+OFFSET('Function Factors'!$B$9,$K125-1,P$14)*$H125</f>
        <v>0</v>
      </c>
      <c r="R125" s="200">
        <f ca="1">OFFSET('Function Factors'!$B$9,$O125-1,R$14)*$L125+OFFSET('Function Factors'!$B$9,$K125-1,R$14)*$H125</f>
        <v>14117.785878445757</v>
      </c>
      <c r="S125" s="200"/>
      <c r="T125" s="200">
        <f ca="1">OFFSET('Function Factors'!$B$9,$O125-1,T$14)*$L125+OFFSET('Function Factors'!$B$9,$K125-1,T$14)*$H125</f>
        <v>2979.4091778992783</v>
      </c>
      <c r="U125" s="200"/>
      <c r="V125" s="200">
        <f ca="1">OFFSET('Function Factors'!$B$9,$O125-1,V$14)*$L125+OFFSET('Function Factors'!$B$9,$K125-1,V$14)*$H125</f>
        <v>0</v>
      </c>
      <c r="X125" s="200">
        <f t="shared" ref="X125" ca="1" si="65">P125+R125+T125+V125</f>
        <v>17097.195056345034</v>
      </c>
      <c r="Z125" s="35" t="str">
        <f t="shared" ca="1" si="62"/>
        <v/>
      </c>
      <c r="AC125" s="235">
        <v>7301.1076114910002</v>
      </c>
      <c r="AD125" s="62">
        <f t="shared" si="63"/>
        <v>0.42703540478012186</v>
      </c>
      <c r="AF125" s="8">
        <f t="shared" ca="1" si="56"/>
        <v>0</v>
      </c>
      <c r="AH125" s="8">
        <f t="shared" ca="1" si="57"/>
        <v>6028.7944072011724</v>
      </c>
      <c r="AJ125" s="8">
        <f t="shared" ca="1" si="58"/>
        <v>1272.3132042898285</v>
      </c>
      <c r="AL125" s="8">
        <f t="shared" ca="1" si="59"/>
        <v>0</v>
      </c>
      <c r="AN125" s="8">
        <f t="shared" ca="1" si="60"/>
        <v>7301.1076114910011</v>
      </c>
    </row>
    <row r="126" spans="2:40" ht="13" x14ac:dyDescent="0.3">
      <c r="B126" s="28">
        <f t="shared" si="64"/>
        <v>73</v>
      </c>
      <c r="D126" s="63" t="s">
        <v>204</v>
      </c>
      <c r="F126" s="200">
        <v>1307.4095306239601</v>
      </c>
      <c r="H126" s="200"/>
      <c r="K126" s="192">
        <f>_xlfn.IFNA(MATCH(J126,'Function Factors'!$B$9:$B$455,0),0)</f>
        <v>0</v>
      </c>
      <c r="L126" s="113">
        <f t="shared" si="52"/>
        <v>1307.4095306239601</v>
      </c>
      <c r="N126" s="91" t="s">
        <v>28</v>
      </c>
      <c r="O126" s="192">
        <f>_xlfn.IFNA(MATCH(N126,'Function Factors'!$B$9:$B$455,0),0)</f>
        <v>99</v>
      </c>
      <c r="P126" s="200">
        <f ca="1">OFFSET('Function Factors'!$B$9,$O126-1,P$14)*$L126+OFFSET('Function Factors'!$B$9,$K126-1,P$14)*$H126</f>
        <v>0</v>
      </c>
      <c r="R126" s="200">
        <f ca="1">OFFSET('Function Factors'!$B$9,$O126-1,R$14)*$L126+OFFSET('Function Factors'!$B$9,$K126-1,R$14)*$H126</f>
        <v>1307.4095306239601</v>
      </c>
      <c r="S126" s="200"/>
      <c r="T126" s="200">
        <f ca="1">OFFSET('Function Factors'!$B$9,$O126-1,T$14)*$L126+OFFSET('Function Factors'!$B$9,$K126-1,T$14)*$H126</f>
        <v>0</v>
      </c>
      <c r="U126" s="200"/>
      <c r="V126" s="200">
        <f ca="1">OFFSET('Function Factors'!$B$9,$O126-1,V$14)*$L126+OFFSET('Function Factors'!$B$9,$K126-1,V$14)*$H126</f>
        <v>0</v>
      </c>
      <c r="X126" s="200">
        <f t="shared" ref="X126:X131" ca="1" si="66">P126+R126+T126+V126</f>
        <v>1307.4095306239601</v>
      </c>
      <c r="Z126" s="35" t="str">
        <f t="shared" ca="1" si="62"/>
        <v/>
      </c>
      <c r="AC126" s="235">
        <v>0</v>
      </c>
      <c r="AD126" s="62">
        <f t="shared" si="63"/>
        <v>0</v>
      </c>
      <c r="AF126" s="8">
        <f t="shared" ca="1" si="56"/>
        <v>0</v>
      </c>
      <c r="AH126" s="8">
        <f t="shared" ca="1" si="57"/>
        <v>0</v>
      </c>
      <c r="AJ126" s="8">
        <f t="shared" ca="1" si="58"/>
        <v>0</v>
      </c>
      <c r="AL126" s="8">
        <f t="shared" ca="1" si="59"/>
        <v>0</v>
      </c>
      <c r="AN126" s="8">
        <f t="shared" ca="1" si="60"/>
        <v>0</v>
      </c>
    </row>
    <row r="127" spans="2:40" ht="13" x14ac:dyDescent="0.3">
      <c r="B127" s="28">
        <f t="shared" si="64"/>
        <v>74</v>
      </c>
      <c r="D127" s="63" t="s">
        <v>224</v>
      </c>
      <c r="F127" s="200">
        <v>3787.5783081452309</v>
      </c>
      <c r="H127" s="200"/>
      <c r="K127" s="192">
        <f>_xlfn.IFNA(MATCH(J127,'Function Factors'!$B$9:$B$455,0),0)</f>
        <v>0</v>
      </c>
      <c r="L127" s="113">
        <f t="shared" si="52"/>
        <v>3787.5783081452309</v>
      </c>
      <c r="N127" s="91" t="s">
        <v>294</v>
      </c>
      <c r="O127" s="192">
        <f>_xlfn.IFNA(MATCH(N127,'Function Factors'!$B$9:$B$455,0),0)</f>
        <v>30</v>
      </c>
      <c r="P127" s="200">
        <f ca="1">OFFSET('Function Factors'!$B$9,$O127-1,P$14)*$L127+OFFSET('Function Factors'!$B$9,$K127-1,P$14)*$H127</f>
        <v>0</v>
      </c>
      <c r="R127" s="200">
        <f ca="1">OFFSET('Function Factors'!$B$9,$O127-1,R$14)*$L127+OFFSET('Function Factors'!$B$9,$K127-1,R$14)*$H127</f>
        <v>1489.5035949216872</v>
      </c>
      <c r="S127" s="200"/>
      <c r="T127" s="200">
        <f ca="1">OFFSET('Function Factors'!$B$9,$O127-1,T$14)*$L127+OFFSET('Function Factors'!$B$9,$K127-1,T$14)*$H127</f>
        <v>2298.0747132235433</v>
      </c>
      <c r="U127" s="200"/>
      <c r="V127" s="200">
        <f ca="1">OFFSET('Function Factors'!$B$9,$O127-1,V$14)*$L127+OFFSET('Function Factors'!$B$9,$K127-1,V$14)*$H127</f>
        <v>0</v>
      </c>
      <c r="X127" s="200">
        <f t="shared" ca="1" si="66"/>
        <v>3787.5783081452305</v>
      </c>
      <c r="Z127" s="35" t="str">
        <f t="shared" ca="1" si="62"/>
        <v/>
      </c>
      <c r="AC127" s="235">
        <v>563.30980968387996</v>
      </c>
      <c r="AD127" s="62">
        <f t="shared" si="63"/>
        <v>0.14872558765913188</v>
      </c>
      <c r="AF127" s="8">
        <f t="shared" ca="1" si="56"/>
        <v>0</v>
      </c>
      <c r="AH127" s="8">
        <f t="shared" ca="1" si="57"/>
        <v>221.52729747511745</v>
      </c>
      <c r="AJ127" s="8">
        <f t="shared" ca="1" si="58"/>
        <v>341.78251220876245</v>
      </c>
      <c r="AL127" s="8">
        <f t="shared" ca="1" si="59"/>
        <v>0</v>
      </c>
      <c r="AN127" s="8">
        <f t="shared" ca="1" si="60"/>
        <v>563.30980968387985</v>
      </c>
    </row>
    <row r="128" spans="2:40" ht="13" x14ac:dyDescent="0.3">
      <c r="B128" s="28">
        <f t="shared" si="64"/>
        <v>75</v>
      </c>
      <c r="D128" s="63" t="s">
        <v>21</v>
      </c>
      <c r="F128" s="200">
        <v>417.64292401249998</v>
      </c>
      <c r="H128" s="200"/>
      <c r="K128" s="192">
        <f>_xlfn.IFNA(MATCH(J128,'Function Factors'!$B$9:$B$455,0),0)</f>
        <v>0</v>
      </c>
      <c r="L128" s="113">
        <f t="shared" si="52"/>
        <v>417.64292401249998</v>
      </c>
      <c r="N128" s="91" t="s">
        <v>28</v>
      </c>
      <c r="O128" s="192">
        <f>_xlfn.IFNA(MATCH(N128,'Function Factors'!$B$9:$B$455,0),0)</f>
        <v>99</v>
      </c>
      <c r="P128" s="200">
        <f ca="1">OFFSET('Function Factors'!$B$9,$O128-1,P$14)*$L128+OFFSET('Function Factors'!$B$9,$K128-1,P$14)*$H128</f>
        <v>0</v>
      </c>
      <c r="R128" s="200">
        <f ca="1">OFFSET('Function Factors'!$B$9,$O128-1,R$14)*$L128+OFFSET('Function Factors'!$B$9,$K128-1,R$14)*$H128</f>
        <v>417.64292401249998</v>
      </c>
      <c r="S128" s="200"/>
      <c r="T128" s="200">
        <f ca="1">OFFSET('Function Factors'!$B$9,$O128-1,T$14)*$L128+OFFSET('Function Factors'!$B$9,$K128-1,T$14)*$H128</f>
        <v>0</v>
      </c>
      <c r="U128" s="200"/>
      <c r="V128" s="200">
        <f ca="1">OFFSET('Function Factors'!$B$9,$O128-1,V$14)*$L128+OFFSET('Function Factors'!$B$9,$K128-1,V$14)*$H128</f>
        <v>0</v>
      </c>
      <c r="X128" s="200">
        <f t="shared" ca="1" si="66"/>
        <v>417.64292401249998</v>
      </c>
      <c r="Z128" s="35" t="str">
        <f t="shared" ca="1" si="62"/>
        <v/>
      </c>
      <c r="AC128" s="235">
        <v>0</v>
      </c>
      <c r="AD128" s="62">
        <f t="shared" si="63"/>
        <v>0</v>
      </c>
      <c r="AF128" s="8">
        <f t="shared" ca="1" si="56"/>
        <v>0</v>
      </c>
      <c r="AH128" s="8">
        <f t="shared" ca="1" si="57"/>
        <v>0</v>
      </c>
      <c r="AJ128" s="8">
        <f t="shared" ca="1" si="58"/>
        <v>0</v>
      </c>
      <c r="AL128" s="8">
        <f t="shared" ca="1" si="59"/>
        <v>0</v>
      </c>
      <c r="AN128" s="8">
        <f t="shared" ca="1" si="60"/>
        <v>0</v>
      </c>
    </row>
    <row r="129" spans="2:46" ht="13" x14ac:dyDescent="0.3">
      <c r="B129" s="28">
        <f t="shared" si="64"/>
        <v>76</v>
      </c>
      <c r="D129" s="63" t="s">
        <v>225</v>
      </c>
      <c r="F129" s="200">
        <v>191.86462860127</v>
      </c>
      <c r="H129" s="200"/>
      <c r="K129" s="192">
        <f>_xlfn.IFNA(MATCH(J129,'Function Factors'!$B$9:$B$455,0),0)</f>
        <v>0</v>
      </c>
      <c r="L129" s="113">
        <f t="shared" si="52"/>
        <v>191.86462860127</v>
      </c>
      <c r="N129" s="91" t="s">
        <v>28</v>
      </c>
      <c r="O129" s="192">
        <f>_xlfn.IFNA(MATCH(N129,'Function Factors'!$B$9:$B$455,0),0)</f>
        <v>99</v>
      </c>
      <c r="P129" s="200">
        <f ca="1">OFFSET('Function Factors'!$B$9,$O129-1,P$14)*$L129+OFFSET('Function Factors'!$B$9,$K129-1,P$14)*$H129</f>
        <v>0</v>
      </c>
      <c r="R129" s="200">
        <f ca="1">OFFSET('Function Factors'!$B$9,$O129-1,R$14)*$L129+OFFSET('Function Factors'!$B$9,$K129-1,R$14)*$H129</f>
        <v>191.86462860127</v>
      </c>
      <c r="S129" s="200"/>
      <c r="T129" s="200">
        <f ca="1">OFFSET('Function Factors'!$B$9,$O129-1,T$14)*$L129+OFFSET('Function Factors'!$B$9,$K129-1,T$14)*$H129</f>
        <v>0</v>
      </c>
      <c r="U129" s="200"/>
      <c r="V129" s="200">
        <f ca="1">OFFSET('Function Factors'!$B$9,$O129-1,V$14)*$L129+OFFSET('Function Factors'!$B$9,$K129-1,V$14)*$H129</f>
        <v>0</v>
      </c>
      <c r="X129" s="200">
        <f t="shared" ca="1" si="66"/>
        <v>191.86462860127</v>
      </c>
      <c r="Z129" s="35" t="str">
        <f t="shared" ca="1" si="62"/>
        <v/>
      </c>
      <c r="AC129" s="235">
        <v>0</v>
      </c>
      <c r="AD129" s="62">
        <f t="shared" si="63"/>
        <v>0</v>
      </c>
      <c r="AF129" s="8">
        <f t="shared" ca="1" si="56"/>
        <v>0</v>
      </c>
      <c r="AH129" s="8">
        <f t="shared" ca="1" si="57"/>
        <v>0</v>
      </c>
      <c r="AJ129" s="8">
        <f t="shared" ca="1" si="58"/>
        <v>0</v>
      </c>
      <c r="AL129" s="8">
        <f t="shared" ca="1" si="59"/>
        <v>0</v>
      </c>
      <c r="AN129" s="8">
        <f t="shared" ca="1" si="60"/>
        <v>0</v>
      </c>
    </row>
    <row r="130" spans="2:46" ht="13" x14ac:dyDescent="0.3">
      <c r="B130" s="28">
        <f t="shared" si="64"/>
        <v>77</v>
      </c>
      <c r="D130" s="63" t="s">
        <v>205</v>
      </c>
      <c r="F130" s="200">
        <v>4026.3844920256997</v>
      </c>
      <c r="H130" s="200"/>
      <c r="K130" s="192">
        <f>_xlfn.IFNA(MATCH(J130,'Function Factors'!$B$9:$B$455,0),0)</f>
        <v>0</v>
      </c>
      <c r="L130" s="113">
        <f t="shared" si="52"/>
        <v>4026.3844920256997</v>
      </c>
      <c r="N130" s="91" t="s">
        <v>28</v>
      </c>
      <c r="O130" s="192">
        <f>_xlfn.IFNA(MATCH(N130,'Function Factors'!$B$9:$B$455,0),0)</f>
        <v>99</v>
      </c>
      <c r="P130" s="200">
        <f ca="1">OFFSET('Function Factors'!$B$9,$O130-1,P$14)*$L130+OFFSET('Function Factors'!$B$9,$K130-1,P$14)*$H130</f>
        <v>0</v>
      </c>
      <c r="R130" s="200">
        <f ca="1">OFFSET('Function Factors'!$B$9,$O130-1,R$14)*$L130+OFFSET('Function Factors'!$B$9,$K130-1,R$14)*$H130</f>
        <v>4026.3844920256997</v>
      </c>
      <c r="S130" s="200"/>
      <c r="T130" s="200">
        <f ca="1">OFFSET('Function Factors'!$B$9,$O130-1,T$14)*$L130+OFFSET('Function Factors'!$B$9,$K130-1,T$14)*$H130</f>
        <v>0</v>
      </c>
      <c r="U130" s="200"/>
      <c r="V130" s="200">
        <f ca="1">OFFSET('Function Factors'!$B$9,$O130-1,V$14)*$L130+OFFSET('Function Factors'!$B$9,$K130-1,V$14)*$H130</f>
        <v>0</v>
      </c>
      <c r="X130" s="200">
        <f t="shared" ca="1" si="66"/>
        <v>4026.3844920256997</v>
      </c>
      <c r="Z130" s="35" t="str">
        <f t="shared" ca="1" si="62"/>
        <v/>
      </c>
      <c r="AC130" s="235">
        <v>0</v>
      </c>
      <c r="AD130" s="62">
        <f t="shared" si="63"/>
        <v>0</v>
      </c>
      <c r="AF130" s="8">
        <f t="shared" ca="1" si="56"/>
        <v>0</v>
      </c>
      <c r="AH130" s="8">
        <f t="shared" ca="1" si="57"/>
        <v>0</v>
      </c>
      <c r="AJ130" s="8">
        <f t="shared" ca="1" si="58"/>
        <v>0</v>
      </c>
      <c r="AL130" s="8">
        <f t="shared" ca="1" si="59"/>
        <v>0</v>
      </c>
      <c r="AN130" s="8">
        <f t="shared" ca="1" si="60"/>
        <v>0</v>
      </c>
    </row>
    <row r="131" spans="2:46" ht="13" x14ac:dyDescent="0.3">
      <c r="B131" s="28">
        <f t="shared" si="64"/>
        <v>78</v>
      </c>
      <c r="D131" s="63" t="s">
        <v>226</v>
      </c>
      <c r="F131" s="200">
        <v>1816.3293445332881</v>
      </c>
      <c r="H131" s="200"/>
      <c r="K131" s="192">
        <f>_xlfn.IFNA(MATCH(J131,'Function Factors'!$B$9:$B$455,0),0)</f>
        <v>0</v>
      </c>
      <c r="L131" s="113">
        <f t="shared" si="52"/>
        <v>1816.3293445332881</v>
      </c>
      <c r="N131" s="91" t="s">
        <v>28</v>
      </c>
      <c r="O131" s="192">
        <f>_xlfn.IFNA(MATCH(N131,'Function Factors'!$B$9:$B$455,0),0)</f>
        <v>99</v>
      </c>
      <c r="P131" s="200">
        <f ca="1">OFFSET('Function Factors'!$B$9,$O131-1,P$14)*$L131+OFFSET('Function Factors'!$B$9,$K131-1,P$14)*$H131</f>
        <v>0</v>
      </c>
      <c r="R131" s="200">
        <f ca="1">OFFSET('Function Factors'!$B$9,$O131-1,R$14)*$L131+OFFSET('Function Factors'!$B$9,$K131-1,R$14)*$H131</f>
        <v>1816.3293445332881</v>
      </c>
      <c r="S131" s="200"/>
      <c r="T131" s="200">
        <f ca="1">OFFSET('Function Factors'!$B$9,$O131-1,T$14)*$L131+OFFSET('Function Factors'!$B$9,$K131-1,T$14)*$H131</f>
        <v>0</v>
      </c>
      <c r="U131" s="200"/>
      <c r="V131" s="200">
        <f ca="1">OFFSET('Function Factors'!$B$9,$O131-1,V$14)*$L131+OFFSET('Function Factors'!$B$9,$K131-1,V$14)*$H131</f>
        <v>0</v>
      </c>
      <c r="X131" s="200">
        <f t="shared" ca="1" si="66"/>
        <v>1816.3293445332881</v>
      </c>
      <c r="Z131" s="35" t="str">
        <f t="shared" ca="1" si="62"/>
        <v/>
      </c>
      <c r="AC131" s="235">
        <v>366.20012159340001</v>
      </c>
      <c r="AD131" s="62">
        <f t="shared" si="63"/>
        <v>0.20161548493150419</v>
      </c>
      <c r="AF131" s="8">
        <f t="shared" ca="1" si="56"/>
        <v>0</v>
      </c>
      <c r="AH131" s="8">
        <f t="shared" ca="1" si="57"/>
        <v>366.20012159340001</v>
      </c>
      <c r="AJ131" s="8">
        <f t="shared" ca="1" si="58"/>
        <v>0</v>
      </c>
      <c r="AL131" s="8">
        <f t="shared" ca="1" si="59"/>
        <v>0</v>
      </c>
      <c r="AN131" s="8">
        <f t="shared" ca="1" si="60"/>
        <v>366.20012159340001</v>
      </c>
    </row>
    <row r="132" spans="2:46" ht="13" x14ac:dyDescent="0.3">
      <c r="B132" s="28"/>
      <c r="D132" s="97" t="s">
        <v>9</v>
      </c>
      <c r="Z132" s="35" t="str">
        <f t="shared" si="62"/>
        <v/>
      </c>
      <c r="AF132" s="8"/>
      <c r="AH132" s="8"/>
      <c r="AJ132" s="8"/>
      <c r="AL132" s="8"/>
      <c r="AN132" s="8"/>
    </row>
    <row r="133" spans="2:46" ht="13" x14ac:dyDescent="0.3">
      <c r="B133" s="28">
        <f>B131+1</f>
        <v>79</v>
      </c>
      <c r="D133" s="97" t="s">
        <v>239</v>
      </c>
      <c r="F133" s="200">
        <v>3740.6240013717302</v>
      </c>
      <c r="K133" s="192">
        <f>_xlfn.IFNA(MATCH(J133,'Function Factors'!$B$9:$B$455,0),0)</f>
        <v>0</v>
      </c>
      <c r="L133" s="113">
        <f>F133-H133</f>
        <v>3740.6240013717302</v>
      </c>
      <c r="N133" s="91" t="s">
        <v>73</v>
      </c>
      <c r="O133" s="192">
        <f>_xlfn.IFNA(MATCH(N133,'Function Factors'!$B$9:$B$455,0),0)</f>
        <v>108</v>
      </c>
      <c r="P133" s="200">
        <f ca="1">OFFSET('Function Factors'!$B$9,$O133-1,P$14)*$L133+OFFSET('Function Factors'!$B$9,$K133-1,P$14)*$H133</f>
        <v>0</v>
      </c>
      <c r="R133" s="200">
        <f ca="1">OFFSET('Function Factors'!$B$9,$O133-1,R$14)*$L133+OFFSET('Function Factors'!$B$9,$K133-1,R$14)*$H133</f>
        <v>0</v>
      </c>
      <c r="S133" s="200"/>
      <c r="T133" s="200">
        <f ca="1">OFFSET('Function Factors'!$B$9,$O133-1,T$14)*$L133+OFFSET('Function Factors'!$B$9,$K133-1,T$14)*$H133</f>
        <v>3740.6240013717302</v>
      </c>
      <c r="U133" s="200"/>
      <c r="V133" s="200">
        <f ca="1">OFFSET('Function Factors'!$B$9,$O133-1,V$14)*$L133+OFFSET('Function Factors'!$B$9,$K133-1,V$14)*$H133</f>
        <v>0</v>
      </c>
      <c r="X133" s="200">
        <f t="shared" ref="X133:X136" ca="1" si="67">P133+R133+T133+V133</f>
        <v>3740.6240013717302</v>
      </c>
      <c r="Z133" s="35" t="str">
        <f t="shared" ca="1" si="62"/>
        <v/>
      </c>
      <c r="AC133" s="235">
        <v>1805.5576216432</v>
      </c>
      <c r="AD133" s="62">
        <f t="shared" ref="AD133:AD136" si="68">IFERROR(AC133/F133,0)</f>
        <v>0.48268888318662373</v>
      </c>
      <c r="AF133" s="8">
        <f t="shared" ca="1" si="56"/>
        <v>0</v>
      </c>
      <c r="AH133" s="8">
        <f t="shared" ca="1" si="57"/>
        <v>0</v>
      </c>
      <c r="AJ133" s="8">
        <f t="shared" ca="1" si="58"/>
        <v>1805.5576216432</v>
      </c>
      <c r="AL133" s="8">
        <f t="shared" ca="1" si="59"/>
        <v>0</v>
      </c>
      <c r="AN133" s="8">
        <f t="shared" ca="1" si="60"/>
        <v>1805.5576216432</v>
      </c>
    </row>
    <row r="134" spans="2:46" ht="13" x14ac:dyDescent="0.3">
      <c r="B134" s="28">
        <f>B133+1</f>
        <v>80</v>
      </c>
      <c r="D134" s="63" t="s">
        <v>227</v>
      </c>
      <c r="F134" s="200">
        <v>184.23818852302003</v>
      </c>
      <c r="H134" s="200"/>
      <c r="K134" s="192">
        <f>_xlfn.IFNA(MATCH(J134,'Function Factors'!$B$9:$B$455,0),0)</f>
        <v>0</v>
      </c>
      <c r="L134" s="113">
        <f t="shared" ref="L134:L136" si="69">F134-H134</f>
        <v>184.23818852302003</v>
      </c>
      <c r="N134" s="91" t="s">
        <v>73</v>
      </c>
      <c r="O134" s="192">
        <f>_xlfn.IFNA(MATCH(N134,'Function Factors'!$B$9:$B$455,0),0)</f>
        <v>108</v>
      </c>
      <c r="P134" s="200">
        <f ca="1">OFFSET('Function Factors'!$B$9,$O134-1,P$14)*$L134+OFFSET('Function Factors'!$B$9,$K134-1,P$14)*$H134</f>
        <v>0</v>
      </c>
      <c r="R134" s="200">
        <f ca="1">OFFSET('Function Factors'!$B$9,$O134-1,R$14)*$L134+OFFSET('Function Factors'!$B$9,$K134-1,R$14)*$H134</f>
        <v>0</v>
      </c>
      <c r="S134" s="200"/>
      <c r="T134" s="200">
        <f ca="1">OFFSET('Function Factors'!$B$9,$O134-1,T$14)*$L134+OFFSET('Function Factors'!$B$9,$K134-1,T$14)*$H134</f>
        <v>184.23818852302003</v>
      </c>
      <c r="U134" s="200"/>
      <c r="V134" s="200">
        <f ca="1">OFFSET('Function Factors'!$B$9,$O134-1,V$14)*$L134+OFFSET('Function Factors'!$B$9,$K134-1,V$14)*$H134</f>
        <v>0</v>
      </c>
      <c r="X134" s="200">
        <f t="shared" ca="1" si="67"/>
        <v>184.23818852302003</v>
      </c>
      <c r="Z134" s="35" t="str">
        <f t="shared" ca="1" si="62"/>
        <v/>
      </c>
      <c r="AC134" s="235">
        <v>131.92818852177001</v>
      </c>
      <c r="AD134" s="62">
        <f t="shared" si="68"/>
        <v>0.71607406466269052</v>
      </c>
      <c r="AF134" s="8">
        <f t="shared" ca="1" si="56"/>
        <v>0</v>
      </c>
      <c r="AH134" s="8">
        <f t="shared" ca="1" si="57"/>
        <v>0</v>
      </c>
      <c r="AJ134" s="8">
        <f t="shared" ca="1" si="58"/>
        <v>131.92818852177001</v>
      </c>
      <c r="AL134" s="8">
        <f t="shared" ca="1" si="59"/>
        <v>0</v>
      </c>
      <c r="AN134" s="8">
        <f t="shared" ca="1" si="60"/>
        <v>131.92818852177001</v>
      </c>
    </row>
    <row r="135" spans="2:46" ht="13" x14ac:dyDescent="0.3">
      <c r="B135" s="28">
        <f t="shared" ref="B135:B136" si="70">B134+1</f>
        <v>81</v>
      </c>
      <c r="D135" s="63" t="s">
        <v>224</v>
      </c>
      <c r="F135" s="200">
        <v>5613.0094337191604</v>
      </c>
      <c r="H135" s="200"/>
      <c r="K135" s="192">
        <f>_xlfn.IFNA(MATCH(J135,'Function Factors'!$B$9:$B$455,0),0)</f>
        <v>0</v>
      </c>
      <c r="L135" s="113">
        <f t="shared" si="69"/>
        <v>5613.0094337191604</v>
      </c>
      <c r="N135" s="91" t="s">
        <v>73</v>
      </c>
      <c r="O135" s="192">
        <f>_xlfn.IFNA(MATCH(N135,'Function Factors'!$B$9:$B$455,0),0)</f>
        <v>108</v>
      </c>
      <c r="P135" s="200">
        <f ca="1">OFFSET('Function Factors'!$B$9,$O135-1,P$14)*$L135+OFFSET('Function Factors'!$B$9,$K135-1,P$14)*$H135</f>
        <v>0</v>
      </c>
      <c r="R135" s="200">
        <f ca="1">OFFSET('Function Factors'!$B$9,$O135-1,R$14)*$L135+OFFSET('Function Factors'!$B$9,$K135-1,R$14)*$H135</f>
        <v>0</v>
      </c>
      <c r="S135" s="200"/>
      <c r="T135" s="200">
        <f ca="1">OFFSET('Function Factors'!$B$9,$O135-1,T$14)*$L135+OFFSET('Function Factors'!$B$9,$K135-1,T$14)*$H135</f>
        <v>5613.0094337191604</v>
      </c>
      <c r="U135" s="200"/>
      <c r="V135" s="200">
        <f ca="1">OFFSET('Function Factors'!$B$9,$O135-1,V$14)*$L135+OFFSET('Function Factors'!$B$9,$K135-1,V$14)*$H135</f>
        <v>0</v>
      </c>
      <c r="X135" s="200">
        <f t="shared" ca="1" si="67"/>
        <v>5613.0094337191604</v>
      </c>
      <c r="Z135" s="35" t="str">
        <f t="shared" ca="1" si="62"/>
        <v/>
      </c>
      <c r="AC135" s="235">
        <v>740.08452798859992</v>
      </c>
      <c r="AD135" s="62">
        <f t="shared" si="68"/>
        <v>0.13185164513401193</v>
      </c>
      <c r="AF135" s="8">
        <f t="shared" ca="1" si="56"/>
        <v>0</v>
      </c>
      <c r="AH135" s="8">
        <f t="shared" ca="1" si="57"/>
        <v>0</v>
      </c>
      <c r="AJ135" s="8">
        <f t="shared" ca="1" si="58"/>
        <v>740.08452798860003</v>
      </c>
      <c r="AL135" s="8">
        <f t="shared" ca="1" si="59"/>
        <v>0</v>
      </c>
      <c r="AN135" s="8">
        <f t="shared" ca="1" si="60"/>
        <v>740.08452798860003</v>
      </c>
    </row>
    <row r="136" spans="2:46" ht="13" x14ac:dyDescent="0.3">
      <c r="B136" s="28">
        <f t="shared" si="70"/>
        <v>82</v>
      </c>
      <c r="D136" s="63" t="s">
        <v>21</v>
      </c>
      <c r="F136" s="200">
        <v>2500.134475710754</v>
      </c>
      <c r="H136" s="200"/>
      <c r="K136" s="192">
        <f>_xlfn.IFNA(MATCH(J136,'Function Factors'!$B$9:$B$455,0),0)</f>
        <v>0</v>
      </c>
      <c r="L136" s="113">
        <f t="shared" si="69"/>
        <v>2500.134475710754</v>
      </c>
      <c r="N136" s="91" t="s">
        <v>73</v>
      </c>
      <c r="O136" s="192">
        <f>_xlfn.IFNA(MATCH(N136,'Function Factors'!$B$9:$B$455,0),0)</f>
        <v>108</v>
      </c>
      <c r="P136" s="200">
        <f ca="1">OFFSET('Function Factors'!$B$9,$O136-1,P$14)*$L136+OFFSET('Function Factors'!$B$9,$K136-1,P$14)*$H136</f>
        <v>0</v>
      </c>
      <c r="R136" s="200">
        <f ca="1">OFFSET('Function Factors'!$B$9,$O136-1,R$14)*$L136+OFFSET('Function Factors'!$B$9,$K136-1,R$14)*$H136</f>
        <v>0</v>
      </c>
      <c r="S136" s="200"/>
      <c r="T136" s="200">
        <f ca="1">OFFSET('Function Factors'!$B$9,$O136-1,T$14)*$L136+OFFSET('Function Factors'!$B$9,$K136-1,T$14)*$H136</f>
        <v>2500.134475710754</v>
      </c>
      <c r="U136" s="200"/>
      <c r="V136" s="200">
        <f ca="1">OFFSET('Function Factors'!$B$9,$O136-1,V$14)*$L136+OFFSET('Function Factors'!$B$9,$K136-1,V$14)*$H136</f>
        <v>0</v>
      </c>
      <c r="X136" s="200">
        <f t="shared" ca="1" si="67"/>
        <v>2500.134475710754</v>
      </c>
      <c r="Z136" s="35" t="str">
        <f t="shared" ca="1" si="62"/>
        <v/>
      </c>
      <c r="AC136" s="235">
        <v>1026.9737405468377</v>
      </c>
      <c r="AD136" s="62">
        <f t="shared" si="68"/>
        <v>0.41076740092345759</v>
      </c>
      <c r="AF136" s="8">
        <f t="shared" ca="1" si="56"/>
        <v>0</v>
      </c>
      <c r="AH136" s="8">
        <f t="shared" ca="1" si="57"/>
        <v>0</v>
      </c>
      <c r="AJ136" s="8">
        <f t="shared" ca="1" si="58"/>
        <v>1026.9737405468377</v>
      </c>
      <c r="AL136" s="8">
        <f t="shared" ca="1" si="59"/>
        <v>0</v>
      </c>
      <c r="AN136" s="8">
        <f t="shared" ca="1" si="60"/>
        <v>1026.9737405468377</v>
      </c>
    </row>
    <row r="137" spans="2:46" ht="13" x14ac:dyDescent="0.3">
      <c r="B137" s="28"/>
      <c r="D137" s="97" t="s">
        <v>10</v>
      </c>
      <c r="Z137" s="35" t="str">
        <f t="shared" si="62"/>
        <v/>
      </c>
      <c r="AD137" s="62"/>
      <c r="AF137" s="8"/>
      <c r="AH137" s="8"/>
      <c r="AJ137" s="8"/>
      <c r="AL137" s="8"/>
      <c r="AN137" s="8"/>
    </row>
    <row r="138" spans="2:46" ht="13" x14ac:dyDescent="0.3">
      <c r="B138" s="28">
        <f>B136+1</f>
        <v>83</v>
      </c>
      <c r="D138" s="97" t="s">
        <v>243</v>
      </c>
      <c r="F138" s="200">
        <v>10616.772187581613</v>
      </c>
      <c r="K138" s="192">
        <f>_xlfn.IFNA(MATCH(J138,'Function Factors'!$B$9:$B$455,0),0)</f>
        <v>0</v>
      </c>
      <c r="L138" s="113">
        <f t="shared" si="52"/>
        <v>10616.772187581613</v>
      </c>
      <c r="N138" s="91" t="s">
        <v>32</v>
      </c>
      <c r="O138" s="192">
        <f>_xlfn.IFNA(MATCH(N138,'Function Factors'!$B$9:$B$455,0),0)</f>
        <v>36</v>
      </c>
      <c r="P138" s="200">
        <f ca="1">OFFSET('Function Factors'!$B$9,$O138-1,P$14)*$L138+OFFSET('Function Factors'!$B$9,$K138-1,P$14)*$H138</f>
        <v>0</v>
      </c>
      <c r="R138" s="200">
        <f ca="1">OFFSET('Function Factors'!$B$9,$O138-1,R$14)*$L138+OFFSET('Function Factors'!$B$9,$K138-1,R$14)*$H138</f>
        <v>0</v>
      </c>
      <c r="S138" s="200"/>
      <c r="T138" s="200">
        <f ca="1">OFFSET('Function Factors'!$B$9,$O138-1,T$14)*$L138+OFFSET('Function Factors'!$B$9,$K138-1,T$14)*$H138</f>
        <v>0</v>
      </c>
      <c r="U138" s="200"/>
      <c r="V138" s="200">
        <f ca="1">OFFSET('Function Factors'!$B$9,$O138-1,V$14)*$L138+OFFSET('Function Factors'!$B$9,$K138-1,V$14)*$H138</f>
        <v>10616.772187581613</v>
      </c>
      <c r="X138" s="200">
        <f t="shared" ref="X138" ca="1" si="71">P138+R138+T138+V138</f>
        <v>10616.772187581613</v>
      </c>
      <c r="Z138" s="35" t="str">
        <f t="shared" ca="1" si="62"/>
        <v/>
      </c>
      <c r="AC138" s="235">
        <v>7329.8580613904187</v>
      </c>
      <c r="AD138" s="62">
        <f>IFERROR(AC138/F138,0)</f>
        <v>0.69040363039569763</v>
      </c>
      <c r="AF138" s="8">
        <f t="shared" ca="1" si="56"/>
        <v>0</v>
      </c>
      <c r="AH138" s="8">
        <f t="shared" ca="1" si="57"/>
        <v>0</v>
      </c>
      <c r="AJ138" s="8">
        <f t="shared" ca="1" si="58"/>
        <v>0</v>
      </c>
      <c r="AL138" s="8">
        <f t="shared" ca="1" si="59"/>
        <v>7329.8580613904187</v>
      </c>
      <c r="AN138" s="8">
        <f t="shared" ca="1" si="60"/>
        <v>7329.8580613904187</v>
      </c>
      <c r="AO138" s="15"/>
      <c r="AP138" s="15"/>
      <c r="AQ138" s="15"/>
      <c r="AR138" s="15"/>
      <c r="AS138" s="15"/>
      <c r="AT138" s="15"/>
    </row>
    <row r="139" spans="2:46" ht="13" x14ac:dyDescent="0.3">
      <c r="B139" s="28">
        <f>B138+1</f>
        <v>84</v>
      </c>
      <c r="D139" s="63" t="s">
        <v>229</v>
      </c>
      <c r="F139" s="200">
        <v>22130.98895566666</v>
      </c>
      <c r="H139" s="200"/>
      <c r="K139" s="192">
        <f>_xlfn.IFNA(MATCH(J139,'Function Factors'!$B$9:$B$455,0),0)</f>
        <v>0</v>
      </c>
      <c r="L139" s="113">
        <f t="shared" si="52"/>
        <v>22130.98895566666</v>
      </c>
      <c r="N139" s="91" t="s">
        <v>32</v>
      </c>
      <c r="O139" s="192">
        <f>_xlfn.IFNA(MATCH(N139,'Function Factors'!$B$9:$B$455,0),0)</f>
        <v>36</v>
      </c>
      <c r="P139" s="200">
        <f ca="1">OFFSET('Function Factors'!$B$9,$O139-1,P$14)*$L139+OFFSET('Function Factors'!$B$9,$K139-1,P$14)*$H139</f>
        <v>0</v>
      </c>
      <c r="R139" s="200">
        <f ca="1">OFFSET('Function Factors'!$B$9,$O139-1,R$14)*$L139+OFFSET('Function Factors'!$B$9,$K139-1,R$14)*$H139</f>
        <v>0</v>
      </c>
      <c r="S139" s="200"/>
      <c r="T139" s="200">
        <f ca="1">OFFSET('Function Factors'!$B$9,$O139-1,T$14)*$L139+OFFSET('Function Factors'!$B$9,$K139-1,T$14)*$H139</f>
        <v>0</v>
      </c>
      <c r="U139" s="200"/>
      <c r="V139" s="200">
        <f ca="1">OFFSET('Function Factors'!$B$9,$O139-1,V$14)*$L139+OFFSET('Function Factors'!$B$9,$K139-1,V$14)*$H139</f>
        <v>22130.98895566666</v>
      </c>
      <c r="X139" s="200">
        <f t="shared" ref="X139:X143" ca="1" si="72">P139+R139+T139+V139</f>
        <v>22130.98895566666</v>
      </c>
      <c r="Z139" s="35" t="str">
        <f t="shared" ca="1" si="62"/>
        <v/>
      </c>
      <c r="AC139" s="235">
        <v>5485.71519527688</v>
      </c>
      <c r="AD139" s="62">
        <f>IFERROR(AC139/F139,0)</f>
        <v>0.24787483317017595</v>
      </c>
      <c r="AF139" s="8">
        <f t="shared" ca="1" si="56"/>
        <v>0</v>
      </c>
      <c r="AH139" s="8">
        <f t="shared" ca="1" si="57"/>
        <v>0</v>
      </c>
      <c r="AJ139" s="8">
        <f t="shared" ca="1" si="58"/>
        <v>0</v>
      </c>
      <c r="AL139" s="8">
        <f t="shared" ca="1" si="59"/>
        <v>5485.71519527688</v>
      </c>
      <c r="AN139" s="8">
        <f t="shared" ca="1" si="60"/>
        <v>5485.71519527688</v>
      </c>
    </row>
    <row r="140" spans="2:46" ht="13" x14ac:dyDescent="0.3">
      <c r="B140" s="28">
        <f t="shared" ref="B140:B143" si="73">B139+1</f>
        <v>85</v>
      </c>
      <c r="D140" s="63" t="s">
        <v>203</v>
      </c>
      <c r="F140" s="200">
        <v>0</v>
      </c>
      <c r="H140" s="200"/>
      <c r="K140" s="192">
        <f>_xlfn.IFNA(MATCH(J140,'Function Factors'!$B$9:$B$455,0),0)</f>
        <v>0</v>
      </c>
      <c r="L140" s="113">
        <f t="shared" si="52"/>
        <v>0</v>
      </c>
      <c r="N140" s="91" t="s">
        <v>32</v>
      </c>
      <c r="O140" s="192">
        <f>_xlfn.IFNA(MATCH(N140,'Function Factors'!$B$9:$B$455,0),0)</f>
        <v>36</v>
      </c>
      <c r="P140" s="200">
        <f ca="1">OFFSET('Function Factors'!$B$9,$O140-1,P$14)*$L140+OFFSET('Function Factors'!$B$9,$K140-1,P$14)*$H140</f>
        <v>0</v>
      </c>
      <c r="R140" s="200">
        <f ca="1">OFFSET('Function Factors'!$B$9,$O140-1,R$14)*$L140+OFFSET('Function Factors'!$B$9,$K140-1,R$14)*$H140</f>
        <v>0</v>
      </c>
      <c r="S140" s="200"/>
      <c r="T140" s="200">
        <f ca="1">OFFSET('Function Factors'!$B$9,$O140-1,T$14)*$L140+OFFSET('Function Factors'!$B$9,$K140-1,T$14)*$H140</f>
        <v>0</v>
      </c>
      <c r="U140" s="200"/>
      <c r="V140" s="200">
        <f ca="1">OFFSET('Function Factors'!$B$9,$O140-1,V$14)*$L140+OFFSET('Function Factors'!$B$9,$K140-1,V$14)*$H140</f>
        <v>0</v>
      </c>
      <c r="X140" s="200">
        <f t="shared" ca="1" si="72"/>
        <v>0</v>
      </c>
      <c r="Z140" s="35" t="str">
        <f t="shared" ca="1" si="62"/>
        <v/>
      </c>
      <c r="AC140" s="235">
        <v>0</v>
      </c>
      <c r="AD140" s="62">
        <f t="shared" ref="AD140:AD143" si="74">IFERROR(AC140/F140,0)</f>
        <v>0</v>
      </c>
      <c r="AF140" s="8">
        <f t="shared" ca="1" si="56"/>
        <v>0</v>
      </c>
      <c r="AH140" s="8">
        <f t="shared" ca="1" si="57"/>
        <v>0</v>
      </c>
      <c r="AJ140" s="8">
        <f t="shared" ca="1" si="58"/>
        <v>0</v>
      </c>
      <c r="AL140" s="8">
        <f t="shared" ca="1" si="59"/>
        <v>0</v>
      </c>
      <c r="AN140" s="8">
        <f t="shared" ca="1" si="60"/>
        <v>0</v>
      </c>
    </row>
    <row r="141" spans="2:46" ht="13" x14ac:dyDescent="0.3">
      <c r="B141" s="28">
        <f t="shared" si="73"/>
        <v>86</v>
      </c>
      <c r="D141" s="63" t="s">
        <v>230</v>
      </c>
      <c r="F141" s="200">
        <v>59329.65715247715</v>
      </c>
      <c r="H141" s="200"/>
      <c r="K141" s="192">
        <f>_xlfn.IFNA(MATCH(J141,'Function Factors'!$B$9:$B$455,0),0)</f>
        <v>0</v>
      </c>
      <c r="L141" s="113">
        <f t="shared" si="52"/>
        <v>59329.65715247715</v>
      </c>
      <c r="N141" s="91" t="s">
        <v>32</v>
      </c>
      <c r="O141" s="192">
        <f>_xlfn.IFNA(MATCH(N141,'Function Factors'!$B$9:$B$455,0),0)</f>
        <v>36</v>
      </c>
      <c r="P141" s="200">
        <f ca="1">OFFSET('Function Factors'!$B$9,$O141-1,P$14)*$L141+OFFSET('Function Factors'!$B$9,$K141-1,P$14)*$H141</f>
        <v>0</v>
      </c>
      <c r="R141" s="200">
        <f ca="1">OFFSET('Function Factors'!$B$9,$O141-1,R$14)*$L141+OFFSET('Function Factors'!$B$9,$K141-1,R$14)*$H141</f>
        <v>0</v>
      </c>
      <c r="S141" s="200"/>
      <c r="T141" s="200">
        <f ca="1">OFFSET('Function Factors'!$B$9,$O141-1,T$14)*$L141+OFFSET('Function Factors'!$B$9,$K141-1,T$14)*$H141</f>
        <v>0</v>
      </c>
      <c r="U141" s="200"/>
      <c r="V141" s="200">
        <f ca="1">OFFSET('Function Factors'!$B$9,$O141-1,V$14)*$L141+OFFSET('Function Factors'!$B$9,$K141-1,V$14)*$H141</f>
        <v>59329.65715247715</v>
      </c>
      <c r="X141" s="200">
        <f t="shared" ca="1" si="72"/>
        <v>59329.65715247715</v>
      </c>
      <c r="Z141" s="35" t="str">
        <f t="shared" ca="1" si="62"/>
        <v/>
      </c>
      <c r="AC141" s="235">
        <v>20405.421374016114</v>
      </c>
      <c r="AD141" s="62">
        <f t="shared" si="74"/>
        <v>0.34393290562212764</v>
      </c>
      <c r="AF141" s="8">
        <f t="shared" ca="1" si="56"/>
        <v>0</v>
      </c>
      <c r="AH141" s="8">
        <f t="shared" ca="1" si="57"/>
        <v>0</v>
      </c>
      <c r="AJ141" s="8">
        <f t="shared" ca="1" si="58"/>
        <v>0</v>
      </c>
      <c r="AL141" s="8">
        <f t="shared" ca="1" si="59"/>
        <v>20405.421374016114</v>
      </c>
      <c r="AN141" s="8">
        <f t="shared" ca="1" si="60"/>
        <v>20405.421374016114</v>
      </c>
    </row>
    <row r="142" spans="2:46" ht="13" x14ac:dyDescent="0.3">
      <c r="B142" s="28">
        <f t="shared" si="73"/>
        <v>87</v>
      </c>
      <c r="D142" s="63" t="s">
        <v>21</v>
      </c>
      <c r="F142" s="200">
        <v>8901.2312001131213</v>
      </c>
      <c r="H142" s="200"/>
      <c r="K142" s="192">
        <f>_xlfn.IFNA(MATCH(J142,'Function Factors'!$B$9:$B$455,0),0)</f>
        <v>0</v>
      </c>
      <c r="L142" s="113">
        <f t="shared" si="52"/>
        <v>8901.2312001131213</v>
      </c>
      <c r="N142" s="91" t="s">
        <v>32</v>
      </c>
      <c r="O142" s="192">
        <f>_xlfn.IFNA(MATCH(N142,'Function Factors'!$B$9:$B$455,0),0)</f>
        <v>36</v>
      </c>
      <c r="P142" s="200">
        <f ca="1">OFFSET('Function Factors'!$B$9,$O142-1,P$14)*$L142+OFFSET('Function Factors'!$B$9,$K142-1,P$14)*$H142</f>
        <v>0</v>
      </c>
      <c r="R142" s="200">
        <f ca="1">OFFSET('Function Factors'!$B$9,$O142-1,R$14)*$L142+OFFSET('Function Factors'!$B$9,$K142-1,R$14)*$H142</f>
        <v>0</v>
      </c>
      <c r="S142" s="200"/>
      <c r="T142" s="200">
        <f ca="1">OFFSET('Function Factors'!$B$9,$O142-1,T$14)*$L142+OFFSET('Function Factors'!$B$9,$K142-1,T$14)*$H142</f>
        <v>0</v>
      </c>
      <c r="U142" s="200"/>
      <c r="V142" s="200">
        <f ca="1">OFFSET('Function Factors'!$B$9,$O142-1,V$14)*$L142+OFFSET('Function Factors'!$B$9,$K142-1,V$14)*$H142</f>
        <v>8901.2312001131213</v>
      </c>
      <c r="X142" s="200">
        <f t="shared" ca="1" si="72"/>
        <v>8901.2312001131213</v>
      </c>
      <c r="Z142" s="35" t="str">
        <f t="shared" ca="1" si="62"/>
        <v/>
      </c>
      <c r="AC142" s="235">
        <v>4222.653922803057</v>
      </c>
      <c r="AD142" s="62">
        <f t="shared" si="74"/>
        <v>0.47438987122920628</v>
      </c>
      <c r="AF142" s="8">
        <f t="shared" ca="1" si="56"/>
        <v>0</v>
      </c>
      <c r="AH142" s="8">
        <f t="shared" ca="1" si="57"/>
        <v>0</v>
      </c>
      <c r="AJ142" s="8">
        <f t="shared" ca="1" si="58"/>
        <v>0</v>
      </c>
      <c r="AL142" s="8">
        <f t="shared" ca="1" si="59"/>
        <v>4222.653922803057</v>
      </c>
      <c r="AN142" s="8">
        <f t="shared" ca="1" si="60"/>
        <v>4222.653922803057</v>
      </c>
    </row>
    <row r="143" spans="2:46" ht="13" x14ac:dyDescent="0.3">
      <c r="B143" s="28">
        <f t="shared" si="73"/>
        <v>88</v>
      </c>
      <c r="D143" s="63" t="s">
        <v>231</v>
      </c>
      <c r="F143" s="200">
        <v>352.78073788360939</v>
      </c>
      <c r="H143" s="200"/>
      <c r="K143" s="192">
        <f>_xlfn.IFNA(MATCH(J143,'Function Factors'!$B$9:$B$455,0),0)</f>
        <v>0</v>
      </c>
      <c r="L143" s="113">
        <f t="shared" si="52"/>
        <v>352.78073788360939</v>
      </c>
      <c r="N143" s="91" t="s">
        <v>32</v>
      </c>
      <c r="O143" s="192">
        <f>_xlfn.IFNA(MATCH(N143,'Function Factors'!$B$9:$B$455,0),0)</f>
        <v>36</v>
      </c>
      <c r="P143" s="200">
        <f ca="1">OFFSET('Function Factors'!$B$9,$O143-1,P$14)*$L143+OFFSET('Function Factors'!$B$9,$K143-1,P$14)*$H143</f>
        <v>0</v>
      </c>
      <c r="R143" s="200">
        <f ca="1">OFFSET('Function Factors'!$B$9,$O143-1,R$14)*$L143+OFFSET('Function Factors'!$B$9,$K143-1,R$14)*$H143</f>
        <v>0</v>
      </c>
      <c r="S143" s="200"/>
      <c r="T143" s="200">
        <f ca="1">OFFSET('Function Factors'!$B$9,$O143-1,T$14)*$L143+OFFSET('Function Factors'!$B$9,$K143-1,T$14)*$H143</f>
        <v>0</v>
      </c>
      <c r="U143" s="200"/>
      <c r="V143" s="200">
        <f ca="1">OFFSET('Function Factors'!$B$9,$O143-1,V$14)*$L143+OFFSET('Function Factors'!$B$9,$K143-1,V$14)*$H143</f>
        <v>352.78073788360939</v>
      </c>
      <c r="X143" s="200">
        <f t="shared" ca="1" si="72"/>
        <v>352.78073788360939</v>
      </c>
      <c r="Z143" s="35" t="str">
        <f t="shared" ca="1" si="62"/>
        <v/>
      </c>
      <c r="AC143" s="235">
        <v>165.61362128320948</v>
      </c>
      <c r="AD143" s="62">
        <f t="shared" si="74"/>
        <v>0.46945199524427916</v>
      </c>
      <c r="AF143" s="8">
        <f t="shared" ca="1" si="56"/>
        <v>0</v>
      </c>
      <c r="AH143" s="8">
        <f t="shared" ca="1" si="57"/>
        <v>0</v>
      </c>
      <c r="AJ143" s="8">
        <f t="shared" ca="1" si="58"/>
        <v>0</v>
      </c>
      <c r="AL143" s="8">
        <f t="shared" ca="1" si="59"/>
        <v>165.61362128320948</v>
      </c>
      <c r="AN143" s="8">
        <f t="shared" ca="1" si="60"/>
        <v>165.61362128320948</v>
      </c>
    </row>
    <row r="144" spans="2:46" ht="13" x14ac:dyDescent="0.3">
      <c r="B144" s="28"/>
      <c r="D144" s="97" t="s">
        <v>232</v>
      </c>
      <c r="J144" s="94"/>
      <c r="Z144" s="35" t="str">
        <f t="shared" si="62"/>
        <v/>
      </c>
      <c r="AF144" s="8"/>
      <c r="AH144" s="8"/>
      <c r="AJ144" s="8"/>
      <c r="AL144" s="8"/>
      <c r="AN144" s="8"/>
    </row>
    <row r="145" spans="2:40" ht="13" x14ac:dyDescent="0.3">
      <c r="B145" s="28">
        <f>B143+1</f>
        <v>89</v>
      </c>
      <c r="D145" s="63" t="s">
        <v>233</v>
      </c>
      <c r="F145" s="200">
        <v>197654.2230046961</v>
      </c>
      <c r="H145" s="113">
        <f ca="1">IF(K145&lt;&gt;0,OFFSET('Function Factors'!$A$8,$K145-1,3),0)</f>
        <v>2940.7050695282501</v>
      </c>
      <c r="J145" s="91" t="s">
        <v>397</v>
      </c>
      <c r="K145" s="192">
        <f>_xlfn.IFNA(MATCH(J145,'Function Factors'!$B$9:$B$455,0),0)</f>
        <v>15</v>
      </c>
      <c r="L145" s="113">
        <f t="shared" ca="1" si="52"/>
        <v>194713.51793516785</v>
      </c>
      <c r="N145" s="91" t="s">
        <v>141</v>
      </c>
      <c r="O145" s="192">
        <f>_xlfn.IFNA(MATCH(N145,'Function Factors'!$B$9:$B$455,0),0)</f>
        <v>42</v>
      </c>
      <c r="P145" s="200">
        <f ca="1">OFFSET('Function Factors'!$B$9,$O145-1,P$14)*$L145+OFFSET('Function Factors'!$B$9,$K145-1,P$14)*$H145</f>
        <v>2546.4739944630078</v>
      </c>
      <c r="R145" s="200">
        <f ca="1">OFFSET('Function Factors'!$B$9,$O145-1,R$14)*$L145+OFFSET('Function Factors'!$B$9,$K145-1,R$14)*$H145</f>
        <v>7271.6222767735126</v>
      </c>
      <c r="S145" s="200"/>
      <c r="T145" s="200">
        <f ca="1">OFFSET('Function Factors'!$B$9,$O145-1,T$14)*$L145+OFFSET('Function Factors'!$B$9,$K145-1,T$14)*$H145</f>
        <v>17848.649151574664</v>
      </c>
      <c r="U145" s="200"/>
      <c r="V145" s="200">
        <f ca="1">OFFSET('Function Factors'!$B$9,$O145-1,V$14)*$L145+OFFSET('Function Factors'!$B$9,$K145-1,V$14)*$H145</f>
        <v>169987.47758188492</v>
      </c>
      <c r="X145" s="200">
        <f t="shared" ref="X145" ca="1" si="75">P145+R145+T145+V145</f>
        <v>197654.2230046961</v>
      </c>
      <c r="Z145" s="35" t="str">
        <f t="shared" ca="1" si="62"/>
        <v/>
      </c>
      <c r="AC145" s="235">
        <v>81707.999598993221</v>
      </c>
      <c r="AD145" s="62">
        <f>IFERROR(AC145/F145,0)</f>
        <v>0.41338858516092469</v>
      </c>
      <c r="AF145" s="8">
        <f ca="1">$AD145*P145</f>
        <v>1052.6832817201512</v>
      </c>
      <c r="AH145" s="8">
        <f t="shared" ca="1" si="57"/>
        <v>3006.0056448200644</v>
      </c>
      <c r="AJ145" s="8">
        <f t="shared" ca="1" si="58"/>
        <v>7378.4278198031889</v>
      </c>
      <c r="AL145" s="8">
        <f t="shared" ca="1" si="59"/>
        <v>70270.882852649811</v>
      </c>
      <c r="AN145" s="8">
        <f t="shared" ca="1" si="60"/>
        <v>81707.999598993221</v>
      </c>
    </row>
    <row r="146" spans="2:40" ht="13" x14ac:dyDescent="0.3">
      <c r="B146" s="28"/>
      <c r="D146" s="97" t="s">
        <v>234</v>
      </c>
      <c r="Z146" s="35" t="str">
        <f t="shared" si="62"/>
        <v/>
      </c>
      <c r="AF146" s="8"/>
      <c r="AH146" s="8"/>
      <c r="AJ146" s="8"/>
      <c r="AL146" s="8"/>
      <c r="AN146" s="8"/>
    </row>
    <row r="147" spans="2:40" ht="13" x14ac:dyDescent="0.3">
      <c r="B147" s="28">
        <f>B145+1</f>
        <v>90</v>
      </c>
      <c r="D147" s="63" t="s">
        <v>202</v>
      </c>
      <c r="F147" s="200">
        <v>11615.53513385792</v>
      </c>
      <c r="H147" s="200"/>
      <c r="K147" s="192">
        <f>_xlfn.IFNA(MATCH(J147,'Function Factors'!$B$9:$B$455,0),0)</f>
        <v>0</v>
      </c>
      <c r="L147" s="113">
        <f t="shared" si="52"/>
        <v>11615.53513385792</v>
      </c>
      <c r="N147" s="91" t="s">
        <v>32</v>
      </c>
      <c r="O147" s="192">
        <f>_xlfn.IFNA(MATCH(N147,'Function Factors'!$B$9:$B$455,0),0)</f>
        <v>36</v>
      </c>
      <c r="P147" s="200">
        <f ca="1">OFFSET('Function Factors'!$B$9,$O147-1,P$14)*$L147+OFFSET('Function Factors'!$B$9,$K147-1,P$14)*$H147</f>
        <v>0</v>
      </c>
      <c r="R147" s="200">
        <f ca="1">OFFSET('Function Factors'!$B$9,$O147-1,R$14)*$L147+OFFSET('Function Factors'!$B$9,$K147-1,R$14)*$H147</f>
        <v>0</v>
      </c>
      <c r="S147" s="200"/>
      <c r="T147" s="200">
        <f ca="1">OFFSET('Function Factors'!$B$9,$O147-1,T$14)*$L147+OFFSET('Function Factors'!$B$9,$K147-1,T$14)*$H147</f>
        <v>0</v>
      </c>
      <c r="U147" s="200"/>
      <c r="V147" s="200">
        <f ca="1">OFFSET('Function Factors'!$B$9,$O147-1,V$14)*$L147+OFFSET('Function Factors'!$B$9,$K147-1,V$14)*$H147</f>
        <v>11615.53513385792</v>
      </c>
      <c r="X147" s="200">
        <f t="shared" ref="X147:X149" ca="1" si="76">P147+R147+T147+V147</f>
        <v>11615.53513385792</v>
      </c>
      <c r="Z147" s="35" t="str">
        <f t="shared" ca="1" si="62"/>
        <v/>
      </c>
      <c r="AC147" s="235">
        <v>7823.0581031571392</v>
      </c>
      <c r="AD147" s="62">
        <f t="shared" ref="AD147:AD149" si="77">IFERROR(AC147/F147,0)</f>
        <v>0.67349958594278136</v>
      </c>
      <c r="AF147" s="8">
        <f t="shared" ca="1" si="56"/>
        <v>0</v>
      </c>
      <c r="AH147" s="8">
        <f t="shared" ca="1" si="57"/>
        <v>0</v>
      </c>
      <c r="AJ147" s="8">
        <f t="shared" ca="1" si="58"/>
        <v>0</v>
      </c>
      <c r="AL147" s="8">
        <f t="shared" ca="1" si="59"/>
        <v>7823.0581031571392</v>
      </c>
      <c r="AN147" s="8">
        <f t="shared" ca="1" si="60"/>
        <v>7823.0581031571392</v>
      </c>
    </row>
    <row r="148" spans="2:40" ht="13" x14ac:dyDescent="0.3">
      <c r="B148" s="28">
        <f>B147+1</f>
        <v>91</v>
      </c>
      <c r="D148" s="63" t="s">
        <v>145</v>
      </c>
      <c r="F148" s="200">
        <v>144347.57149315687</v>
      </c>
      <c r="H148" s="200"/>
      <c r="K148" s="192">
        <f>_xlfn.IFNA(MATCH(J148,'Function Factors'!$B$9:$B$455,0),0)</f>
        <v>0</v>
      </c>
      <c r="L148" s="113">
        <f t="shared" si="52"/>
        <v>144347.57149315687</v>
      </c>
      <c r="N148" s="91" t="s">
        <v>32</v>
      </c>
      <c r="O148" s="192">
        <f>_xlfn.IFNA(MATCH(N148,'Function Factors'!$B$9:$B$455,0),0)</f>
        <v>36</v>
      </c>
      <c r="P148" s="200">
        <f ca="1">OFFSET('Function Factors'!$B$9,$O148-1,P$14)*$L148+OFFSET('Function Factors'!$B$9,$K148-1,P$14)*$H148</f>
        <v>0</v>
      </c>
      <c r="R148" s="200">
        <f ca="1">OFFSET('Function Factors'!$B$9,$O148-1,R$14)*$L148+OFFSET('Function Factors'!$B$9,$K148-1,R$14)*$H148</f>
        <v>0</v>
      </c>
      <c r="S148" s="200"/>
      <c r="T148" s="200">
        <f ca="1">OFFSET('Function Factors'!$B$9,$O148-1,T$14)*$L148+OFFSET('Function Factors'!$B$9,$K148-1,T$14)*$H148</f>
        <v>0</v>
      </c>
      <c r="U148" s="200"/>
      <c r="V148" s="200">
        <f ca="1">OFFSET('Function Factors'!$B$9,$O148-1,V$14)*$L148+OFFSET('Function Factors'!$B$9,$K148-1,V$14)*$H148</f>
        <v>144347.57149315687</v>
      </c>
      <c r="X148" s="200">
        <f t="shared" ca="1" si="76"/>
        <v>144347.57149315687</v>
      </c>
      <c r="Z148" s="35" t="str">
        <f t="shared" ca="1" si="62"/>
        <v/>
      </c>
      <c r="AC148" s="235">
        <v>0</v>
      </c>
      <c r="AD148" s="62">
        <f t="shared" si="77"/>
        <v>0</v>
      </c>
      <c r="AF148" s="8">
        <f t="shared" ca="1" si="56"/>
        <v>0</v>
      </c>
      <c r="AH148" s="8">
        <f t="shared" ca="1" si="57"/>
        <v>0</v>
      </c>
      <c r="AJ148" s="8">
        <f t="shared" ca="1" si="58"/>
        <v>0</v>
      </c>
      <c r="AL148" s="8">
        <f t="shared" ca="1" si="59"/>
        <v>0</v>
      </c>
      <c r="AN148" s="8">
        <f t="shared" ca="1" si="60"/>
        <v>0</v>
      </c>
    </row>
    <row r="149" spans="2:40" ht="13" x14ac:dyDescent="0.3">
      <c r="B149" s="28">
        <f t="shared" ref="B149" si="78">B148+1</f>
        <v>92</v>
      </c>
      <c r="D149" s="63" t="s">
        <v>235</v>
      </c>
      <c r="F149" s="200">
        <v>30706.695595808786</v>
      </c>
      <c r="H149" s="200"/>
      <c r="K149" s="192">
        <f>_xlfn.IFNA(MATCH(J149,'Function Factors'!$B$9:$B$455,0),0)</f>
        <v>0</v>
      </c>
      <c r="L149" s="113">
        <f t="shared" si="52"/>
        <v>30706.695595808786</v>
      </c>
      <c r="N149" s="91" t="s">
        <v>32</v>
      </c>
      <c r="O149" s="192">
        <f>_xlfn.IFNA(MATCH(N149,'Function Factors'!$B$9:$B$455,0),0)</f>
        <v>36</v>
      </c>
      <c r="P149" s="200">
        <f ca="1">OFFSET('Function Factors'!$B$9,$O149-1,P$14)*$L149+OFFSET('Function Factors'!$B$9,$K149-1,P$14)*$H149</f>
        <v>0</v>
      </c>
      <c r="R149" s="200">
        <f ca="1">OFFSET('Function Factors'!$B$9,$O149-1,R$14)*$L149+OFFSET('Function Factors'!$B$9,$K149-1,R$14)*$H149</f>
        <v>0</v>
      </c>
      <c r="S149" s="200"/>
      <c r="T149" s="200">
        <f ca="1">OFFSET('Function Factors'!$B$9,$O149-1,T$14)*$L149+OFFSET('Function Factors'!$B$9,$K149-1,T$14)*$H149</f>
        <v>0</v>
      </c>
      <c r="U149" s="200"/>
      <c r="V149" s="200">
        <f ca="1">OFFSET('Function Factors'!$B$9,$O149-1,V$14)*$L149+OFFSET('Function Factors'!$B$9,$K149-1,V$14)*$H149</f>
        <v>30706.695595808786</v>
      </c>
      <c r="X149" s="200">
        <f t="shared" ca="1" si="76"/>
        <v>30706.695595808786</v>
      </c>
      <c r="Z149" s="35" t="str">
        <f t="shared" ca="1" si="62"/>
        <v/>
      </c>
      <c r="AC149" s="235">
        <v>18121.6757442331</v>
      </c>
      <c r="AD149" s="62">
        <f t="shared" si="77"/>
        <v>0.59015388639559641</v>
      </c>
      <c r="AF149" s="8">
        <f t="shared" ca="1" si="56"/>
        <v>0</v>
      </c>
      <c r="AH149" s="8">
        <f t="shared" ca="1" si="57"/>
        <v>0</v>
      </c>
      <c r="AJ149" s="8">
        <f t="shared" ca="1" si="58"/>
        <v>0</v>
      </c>
      <c r="AL149" s="8">
        <f t="shared" ca="1" si="59"/>
        <v>18121.6757442331</v>
      </c>
      <c r="AN149" s="8">
        <f t="shared" ca="1" si="60"/>
        <v>18121.6757442331</v>
      </c>
    </row>
    <row r="150" spans="2:40" ht="13" x14ac:dyDescent="0.3">
      <c r="B150" s="28"/>
      <c r="D150" s="97" t="s">
        <v>72</v>
      </c>
      <c r="Z150" s="35" t="str">
        <f t="shared" si="62"/>
        <v/>
      </c>
      <c r="AF150" s="8"/>
      <c r="AH150" s="8"/>
      <c r="AJ150" s="8"/>
      <c r="AL150" s="8"/>
      <c r="AN150" s="8"/>
    </row>
    <row r="151" spans="2:40" ht="13" x14ac:dyDescent="0.3">
      <c r="B151" s="28">
        <f>B149+1</f>
        <v>93</v>
      </c>
      <c r="D151" s="63" t="s">
        <v>196</v>
      </c>
      <c r="F151" s="200">
        <v>4294.5103658632952</v>
      </c>
      <c r="H151" s="113">
        <f ca="1">IF(K151&lt;&gt;0,OFFSET('Function Factors'!$A$8,$K151-1,3),0)</f>
        <v>1708.3898809221498</v>
      </c>
      <c r="J151" s="91" t="s">
        <v>177</v>
      </c>
      <c r="K151" s="192">
        <f>_xlfn.IFNA(MATCH(J151,'Function Factors'!$B$9:$B$455,0),0)</f>
        <v>9</v>
      </c>
      <c r="L151" s="113">
        <f ca="1">F151-H151</f>
        <v>2586.1204849411452</v>
      </c>
      <c r="N151" s="91" t="s">
        <v>32</v>
      </c>
      <c r="O151" s="192">
        <f>_xlfn.IFNA(MATCH(N151,'Function Factors'!$B$9:$B$455,0),0)</f>
        <v>36</v>
      </c>
      <c r="P151" s="200">
        <f ca="1">OFFSET('Function Factors'!$B$9,$O151-1,P$14)*$L151+OFFSET('Function Factors'!$B$9,$K151-1,P$14)*$H151</f>
        <v>1295.4715209674002</v>
      </c>
      <c r="R151" s="200">
        <f ca="1">OFFSET('Function Factors'!$B$9,$O151-1,R$14)*$L151+OFFSET('Function Factors'!$B$9,$K151-1,R$14)*$H151</f>
        <v>0</v>
      </c>
      <c r="S151" s="200"/>
      <c r="T151" s="200">
        <f ca="1">OFFSET('Function Factors'!$B$9,$O151-1,T$14)*$L151+OFFSET('Function Factors'!$B$9,$K151-1,T$14)*$H151</f>
        <v>0</v>
      </c>
      <c r="U151" s="200"/>
      <c r="V151" s="200">
        <f ca="1">OFFSET('Function Factors'!$B$9,$O151-1,V$14)*$L151+OFFSET('Function Factors'!$B$9,$K151-1,V$14)*$H151</f>
        <v>2999.0388448958947</v>
      </c>
      <c r="X151" s="200">
        <f t="shared" ref="X151:X157" ca="1" si="79">P151+R151+T151+V151</f>
        <v>4294.5103658632952</v>
      </c>
      <c r="Z151" s="35" t="str">
        <f t="shared" ca="1" si="62"/>
        <v/>
      </c>
      <c r="AC151" s="235">
        <v>4273.2481020128562</v>
      </c>
      <c r="AD151" s="62">
        <f t="shared" ref="AD151:AD157" si="80">IFERROR(AC151/F151,0)</f>
        <v>0.99504896669491105</v>
      </c>
      <c r="AF151" s="8">
        <f t="shared" ca="1" si="56"/>
        <v>1289.0575983212964</v>
      </c>
      <c r="AH151" s="8">
        <f t="shared" ca="1" si="57"/>
        <v>0</v>
      </c>
      <c r="AJ151" s="8">
        <f t="shared" ca="1" si="58"/>
        <v>0</v>
      </c>
      <c r="AL151" s="8">
        <f t="shared" ca="1" si="59"/>
        <v>2984.1905036915596</v>
      </c>
      <c r="AN151" s="8">
        <f t="shared" ca="1" si="60"/>
        <v>4273.2481020128562</v>
      </c>
    </row>
    <row r="152" spans="2:40" ht="13" x14ac:dyDescent="0.3">
      <c r="B152" s="28">
        <f>B151+1</f>
        <v>94</v>
      </c>
      <c r="D152" s="63" t="s">
        <v>236</v>
      </c>
      <c r="F152" s="200">
        <v>19535.319138357758</v>
      </c>
      <c r="H152" s="200"/>
      <c r="K152" s="192">
        <f>_xlfn.IFNA(MATCH(J152,'Function Factors'!$B$9:$B$455,0),0)</f>
        <v>0</v>
      </c>
      <c r="L152" s="113">
        <f t="shared" ref="L152:L156" si="81">F152-H152</f>
        <v>19535.319138357758</v>
      </c>
      <c r="N152" s="91" t="s">
        <v>32</v>
      </c>
      <c r="O152" s="192">
        <f>_xlfn.IFNA(MATCH(N152,'Function Factors'!$B$9:$B$455,0),0)</f>
        <v>36</v>
      </c>
      <c r="P152" s="200">
        <f ca="1">OFFSET('Function Factors'!$B$9,$O152-1,P$14)*$L152+OFFSET('Function Factors'!$B$9,$K152-1,P$14)*$H152</f>
        <v>0</v>
      </c>
      <c r="R152" s="200">
        <f ca="1">OFFSET('Function Factors'!$B$9,$O152-1,R$14)*$L152+OFFSET('Function Factors'!$B$9,$K152-1,R$14)*$H152</f>
        <v>0</v>
      </c>
      <c r="S152" s="200"/>
      <c r="T152" s="200">
        <f ca="1">OFFSET('Function Factors'!$B$9,$O152-1,T$14)*$L152+OFFSET('Function Factors'!$B$9,$K152-1,T$14)*$H152</f>
        <v>0</v>
      </c>
      <c r="U152" s="200"/>
      <c r="V152" s="200">
        <f ca="1">OFFSET('Function Factors'!$B$9,$O152-1,V$14)*$L152+OFFSET('Function Factors'!$B$9,$K152-1,V$14)*$H152</f>
        <v>19535.319138357758</v>
      </c>
      <c r="X152" s="200">
        <f t="shared" ca="1" si="79"/>
        <v>19535.319138357758</v>
      </c>
      <c r="Z152" s="35" t="str">
        <f t="shared" ca="1" si="62"/>
        <v/>
      </c>
      <c r="AC152" s="235">
        <v>8208.9423951896006</v>
      </c>
      <c r="AD152" s="62">
        <f t="shared" si="80"/>
        <v>0.42021030406773724</v>
      </c>
      <c r="AF152" s="8">
        <f t="shared" ca="1" si="56"/>
        <v>0</v>
      </c>
      <c r="AH152" s="8">
        <f t="shared" ca="1" si="57"/>
        <v>0</v>
      </c>
      <c r="AJ152" s="8">
        <f t="shared" ca="1" si="58"/>
        <v>0</v>
      </c>
      <c r="AL152" s="8">
        <f t="shared" ca="1" si="59"/>
        <v>8208.9423951896006</v>
      </c>
      <c r="AN152" s="8">
        <f t="shared" ca="1" si="60"/>
        <v>8208.9423951896006</v>
      </c>
    </row>
    <row r="153" spans="2:40" ht="13" x14ac:dyDescent="0.3">
      <c r="B153" s="28">
        <f>B152+1</f>
        <v>95</v>
      </c>
      <c r="D153" s="63" t="s">
        <v>197</v>
      </c>
      <c r="F153" s="200">
        <v>23437.232127810334</v>
      </c>
      <c r="H153" s="200"/>
      <c r="K153" s="192">
        <f>_xlfn.IFNA(MATCH(J153,'Function Factors'!$B$9:$B$455,0),0)</f>
        <v>0</v>
      </c>
      <c r="L153" s="113">
        <f t="shared" si="81"/>
        <v>23437.232127810334</v>
      </c>
      <c r="N153" s="91" t="s">
        <v>32</v>
      </c>
      <c r="O153" s="192">
        <f>_xlfn.IFNA(MATCH(N153,'Function Factors'!$B$9:$B$455,0),0)</f>
        <v>36</v>
      </c>
      <c r="P153" s="200">
        <f ca="1">OFFSET('Function Factors'!$B$9,$O153-1,P$14)*$L153+OFFSET('Function Factors'!$B$9,$K153-1,P$14)*$H153</f>
        <v>0</v>
      </c>
      <c r="R153" s="200">
        <f ca="1">OFFSET('Function Factors'!$B$9,$O153-1,R$14)*$L153+OFFSET('Function Factors'!$B$9,$K153-1,R$14)*$H153</f>
        <v>0</v>
      </c>
      <c r="S153" s="200"/>
      <c r="T153" s="200">
        <f ca="1">OFFSET('Function Factors'!$B$9,$O153-1,T$14)*$L153+OFFSET('Function Factors'!$B$9,$K153-1,T$14)*$H153</f>
        <v>0</v>
      </c>
      <c r="U153" s="200"/>
      <c r="V153" s="200">
        <f ca="1">OFFSET('Function Factors'!$B$9,$O153-1,V$14)*$L153+OFFSET('Function Factors'!$B$9,$K153-1,V$14)*$H153</f>
        <v>23437.232127810334</v>
      </c>
      <c r="X153" s="200">
        <f t="shared" ca="1" si="79"/>
        <v>23437.232127810334</v>
      </c>
      <c r="Z153" s="35" t="str">
        <f t="shared" ca="1" si="62"/>
        <v/>
      </c>
      <c r="AC153" s="235">
        <v>430.97034567832998</v>
      </c>
      <c r="AD153" s="62">
        <f t="shared" si="80"/>
        <v>1.8388278245832015E-2</v>
      </c>
      <c r="AF153" s="8">
        <f t="shared" ca="1" si="56"/>
        <v>0</v>
      </c>
      <c r="AH153" s="8">
        <f t="shared" ca="1" si="57"/>
        <v>0</v>
      </c>
      <c r="AJ153" s="8">
        <f t="shared" ca="1" si="58"/>
        <v>0</v>
      </c>
      <c r="AL153" s="8">
        <f t="shared" ca="1" si="59"/>
        <v>430.97034567832998</v>
      </c>
      <c r="AN153" s="8">
        <f t="shared" ca="1" si="60"/>
        <v>430.97034567832998</v>
      </c>
    </row>
    <row r="154" spans="2:40" ht="13" x14ac:dyDescent="0.3">
      <c r="B154" s="28">
        <f t="shared" ref="B154:B157" si="82">B153+1</f>
        <v>96</v>
      </c>
      <c r="D154" s="63" t="s">
        <v>198</v>
      </c>
      <c r="F154" s="200">
        <v>47499.389818864729</v>
      </c>
      <c r="H154" s="200"/>
      <c r="K154" s="192">
        <f>_xlfn.IFNA(MATCH(J154,'Function Factors'!$B$9:$B$455,0),0)</f>
        <v>0</v>
      </c>
      <c r="L154" s="113">
        <f t="shared" si="81"/>
        <v>47499.389818864729</v>
      </c>
      <c r="N154" s="91" t="s">
        <v>32</v>
      </c>
      <c r="O154" s="192">
        <f>_xlfn.IFNA(MATCH(N154,'Function Factors'!$B$9:$B$455,0),0)</f>
        <v>36</v>
      </c>
      <c r="P154" s="200">
        <f ca="1">OFFSET('Function Factors'!$B$9,$O154-1,P$14)*$L154+OFFSET('Function Factors'!$B$9,$K154-1,P$14)*$H154</f>
        <v>0</v>
      </c>
      <c r="R154" s="200">
        <f ca="1">OFFSET('Function Factors'!$B$9,$O154-1,R$14)*$L154+OFFSET('Function Factors'!$B$9,$K154-1,R$14)*$H154</f>
        <v>0</v>
      </c>
      <c r="S154" s="200"/>
      <c r="T154" s="200">
        <f ca="1">OFFSET('Function Factors'!$B$9,$O154-1,T$14)*$L154+OFFSET('Function Factors'!$B$9,$K154-1,T$14)*$H154</f>
        <v>0</v>
      </c>
      <c r="U154" s="200"/>
      <c r="V154" s="200">
        <f ca="1">OFFSET('Function Factors'!$B$9,$O154-1,V$14)*$L154+OFFSET('Function Factors'!$B$9,$K154-1,V$14)*$H154</f>
        <v>47499.389818864729</v>
      </c>
      <c r="X154" s="200">
        <f t="shared" ca="1" si="79"/>
        <v>47499.389818864729</v>
      </c>
      <c r="Z154" s="35" t="str">
        <f t="shared" ca="1" si="62"/>
        <v/>
      </c>
      <c r="AC154" s="235">
        <v>4988.9291576484293</v>
      </c>
      <c r="AD154" s="62">
        <f t="shared" si="80"/>
        <v>0.10503143675473152</v>
      </c>
      <c r="AF154" s="8">
        <f t="shared" ca="1" si="56"/>
        <v>0</v>
      </c>
      <c r="AH154" s="8">
        <f t="shared" ca="1" si="57"/>
        <v>0</v>
      </c>
      <c r="AJ154" s="8">
        <f t="shared" ca="1" si="58"/>
        <v>0</v>
      </c>
      <c r="AL154" s="8">
        <f t="shared" ca="1" si="59"/>
        <v>4988.9291576484293</v>
      </c>
      <c r="AN154" s="8">
        <f t="shared" ca="1" si="60"/>
        <v>4988.9291576484293</v>
      </c>
    </row>
    <row r="155" spans="2:40" ht="13" x14ac:dyDescent="0.3">
      <c r="B155" s="28">
        <f t="shared" si="82"/>
        <v>97</v>
      </c>
      <c r="D155" s="63" t="s">
        <v>199</v>
      </c>
      <c r="F155" s="200">
        <v>3006.3131315267215</v>
      </c>
      <c r="H155" s="200"/>
      <c r="K155" s="192">
        <f>_xlfn.IFNA(MATCH(J155,'Function Factors'!$B$9:$B$455,0),0)</f>
        <v>0</v>
      </c>
      <c r="L155" s="113">
        <f t="shared" si="81"/>
        <v>3006.3131315267215</v>
      </c>
      <c r="N155" s="91" t="s">
        <v>32</v>
      </c>
      <c r="O155" s="192">
        <f>_xlfn.IFNA(MATCH(N155,'Function Factors'!$B$9:$B$455,0),0)</f>
        <v>36</v>
      </c>
      <c r="P155" s="200">
        <f ca="1">OFFSET('Function Factors'!$B$9,$O155-1,P$14)*$L155+OFFSET('Function Factors'!$B$9,$K155-1,P$14)*$H155</f>
        <v>0</v>
      </c>
      <c r="R155" s="200">
        <f ca="1">OFFSET('Function Factors'!$B$9,$O155-1,R$14)*$L155+OFFSET('Function Factors'!$B$9,$K155-1,R$14)*$H155</f>
        <v>0</v>
      </c>
      <c r="S155" s="200"/>
      <c r="T155" s="200">
        <f ca="1">OFFSET('Function Factors'!$B$9,$O155-1,T$14)*$L155+OFFSET('Function Factors'!$B$9,$K155-1,T$14)*$H155</f>
        <v>0</v>
      </c>
      <c r="U155" s="200"/>
      <c r="V155" s="200">
        <f ca="1">OFFSET('Function Factors'!$B$9,$O155-1,V$14)*$L155+OFFSET('Function Factors'!$B$9,$K155-1,V$14)*$H155</f>
        <v>3006.3131315267215</v>
      </c>
      <c r="X155" s="200">
        <f t="shared" ca="1" si="79"/>
        <v>3006.3131315267215</v>
      </c>
      <c r="Z155" s="35" t="str">
        <f t="shared" ca="1" si="62"/>
        <v/>
      </c>
      <c r="AC155" s="235">
        <v>2781.7547861991366</v>
      </c>
      <c r="AD155" s="62">
        <f t="shared" si="80"/>
        <v>0.92530440592742058</v>
      </c>
      <c r="AF155" s="8">
        <f t="shared" ca="1" si="56"/>
        <v>0</v>
      </c>
      <c r="AH155" s="8">
        <f t="shared" ca="1" si="57"/>
        <v>0</v>
      </c>
      <c r="AJ155" s="8">
        <f t="shared" ca="1" si="58"/>
        <v>0</v>
      </c>
      <c r="AL155" s="8">
        <f t="shared" ca="1" si="59"/>
        <v>2781.7547861991366</v>
      </c>
      <c r="AN155" s="8">
        <f t="shared" ca="1" si="60"/>
        <v>2781.7547861991366</v>
      </c>
    </row>
    <row r="156" spans="2:40" ht="13" x14ac:dyDescent="0.3">
      <c r="B156" s="28">
        <f t="shared" si="82"/>
        <v>98</v>
      </c>
      <c r="D156" s="63" t="s">
        <v>200</v>
      </c>
      <c r="F156" s="200">
        <v>6258.7532042938401</v>
      </c>
      <c r="H156" s="200"/>
      <c r="K156" s="192">
        <f>_xlfn.IFNA(MATCH(J156,'Function Factors'!$B$9:$B$455,0),0)</f>
        <v>0</v>
      </c>
      <c r="L156" s="113">
        <f t="shared" si="81"/>
        <v>6258.7532042938401</v>
      </c>
      <c r="N156" s="91" t="s">
        <v>32</v>
      </c>
      <c r="O156" s="192">
        <f>_xlfn.IFNA(MATCH(N156,'Function Factors'!$B$9:$B$455,0),0)</f>
        <v>36</v>
      </c>
      <c r="P156" s="200">
        <f ca="1">OFFSET('Function Factors'!$B$9,$O156-1,P$14)*$L156+OFFSET('Function Factors'!$B$9,$K156-1,P$14)*$H156</f>
        <v>0</v>
      </c>
      <c r="R156" s="200">
        <f ca="1">OFFSET('Function Factors'!$B$9,$O156-1,R$14)*$L156+OFFSET('Function Factors'!$B$9,$K156-1,R$14)*$H156</f>
        <v>0</v>
      </c>
      <c r="S156" s="200"/>
      <c r="T156" s="200">
        <f ca="1">OFFSET('Function Factors'!$B$9,$O156-1,T$14)*$L156+OFFSET('Function Factors'!$B$9,$K156-1,T$14)*$H156</f>
        <v>0</v>
      </c>
      <c r="U156" s="200"/>
      <c r="V156" s="200">
        <f ca="1">OFFSET('Function Factors'!$B$9,$O156-1,V$14)*$L156+OFFSET('Function Factors'!$B$9,$K156-1,V$14)*$H156</f>
        <v>6258.7532042938401</v>
      </c>
      <c r="X156" s="200">
        <f t="shared" ca="1" si="79"/>
        <v>6258.7532042938401</v>
      </c>
      <c r="Z156" s="35" t="str">
        <f t="shared" ca="1" si="62"/>
        <v/>
      </c>
      <c r="AC156" s="235">
        <v>1248.1922043138802</v>
      </c>
      <c r="AD156" s="62">
        <f t="shared" si="80"/>
        <v>0.19943144641932095</v>
      </c>
      <c r="AF156" s="8">
        <f t="shared" ca="1" si="56"/>
        <v>0</v>
      </c>
      <c r="AH156" s="8">
        <f t="shared" ca="1" si="57"/>
        <v>0</v>
      </c>
      <c r="AJ156" s="8">
        <f t="shared" ca="1" si="58"/>
        <v>0</v>
      </c>
      <c r="AL156" s="8">
        <f t="shared" ca="1" si="59"/>
        <v>1248.1922043138802</v>
      </c>
      <c r="AN156" s="8">
        <f t="shared" ca="1" si="60"/>
        <v>1248.1922043138802</v>
      </c>
    </row>
    <row r="157" spans="2:40" ht="13" x14ac:dyDescent="0.3">
      <c r="B157" s="28">
        <f t="shared" si="82"/>
        <v>99</v>
      </c>
      <c r="D157" s="63" t="s">
        <v>201</v>
      </c>
      <c r="F157" s="200">
        <v>21966.003061248291</v>
      </c>
      <c r="H157" s="113">
        <f ca="1">IF(K157&lt;&gt;0,OFFSET('Function Factors'!$A$8,$K157-1,3),0)</f>
        <v>10151.221525209376</v>
      </c>
      <c r="J157" s="91" t="s">
        <v>402</v>
      </c>
      <c r="K157" s="192">
        <f>_xlfn.IFNA(MATCH(J157,'Function Factors'!$B$9:$B$455,0),0)</f>
        <v>18</v>
      </c>
      <c r="L157" s="113">
        <f ca="1">F157-H157</f>
        <v>11814.781536038916</v>
      </c>
      <c r="N157" s="91" t="s">
        <v>32</v>
      </c>
      <c r="O157" s="192">
        <f>_xlfn.IFNA(MATCH(N157,'Function Factors'!$B$9:$B$455,0),0)</f>
        <v>36</v>
      </c>
      <c r="P157" s="200">
        <f ca="1">OFFSET('Function Factors'!$B$9,$O157-1,P$14)*$L157+OFFSET('Function Factors'!$B$9,$K157-1,P$14)*$H157</f>
        <v>10151.221525209376</v>
      </c>
      <c r="R157" s="200">
        <f ca="1">OFFSET('Function Factors'!$B$9,$O157-1,R$14)*$L157+OFFSET('Function Factors'!$B$9,$K157-1,R$14)*$H157</f>
        <v>0</v>
      </c>
      <c r="S157" s="200"/>
      <c r="T157" s="200">
        <f ca="1">OFFSET('Function Factors'!$B$9,$O157-1,T$14)*$L157+OFFSET('Function Factors'!$B$9,$K157-1,T$14)*$H157</f>
        <v>0</v>
      </c>
      <c r="U157" s="200"/>
      <c r="V157" s="200">
        <f ca="1">OFFSET('Function Factors'!$B$9,$O157-1,V$14)*$L157+OFFSET('Function Factors'!$B$9,$K157-1,V$14)*$H157</f>
        <v>11814.781536038916</v>
      </c>
      <c r="X157" s="200">
        <f t="shared" ca="1" si="79"/>
        <v>21966.003061248291</v>
      </c>
      <c r="Z157" s="35" t="str">
        <f t="shared" ca="1" si="62"/>
        <v/>
      </c>
      <c r="AC157" s="235">
        <v>0</v>
      </c>
      <c r="AD157" s="62">
        <f t="shared" si="80"/>
        <v>0</v>
      </c>
      <c r="AF157" s="8">
        <f t="shared" ca="1" si="56"/>
        <v>0</v>
      </c>
      <c r="AH157" s="8">
        <f t="shared" ca="1" si="57"/>
        <v>0</v>
      </c>
      <c r="AJ157" s="8">
        <f t="shared" ca="1" si="58"/>
        <v>0</v>
      </c>
      <c r="AL157" s="8">
        <f t="shared" ca="1" si="59"/>
        <v>0</v>
      </c>
      <c r="AN157" s="8">
        <f t="shared" ca="1" si="60"/>
        <v>0</v>
      </c>
    </row>
    <row r="158" spans="2:40" ht="13" x14ac:dyDescent="0.3">
      <c r="B158" s="28"/>
      <c r="D158" s="97" t="s">
        <v>237</v>
      </c>
      <c r="Z158" s="35" t="str">
        <f t="shared" si="62"/>
        <v/>
      </c>
      <c r="AF158" s="8"/>
      <c r="AH158" s="8"/>
      <c r="AJ158" s="8"/>
      <c r="AL158" s="8"/>
      <c r="AN158" s="8"/>
    </row>
    <row r="159" spans="2:40" ht="13" x14ac:dyDescent="0.3">
      <c r="B159" s="28">
        <f>B157+1</f>
        <v>100</v>
      </c>
      <c r="D159" s="63" t="s">
        <v>110</v>
      </c>
      <c r="F159" s="200">
        <v>176362.21253862113</v>
      </c>
      <c r="H159" s="113">
        <f ca="1">IF(K159&lt;&gt;0,OFFSET('Function Factors'!$A$8,$K159-1,3),0)</f>
        <v>2531.2823068200137</v>
      </c>
      <c r="J159" s="91" t="s">
        <v>178</v>
      </c>
      <c r="K159" s="192">
        <f>_xlfn.IFNA(MATCH(J159,'Function Factors'!$B$9:$B$455,0),0)</f>
        <v>12</v>
      </c>
      <c r="L159" s="113">
        <f t="shared" ca="1" si="52"/>
        <v>173830.93023180112</v>
      </c>
      <c r="N159" s="91" t="s">
        <v>111</v>
      </c>
      <c r="O159" s="192">
        <f>_xlfn.IFNA(MATCH(N159,'Function Factors'!$B$9:$B$455,0),0)</f>
        <v>54</v>
      </c>
      <c r="P159" s="200">
        <f ca="1">OFFSET('Function Factors'!$B$9,$O159-1,P$14)*$L159+OFFSET('Function Factors'!$B$9,$K159-1,P$14)*$H159</f>
        <v>2104.1517941099964</v>
      </c>
      <c r="R159" s="200">
        <f ca="1">OFFSET('Function Factors'!$B$9,$O159-1,R$14)*$L159+OFFSET('Function Factors'!$B$9,$K159-1,R$14)*$H159</f>
        <v>10500.981965602561</v>
      </c>
      <c r="S159" s="200"/>
      <c r="T159" s="200">
        <f ca="1">OFFSET('Function Factors'!$B$9,$O159-1,T$14)*$L159+OFFSET('Function Factors'!$B$9,$K159-1,T$14)*$H159</f>
        <v>12474.169804940382</v>
      </c>
      <c r="U159" s="200"/>
      <c r="V159" s="200">
        <f ca="1">OFFSET('Function Factors'!$B$9,$O159-1,V$14)*$L159+OFFSET('Function Factors'!$B$9,$K159-1,V$14)*$H159</f>
        <v>151282.90897396824</v>
      </c>
      <c r="X159" s="200">
        <f t="shared" ref="X159:X160" ca="1" si="83">P159+R159+T159+V159</f>
        <v>176362.21253862118</v>
      </c>
      <c r="Z159" s="35" t="str">
        <f t="shared" ca="1" si="62"/>
        <v/>
      </c>
      <c r="AC159" s="235">
        <v>0</v>
      </c>
      <c r="AD159" s="62">
        <f t="shared" ref="AD159:AD160" si="84">IFERROR(AC159/F159,0)</f>
        <v>0</v>
      </c>
      <c r="AF159" s="8"/>
      <c r="AH159" s="8"/>
      <c r="AJ159" s="8"/>
      <c r="AL159" s="8"/>
      <c r="AN159" s="8"/>
    </row>
    <row r="160" spans="2:40" ht="13" x14ac:dyDescent="0.3">
      <c r="B160" s="28">
        <f>B159+1</f>
        <v>101</v>
      </c>
      <c r="D160" s="63" t="s">
        <v>238</v>
      </c>
      <c r="F160" s="66">
        <v>219653.96768339101</v>
      </c>
      <c r="G160" s="170"/>
      <c r="H160" s="105">
        <f ca="1">IF(K160&lt;&gt;0,OFFSET('Function Factors'!$A$8,$K160-1,3),0)</f>
        <v>5865.9645385754357</v>
      </c>
      <c r="I160" s="170"/>
      <c r="J160" s="42" t="s">
        <v>179</v>
      </c>
      <c r="K160" s="191">
        <f>_xlfn.IFNA(MATCH(J160,'Function Factors'!$B$9:$B$455,0),0)</f>
        <v>6</v>
      </c>
      <c r="L160" s="105">
        <f ca="1">F160-H160</f>
        <v>213788.00314481556</v>
      </c>
      <c r="M160" s="170"/>
      <c r="N160" s="42" t="s">
        <v>37</v>
      </c>
      <c r="O160" s="191">
        <f>_xlfn.IFNA(MATCH(N160,'Function Factors'!$B$9:$B$455,0),0)</f>
        <v>84</v>
      </c>
      <c r="P160" s="66">
        <f ca="1">OFFSET('Function Factors'!$B$9,$O160-1,P$14)*$L160+OFFSET('Function Factors'!$B$9,$K160-1,P$14)*$H160</f>
        <v>4758.6044086021757</v>
      </c>
      <c r="Q160" s="170"/>
      <c r="R160" s="66">
        <f ca="1">OFFSET('Function Factors'!$B$9,$O160-1,R$14)*$L160+OFFSET('Function Factors'!$B$9,$K160-1,R$14)*$H160</f>
        <v>13897.723897224518</v>
      </c>
      <c r="S160" s="66"/>
      <c r="T160" s="66">
        <f ca="1">OFFSET('Function Factors'!$B$9,$O160-1,T$14)*$L160+OFFSET('Function Factors'!$B$9,$K160-1,T$14)*$H160</f>
        <v>15476.124813604742</v>
      </c>
      <c r="U160" s="66"/>
      <c r="V160" s="66">
        <f ca="1">OFFSET('Function Factors'!$B$9,$O160-1,V$14)*$L160+OFFSET('Function Factors'!$B$9,$K160-1,V$14)*$H160</f>
        <v>185521.51456395959</v>
      </c>
      <c r="W160" s="170"/>
      <c r="X160" s="66">
        <f t="shared" ca="1" si="83"/>
        <v>219653.96768339101</v>
      </c>
      <c r="Z160" s="35" t="str">
        <f t="shared" ca="1" si="62"/>
        <v/>
      </c>
      <c r="AC160" s="235">
        <v>122878.58191139701</v>
      </c>
      <c r="AD160" s="62">
        <f t="shared" si="84"/>
        <v>0.55941890423083118</v>
      </c>
      <c r="AF160" s="8">
        <f t="shared" ca="1" si="56"/>
        <v>2662.0532639282314</v>
      </c>
      <c r="AH160" s="8">
        <f t="shared" ca="1" si="57"/>
        <v>7774.6494738879765</v>
      </c>
      <c r="AJ160" s="8">
        <f t="shared" ca="1" si="58"/>
        <v>8657.6367849663402</v>
      </c>
      <c r="AL160" s="8">
        <f t="shared" ca="1" si="59"/>
        <v>103784.24238861445</v>
      </c>
      <c r="AN160" s="8">
        <f t="shared" ca="1" si="60"/>
        <v>122878.58191139699</v>
      </c>
    </row>
    <row r="161" spans="2:40" ht="13" x14ac:dyDescent="0.3">
      <c r="B161" s="28"/>
      <c r="F161" s="170"/>
      <c r="H161" s="170"/>
      <c r="L161" s="170"/>
      <c r="P161" s="170"/>
      <c r="R161" s="170"/>
      <c r="T161" s="170"/>
      <c r="V161" s="170"/>
      <c r="X161" s="105"/>
      <c r="Z161" s="35" t="str">
        <f t="shared" si="62"/>
        <v/>
      </c>
    </row>
    <row r="162" spans="2:40" ht="13" x14ac:dyDescent="0.3">
      <c r="B162" s="28">
        <f>B160+1</f>
        <v>102</v>
      </c>
      <c r="D162" s="97" t="s">
        <v>482</v>
      </c>
      <c r="F162" s="204">
        <f>SUM(F116:F160)</f>
        <v>4301880.1020682193</v>
      </c>
      <c r="H162" s="204">
        <f ca="1">SUM(H116:H160)</f>
        <v>23197.563321055226</v>
      </c>
      <c r="L162" s="204">
        <f ca="1">SUM(L116:L160)</f>
        <v>4278682.5387471654</v>
      </c>
      <c r="P162" s="204">
        <f ca="1">SUM(P116:P160)</f>
        <v>3133672.3927132715</v>
      </c>
      <c r="Q162" s="113"/>
      <c r="R162" s="204">
        <f ca="1">SUM(R116:R160)</f>
        <v>91374.002072707284</v>
      </c>
      <c r="S162" s="113"/>
      <c r="T162" s="204">
        <f ca="1">SUM(T116:T160)</f>
        <v>127245.80105802165</v>
      </c>
      <c r="U162" s="113"/>
      <c r="V162" s="204">
        <f ca="1">SUM(V116:V160)</f>
        <v>949587.90622421948</v>
      </c>
      <c r="X162" s="204">
        <f ca="1">SUM(X116:X160)</f>
        <v>4301880.1020682203</v>
      </c>
      <c r="Z162" s="35" t="str">
        <f t="shared" ca="1" si="62"/>
        <v/>
      </c>
      <c r="AC162" s="236">
        <f>SUM(AC116:AC161)</f>
        <v>302587.37595488038</v>
      </c>
      <c r="AF162" s="236">
        <f ca="1">SUM(AF116:AF161)</f>
        <v>5003.7941439696788</v>
      </c>
      <c r="AH162" s="236">
        <f ca="1">SUM(AH116:AH161)</f>
        <v>17976.776754797029</v>
      </c>
      <c r="AJ162" s="236">
        <f ca="1">SUM(AJ116:AJ161)</f>
        <v>21354.704399968527</v>
      </c>
      <c r="AL162" s="236">
        <f ca="1">SUM(AL116:AL161)</f>
        <v>258252.10065614511</v>
      </c>
      <c r="AN162" s="236">
        <f ca="1">SUM(AN116:AN161)</f>
        <v>302587.37595488038</v>
      </c>
    </row>
    <row r="163" spans="2:40" ht="13" x14ac:dyDescent="0.3">
      <c r="B163" s="28"/>
      <c r="Z163" s="35" t="str">
        <f t="shared" si="62"/>
        <v/>
      </c>
    </row>
    <row r="164" spans="2:40" ht="13.5" thickBot="1" x14ac:dyDescent="0.35">
      <c r="B164" s="28">
        <f>B162+1</f>
        <v>103</v>
      </c>
      <c r="D164" s="97" t="s">
        <v>483</v>
      </c>
      <c r="F164" s="207">
        <f>F162+F104+F110+F97</f>
        <v>6398538.9270827668</v>
      </c>
      <c r="H164" s="207">
        <f ca="1">H162+H104+H110+H97</f>
        <v>23197.563321055226</v>
      </c>
      <c r="L164" s="207">
        <f ca="1">L162+L104+L110+L97</f>
        <v>6375341.3637617128</v>
      </c>
      <c r="P164" s="207">
        <f ca="1">P162+P104+P110+P97</f>
        <v>3133672.3927132715</v>
      </c>
      <c r="R164" s="207">
        <f ca="1">R162+R104+R110+R97</f>
        <v>224417.96329704439</v>
      </c>
      <c r="T164" s="207">
        <f ca="1">T162+T104+T110+T97</f>
        <v>470426.6214762858</v>
      </c>
      <c r="V164" s="207">
        <f ca="1">V162+V104+V110+V97</f>
        <v>2570021.9495961652</v>
      </c>
      <c r="X164" s="207">
        <f ca="1">X162+X104+X110+X97</f>
        <v>6398538.9270827677</v>
      </c>
      <c r="Z164" s="35" t="str">
        <f t="shared" ca="1" si="62"/>
        <v/>
      </c>
      <c r="AF164" s="101"/>
      <c r="AH164" s="101"/>
      <c r="AJ164" s="101"/>
      <c r="AL164" s="101"/>
      <c r="AN164" s="101"/>
    </row>
    <row r="165" spans="2:40" ht="13.5" thickTop="1" x14ac:dyDescent="0.3">
      <c r="B165" s="28"/>
      <c r="F165" s="105"/>
      <c r="H165" s="105"/>
      <c r="L165" s="105"/>
      <c r="P165" s="105"/>
      <c r="R165" s="105"/>
      <c r="T165" s="105"/>
      <c r="V165" s="105"/>
      <c r="X165" s="105"/>
      <c r="Z165" s="35" t="str">
        <f t="shared" si="62"/>
        <v/>
      </c>
    </row>
    <row r="166" spans="2:40" ht="13" x14ac:dyDescent="0.3">
      <c r="B166" s="28"/>
      <c r="F166" s="105"/>
      <c r="H166" s="105"/>
      <c r="L166" s="105"/>
      <c r="P166" s="105"/>
      <c r="R166" s="105"/>
      <c r="T166" s="105"/>
      <c r="V166" s="105"/>
      <c r="X166" s="105"/>
      <c r="Z166" s="35" t="str">
        <f t="shared" si="62"/>
        <v/>
      </c>
      <c r="AH166" s="101"/>
      <c r="AJ166" s="101"/>
      <c r="AL166" s="101"/>
      <c r="AN166" s="101"/>
    </row>
    <row r="167" spans="2:40" ht="13" x14ac:dyDescent="0.3">
      <c r="B167" s="28"/>
      <c r="F167" s="105"/>
      <c r="H167" s="105"/>
      <c r="L167" s="105"/>
      <c r="P167" s="105"/>
      <c r="R167" s="105"/>
      <c r="T167" s="105"/>
      <c r="V167" s="105"/>
      <c r="X167" s="105"/>
      <c r="Z167" s="35" t="str">
        <f t="shared" si="62"/>
        <v/>
      </c>
    </row>
    <row r="168" spans="2:40" ht="13" x14ac:dyDescent="0.3">
      <c r="B168" s="28"/>
      <c r="D168" s="6" t="s">
        <v>132</v>
      </c>
      <c r="X168" s="113"/>
      <c r="Z168" s="35" t="str">
        <f t="shared" si="62"/>
        <v/>
      </c>
    </row>
    <row r="169" spans="2:40" ht="13" x14ac:dyDescent="0.3">
      <c r="B169" s="28"/>
      <c r="D169" s="6"/>
      <c r="F169" s="200"/>
      <c r="H169" s="200"/>
      <c r="L169" s="113"/>
      <c r="N169" s="91"/>
      <c r="P169" s="200"/>
      <c r="R169" s="200"/>
      <c r="S169" s="200"/>
      <c r="T169" s="200"/>
      <c r="U169" s="200"/>
      <c r="V169" s="200"/>
      <c r="X169" s="200"/>
      <c r="Z169" s="35" t="str">
        <f t="shared" si="62"/>
        <v/>
      </c>
    </row>
    <row r="170" spans="2:40" ht="13" x14ac:dyDescent="0.3">
      <c r="B170" s="28">
        <f>B164+1</f>
        <v>104</v>
      </c>
      <c r="D170" s="99" t="s">
        <v>146</v>
      </c>
      <c r="F170" s="200">
        <v>2942.6114096800702</v>
      </c>
      <c r="H170" s="200"/>
      <c r="K170" s="192">
        <f>_xlfn.IFNA(MATCH(J170,'Function Factors'!$B$9:$B$455,0),0)</f>
        <v>0</v>
      </c>
      <c r="L170" s="113">
        <f t="shared" ref="L170:L176" si="85">F170-H170</f>
        <v>2942.6114096800702</v>
      </c>
      <c r="N170" s="91" t="s">
        <v>401</v>
      </c>
      <c r="O170" s="192">
        <f>_xlfn.IFNA(MATCH(N170,'Function Factors'!$B$9:$B$455,0),0)</f>
        <v>39</v>
      </c>
      <c r="P170" s="200">
        <f ca="1">OFFSET('Function Factors'!$B$9,$O170-1,P$14)*$L170+OFFSET('Function Factors'!$B$9,$K170-1,P$14)*$H170</f>
        <v>2942.6114096800702</v>
      </c>
      <c r="R170" s="200">
        <f ca="1">OFFSET('Function Factors'!$B$9,$O170-1,R$14)*$L170+OFFSET('Function Factors'!$B$9,$K170-1,R$14)*$H170</f>
        <v>0</v>
      </c>
      <c r="S170" s="200"/>
      <c r="T170" s="200">
        <f ca="1">OFFSET('Function Factors'!$B$9,$O170-1,T$14)*$L170+OFFSET('Function Factors'!$B$9,$K170-1,T$14)*$H170</f>
        <v>0</v>
      </c>
      <c r="U170" s="200"/>
      <c r="V170" s="200">
        <f ca="1">OFFSET('Function Factors'!$B$9,$O170-1,V$14)*$L170+OFFSET('Function Factors'!$B$9,$K170-1,V$14)*$H170</f>
        <v>0</v>
      </c>
      <c r="X170" s="200">
        <f t="shared" ref="X170:X176" ca="1" si="86">P170+R170+T170+V170</f>
        <v>2942.6114096800702</v>
      </c>
      <c r="Z170" s="35" t="str">
        <f t="shared" ca="1" si="62"/>
        <v/>
      </c>
    </row>
    <row r="171" spans="2:40" ht="13" x14ac:dyDescent="0.3">
      <c r="B171" s="28">
        <f t="shared" ref="B171:B176" si="87">B170+1</f>
        <v>105</v>
      </c>
      <c r="D171" s="99" t="s">
        <v>157</v>
      </c>
      <c r="F171" s="200">
        <v>2421.6385455058507</v>
      </c>
      <c r="H171" s="200"/>
      <c r="K171" s="192">
        <f>_xlfn.IFNA(MATCH(J171,'Function Factors'!$B$9:$B$455,0),0)</f>
        <v>0</v>
      </c>
      <c r="L171" s="113">
        <f>F171-H171</f>
        <v>2421.6385455058507</v>
      </c>
      <c r="N171" s="91" t="s">
        <v>401</v>
      </c>
      <c r="O171" s="192">
        <f>_xlfn.IFNA(MATCH(N171,'Function Factors'!$B$9:$B$455,0),0)</f>
        <v>39</v>
      </c>
      <c r="P171" s="200">
        <f ca="1">OFFSET('Function Factors'!$B$9,$O171-1,P$14)*$L171+OFFSET('Function Factors'!$B$9,$K171-1,P$14)*$H171</f>
        <v>2421.6385455058507</v>
      </c>
      <c r="R171" s="200">
        <f ca="1">OFFSET('Function Factors'!$B$9,$O171-1,R$14)*$L171+OFFSET('Function Factors'!$B$9,$K171-1,R$14)*$H171</f>
        <v>0</v>
      </c>
      <c r="S171" s="200"/>
      <c r="T171" s="200">
        <f ca="1">OFFSET('Function Factors'!$B$9,$O171-1,T$14)*$L171+OFFSET('Function Factors'!$B$9,$K171-1,T$14)*$H171</f>
        <v>0</v>
      </c>
      <c r="U171" s="200"/>
      <c r="V171" s="200">
        <f ca="1">OFFSET('Function Factors'!$B$9,$O171-1,V$14)*$L171+OFFSET('Function Factors'!$B$9,$K171-1,V$14)*$H171</f>
        <v>0</v>
      </c>
      <c r="X171" s="200">
        <f t="shared" ca="1" si="86"/>
        <v>2421.6385455058507</v>
      </c>
      <c r="Z171" s="35" t="str">
        <f t="shared" ca="1" si="62"/>
        <v/>
      </c>
    </row>
    <row r="172" spans="2:40" ht="13" x14ac:dyDescent="0.3">
      <c r="B172" s="28">
        <f t="shared" si="87"/>
        <v>106</v>
      </c>
      <c r="D172" s="99" t="s">
        <v>133</v>
      </c>
      <c r="F172" s="200">
        <v>15336.5926054518</v>
      </c>
      <c r="H172" s="200"/>
      <c r="K172" s="192">
        <f>_xlfn.IFNA(MATCH(J172,'Function Factors'!$B$9:$B$455,0),0)</f>
        <v>0</v>
      </c>
      <c r="L172" s="113">
        <f>F172-H172</f>
        <v>15336.5926054518</v>
      </c>
      <c r="N172" s="91" t="s">
        <v>401</v>
      </c>
      <c r="O172" s="192">
        <f>_xlfn.IFNA(MATCH(N172,'Function Factors'!$B$9:$B$455,0),0)</f>
        <v>39</v>
      </c>
      <c r="P172" s="200">
        <f ca="1">OFFSET('Function Factors'!$B$9,$O172-1,P$14)*$L172+OFFSET('Function Factors'!$B$9,$K172-1,P$14)*$H172</f>
        <v>15336.5926054518</v>
      </c>
      <c r="R172" s="200">
        <f ca="1">OFFSET('Function Factors'!$B$9,$O172-1,R$14)*$L172+OFFSET('Function Factors'!$B$9,$K172-1,R$14)*$H172</f>
        <v>0</v>
      </c>
      <c r="S172" s="200"/>
      <c r="T172" s="200">
        <f ca="1">OFFSET('Function Factors'!$B$9,$O172-1,T$14)*$L172+OFFSET('Function Factors'!$B$9,$K172-1,T$14)*$H172</f>
        <v>0</v>
      </c>
      <c r="U172" s="200"/>
      <c r="V172" s="200">
        <f ca="1">OFFSET('Function Factors'!$B$9,$O172-1,V$14)*$L172+OFFSET('Function Factors'!$B$9,$K172-1,V$14)*$H172</f>
        <v>0</v>
      </c>
      <c r="X172" s="200">
        <f t="shared" ca="1" si="86"/>
        <v>15336.5926054518</v>
      </c>
      <c r="Z172" s="35" t="str">
        <f ca="1">IF(ROUND(F172,4)=ROUND(X172,4), "", "check")</f>
        <v/>
      </c>
    </row>
    <row r="173" spans="2:40" ht="13" x14ac:dyDescent="0.3">
      <c r="B173" s="28">
        <f t="shared" si="87"/>
        <v>107</v>
      </c>
      <c r="D173" s="99" t="s">
        <v>148</v>
      </c>
      <c r="F173" s="200">
        <v>26870.623617239937</v>
      </c>
      <c r="H173" s="200"/>
      <c r="K173" s="192">
        <f>_xlfn.IFNA(MATCH(J173,'Function Factors'!$B$9:$B$455,0),0)</f>
        <v>0</v>
      </c>
      <c r="L173" s="113">
        <f t="shared" si="85"/>
        <v>26870.623617239937</v>
      </c>
      <c r="N173" s="91" t="s">
        <v>32</v>
      </c>
      <c r="O173" s="192">
        <f>_xlfn.IFNA(MATCH(N173,'Function Factors'!$B$9:$B$455,0),0)</f>
        <v>36</v>
      </c>
      <c r="P173" s="200">
        <f ca="1">OFFSET('Function Factors'!$B$9,$O173-1,P$14)*$L173+OFFSET('Function Factors'!$B$9,$K173-1,P$14)*$H173</f>
        <v>0</v>
      </c>
      <c r="R173" s="200">
        <f ca="1">OFFSET('Function Factors'!$B$9,$O173-1,R$14)*$L173+OFFSET('Function Factors'!$B$9,$K173-1,R$14)*$H173</f>
        <v>0</v>
      </c>
      <c r="S173" s="200"/>
      <c r="T173" s="200">
        <f ca="1">OFFSET('Function Factors'!$B$9,$O173-1,T$14)*$L173+OFFSET('Function Factors'!$B$9,$K173-1,T$14)*$H173</f>
        <v>0</v>
      </c>
      <c r="U173" s="200"/>
      <c r="V173" s="200">
        <f ca="1">OFFSET('Function Factors'!$B$9,$O173-1,V$14)*$L173+OFFSET('Function Factors'!$B$9,$K173-1,V$14)*$H173</f>
        <v>26870.623617239937</v>
      </c>
      <c r="X173" s="200">
        <f t="shared" ca="1" si="86"/>
        <v>26870.623617239937</v>
      </c>
      <c r="Z173" s="35" t="str">
        <f t="shared" ca="1" si="62"/>
        <v/>
      </c>
    </row>
    <row r="174" spans="2:40" ht="13" x14ac:dyDescent="0.3">
      <c r="B174" s="28">
        <f>B173+1</f>
        <v>108</v>
      </c>
      <c r="D174" s="99" t="s">
        <v>149</v>
      </c>
      <c r="F174" s="200">
        <v>14283.139384300001</v>
      </c>
      <c r="H174" s="200"/>
      <c r="K174" s="192">
        <f>_xlfn.IFNA(MATCH(J174,'Function Factors'!$B$9:$B$455,0),0)</f>
        <v>0</v>
      </c>
      <c r="L174" s="113">
        <f t="shared" si="85"/>
        <v>14283.139384300001</v>
      </c>
      <c r="N174" s="91" t="s">
        <v>32</v>
      </c>
      <c r="O174" s="192">
        <f>_xlfn.IFNA(MATCH(N174,'Function Factors'!$B$9:$B$455,0),0)</f>
        <v>36</v>
      </c>
      <c r="P174" s="200">
        <f ca="1">OFFSET('Function Factors'!$B$9,$O174-1,P$14)*$L174+OFFSET('Function Factors'!$B$9,$K174-1,P$14)*$H174</f>
        <v>0</v>
      </c>
      <c r="R174" s="200">
        <f ca="1">OFFSET('Function Factors'!$B$9,$O174-1,R$14)*$L174+OFFSET('Function Factors'!$B$9,$K174-1,R$14)*$H174</f>
        <v>0</v>
      </c>
      <c r="S174" s="200"/>
      <c r="T174" s="200">
        <f ca="1">OFFSET('Function Factors'!$B$9,$O174-1,T$14)*$L174+OFFSET('Function Factors'!$B$9,$K174-1,T$14)*$H174</f>
        <v>0</v>
      </c>
      <c r="U174" s="200"/>
      <c r="V174" s="200">
        <f ca="1">OFFSET('Function Factors'!$B$9,$O174-1,V$14)*$L174+OFFSET('Function Factors'!$B$9,$K174-1,V$14)*$H174</f>
        <v>14283.139384300001</v>
      </c>
      <c r="X174" s="200">
        <f t="shared" ca="1" si="86"/>
        <v>14283.139384300001</v>
      </c>
      <c r="Z174" s="35" t="str">
        <f t="shared" ca="1" si="62"/>
        <v/>
      </c>
    </row>
    <row r="175" spans="2:40" ht="13" x14ac:dyDescent="0.3">
      <c r="B175" s="28">
        <f t="shared" si="87"/>
        <v>109</v>
      </c>
      <c r="D175" s="99" t="s">
        <v>150</v>
      </c>
      <c r="F175" s="200">
        <v>17761.652743977927</v>
      </c>
      <c r="H175" s="200"/>
      <c r="K175" s="192">
        <f>_xlfn.IFNA(MATCH(J175,'Function Factors'!$B$9:$B$455,0),0)</f>
        <v>0</v>
      </c>
      <c r="L175" s="113">
        <f t="shared" si="85"/>
        <v>17761.652743977927</v>
      </c>
      <c r="N175" s="91" t="s">
        <v>32</v>
      </c>
      <c r="O175" s="192">
        <f>_xlfn.IFNA(MATCH(N175,'Function Factors'!$B$9:$B$455,0),0)</f>
        <v>36</v>
      </c>
      <c r="P175" s="200">
        <f ca="1">OFFSET('Function Factors'!$B$9,$O175-1,P$14)*$L175+OFFSET('Function Factors'!$B$9,$K175-1,P$14)*$H175</f>
        <v>0</v>
      </c>
      <c r="R175" s="200">
        <f ca="1">OFFSET('Function Factors'!$B$9,$O175-1,R$14)*$L175+OFFSET('Function Factors'!$B$9,$K175-1,R$14)*$H175</f>
        <v>0</v>
      </c>
      <c r="S175" s="200"/>
      <c r="T175" s="200">
        <f ca="1">OFFSET('Function Factors'!$B$9,$O175-1,T$14)*$L175+OFFSET('Function Factors'!$B$9,$K175-1,T$14)*$H175</f>
        <v>0</v>
      </c>
      <c r="U175" s="200"/>
      <c r="V175" s="200">
        <f ca="1">OFFSET('Function Factors'!$B$9,$O175-1,V$14)*$L175+OFFSET('Function Factors'!$B$9,$K175-1,V$14)*$H175</f>
        <v>17761.652743977927</v>
      </c>
      <c r="X175" s="200">
        <f t="shared" ca="1" si="86"/>
        <v>17761.652743977927</v>
      </c>
      <c r="Z175" s="35" t="str">
        <f t="shared" ca="1" si="62"/>
        <v/>
      </c>
    </row>
    <row r="176" spans="2:40" ht="13" x14ac:dyDescent="0.3">
      <c r="B176" s="28">
        <f t="shared" si="87"/>
        <v>110</v>
      </c>
      <c r="D176" s="99" t="s">
        <v>465</v>
      </c>
      <c r="F176" s="200">
        <v>6017.1693334783249</v>
      </c>
      <c r="H176" s="200"/>
      <c r="K176" s="192">
        <f>_xlfn.IFNA(MATCH(J176,'Function Factors'!$B$9:$B$455,0),0)</f>
        <v>0</v>
      </c>
      <c r="L176" s="113">
        <f t="shared" si="85"/>
        <v>6017.1693334783249</v>
      </c>
      <c r="N176" s="91" t="s">
        <v>32</v>
      </c>
      <c r="O176" s="192">
        <f>_xlfn.IFNA(MATCH(N176,'Function Factors'!$B$9:$B$455,0),0)</f>
        <v>36</v>
      </c>
      <c r="P176" s="200">
        <f ca="1">OFFSET('Function Factors'!$B$9,$O176-1,P$14)*$L176+OFFSET('Function Factors'!$B$9,$K176-1,P$14)*$H176</f>
        <v>0</v>
      </c>
      <c r="R176" s="200">
        <f ca="1">OFFSET('Function Factors'!$B$9,$O176-1,R$14)*$L176+OFFSET('Function Factors'!$B$9,$K176-1,R$14)*$H176</f>
        <v>0</v>
      </c>
      <c r="S176" s="200"/>
      <c r="T176" s="200">
        <f ca="1">OFFSET('Function Factors'!$B$9,$O176-1,T$14)*$L176+OFFSET('Function Factors'!$B$9,$K176-1,T$14)*$H176</f>
        <v>0</v>
      </c>
      <c r="U176" s="200"/>
      <c r="V176" s="200">
        <f ca="1">OFFSET('Function Factors'!$B$9,$O176-1,V$14)*$L176+OFFSET('Function Factors'!$B$9,$K176-1,V$14)*$H176</f>
        <v>6017.1693334783249</v>
      </c>
      <c r="X176" s="200">
        <f t="shared" ca="1" si="86"/>
        <v>6017.1693334783249</v>
      </c>
      <c r="Z176" s="35" t="str">
        <f t="shared" ca="1" si="62"/>
        <v/>
      </c>
    </row>
    <row r="177" spans="2:26" ht="13" x14ac:dyDescent="0.3">
      <c r="B177" s="28"/>
      <c r="X177" s="200"/>
      <c r="Z177" s="35" t="str">
        <f t="shared" si="62"/>
        <v/>
      </c>
    </row>
    <row r="178" spans="2:26" ht="13" x14ac:dyDescent="0.3">
      <c r="B178" s="28">
        <f>B176+1</f>
        <v>111</v>
      </c>
      <c r="D178" s="99" t="s">
        <v>484</v>
      </c>
      <c r="F178" s="79">
        <f>SUM(F170:F176)</f>
        <v>85633.427639633912</v>
      </c>
      <c r="H178" s="79">
        <f>SUM(H170:H176)</f>
        <v>0</v>
      </c>
      <c r="L178" s="79">
        <f>SUM(L170:L176)</f>
        <v>85633.427639633912</v>
      </c>
      <c r="P178" s="79">
        <f ca="1">SUM(P170:P176)</f>
        <v>20700.84256063772</v>
      </c>
      <c r="Q178" s="113"/>
      <c r="R178" s="79">
        <f ca="1">SUM(R170:R176)</f>
        <v>0</v>
      </c>
      <c r="S178" s="113"/>
      <c r="T178" s="79">
        <f ca="1">SUM(T170:T176)</f>
        <v>0</v>
      </c>
      <c r="U178" s="113"/>
      <c r="V178" s="79">
        <f ca="1">SUM(V170:V176)</f>
        <v>64932.585078996191</v>
      </c>
      <c r="X178" s="79">
        <f ca="1">SUM(X170:X176)</f>
        <v>85633.427639633912</v>
      </c>
      <c r="Z178" s="35" t="str">
        <f t="shared" ca="1" si="62"/>
        <v/>
      </c>
    </row>
    <row r="179" spans="2:26" ht="13" x14ac:dyDescent="0.3">
      <c r="B179" s="28"/>
      <c r="Z179" s="35" t="str">
        <f t="shared" si="62"/>
        <v/>
      </c>
    </row>
    <row r="180" spans="2:26" ht="13.5" thickBot="1" x14ac:dyDescent="0.35">
      <c r="B180" s="28">
        <f>B178+1</f>
        <v>112</v>
      </c>
      <c r="D180" s="99" t="s">
        <v>172</v>
      </c>
      <c r="F180" s="207">
        <f>F164-F178</f>
        <v>6312905.4994431324</v>
      </c>
      <c r="H180" s="207">
        <f ca="1">H164-H178</f>
        <v>23197.563321055226</v>
      </c>
      <c r="L180" s="207">
        <f ca="1">L164-L178</f>
        <v>6289707.9361220784</v>
      </c>
      <c r="P180" s="207">
        <f ca="1">P164-P178</f>
        <v>3112971.5501526338</v>
      </c>
      <c r="R180" s="207">
        <f ca="1">R164-R178</f>
        <v>224417.96329704439</v>
      </c>
      <c r="T180" s="207">
        <f ca="1">T164-T178</f>
        <v>470426.6214762858</v>
      </c>
      <c r="V180" s="207">
        <f ca="1">V164-V178</f>
        <v>2505089.3645171691</v>
      </c>
      <c r="X180" s="207">
        <f ca="1">X164-X178</f>
        <v>6312905.4994431334</v>
      </c>
      <c r="Z180" s="35" t="str">
        <f t="shared" ca="1" si="62"/>
        <v/>
      </c>
    </row>
    <row r="181" spans="2:26" ht="13" thickTop="1" x14ac:dyDescent="0.25">
      <c r="D181" s="99" t="s">
        <v>487</v>
      </c>
    </row>
    <row r="184" spans="2:26" x14ac:dyDescent="0.25">
      <c r="P184" s="113"/>
      <c r="R184" s="113"/>
      <c r="T184" s="113"/>
      <c r="V184" s="113"/>
      <c r="X184" s="113"/>
    </row>
    <row r="185" spans="2:26" x14ac:dyDescent="0.25">
      <c r="P185" s="113"/>
      <c r="R185" s="113"/>
      <c r="T185" s="113"/>
      <c r="V185" s="113"/>
      <c r="X185" s="113"/>
    </row>
    <row r="186" spans="2:26" x14ac:dyDescent="0.25">
      <c r="P186" s="113"/>
    </row>
    <row r="187" spans="2:26" x14ac:dyDescent="0.25">
      <c r="X187" s="113"/>
    </row>
    <row r="188" spans="2:26" x14ac:dyDescent="0.25">
      <c r="P188" s="113"/>
      <c r="R188" s="113"/>
      <c r="T188" s="113"/>
      <c r="V188" s="113"/>
      <c r="X188" s="113"/>
    </row>
    <row r="189" spans="2:26" x14ac:dyDescent="0.25">
      <c r="P189" s="113"/>
      <c r="R189" s="113"/>
      <c r="T189" s="113"/>
      <c r="V189" s="113"/>
      <c r="X189" s="113"/>
    </row>
  </sheetData>
  <mergeCells count="3">
    <mergeCell ref="B5:X5"/>
    <mergeCell ref="B6:X6"/>
    <mergeCell ref="B7:X7"/>
  </mergeCells>
  <pageMargins left="0.7" right="0.7" top="0.75" bottom="0.75" header="0.3" footer="0.3"/>
  <pageSetup scale="55" fitToHeight="4" orientation="landscape" r:id="rId1"/>
  <headerFooter>
    <oddHeader xml:space="preserve">&amp;R&amp;"Arial,Regular"&amp;10Filed: 2023-03-08
EB-2022-0200
Exhibit I.7.1-IGUA-72
Attachment 1
</oddHeader>
  </headerFooter>
  <rowBreaks count="1" manualBreakCount="1">
    <brk id="111" max="23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dimension ref="A3:BX148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36" customWidth="1"/>
    <col min="4" max="4" width="15.7265625" style="1" customWidth="1"/>
    <col min="5" max="5" width="1.7265625" style="24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1.7265625" style="1" customWidth="1"/>
    <col min="14" max="14" width="15.7265625" style="1" customWidth="1"/>
    <col min="15" max="15" width="1.7265625" style="1" customWidth="1"/>
    <col min="16" max="16" width="15.7265625" style="1" customWidth="1"/>
    <col min="17" max="17" width="1.7265625" style="1" customWidth="1"/>
    <col min="18" max="18" width="15.7265625" style="1" customWidth="1"/>
    <col min="19" max="19" width="1.7265625" style="1" customWidth="1"/>
    <col min="20" max="20" width="15.7265625" style="1" customWidth="1"/>
    <col min="21" max="21" width="1.7265625" style="1" customWidth="1"/>
    <col min="22" max="22" width="15.7265625" style="1" customWidth="1"/>
    <col min="23" max="23" width="1.7265625" style="1" customWidth="1"/>
    <col min="24" max="24" width="15.7265625" style="1" customWidth="1"/>
    <col min="25" max="25" width="9.1796875" style="97"/>
    <col min="26" max="26" width="9.1796875" style="1" customWidth="1"/>
    <col min="27" max="27" width="9.1796875" style="97" customWidth="1"/>
    <col min="28" max="28" width="25.81640625" style="97" bestFit="1" customWidth="1"/>
    <col min="29" max="29" width="1.7265625" style="97" customWidth="1"/>
    <col min="30" max="30" width="11.7265625" style="97" customWidth="1"/>
    <col min="31" max="31" width="1.7265625" style="97" customWidth="1"/>
    <col min="32" max="32" width="11.7265625" style="97" customWidth="1"/>
    <col min="33" max="33" width="1.7265625" style="97" customWidth="1"/>
    <col min="34" max="34" width="11.7265625" style="97" customWidth="1"/>
    <col min="35" max="35" width="1.7265625" style="97" customWidth="1"/>
    <col min="36" max="36" width="11.7265625" style="97" customWidth="1"/>
    <col min="37" max="37" width="1.7265625" style="97" customWidth="1"/>
    <col min="38" max="38" width="11.7265625" style="97" customWidth="1"/>
    <col min="39" max="39" width="1.7265625" style="97" customWidth="1"/>
    <col min="40" max="40" width="11.7265625" style="97" customWidth="1"/>
    <col min="41" max="41" width="1.7265625" style="97" customWidth="1"/>
    <col min="42" max="42" width="11.7265625" style="97" customWidth="1"/>
    <col min="43" max="43" width="1.7265625" style="97" customWidth="1"/>
    <col min="44" max="44" width="11.7265625" style="97" customWidth="1"/>
    <col min="45" max="45" width="1.7265625" style="97" customWidth="1"/>
    <col min="46" max="46" width="11.7265625" style="109" customWidth="1"/>
    <col min="47" max="47" width="1.7265625" style="97" customWidth="1"/>
    <col min="48" max="48" width="11.7265625" style="97" customWidth="1"/>
    <col min="49" max="49" width="9.1796875" style="97" customWidth="1"/>
    <col min="50" max="53" width="9.1796875" style="109" customWidth="1"/>
    <col min="54" max="71" width="9.1796875" style="84" customWidth="1"/>
    <col min="72" max="75" width="9" style="84" customWidth="1"/>
    <col min="76" max="76" width="9" style="99" customWidth="1"/>
    <col min="77" max="77" width="9" style="1" customWidth="1"/>
    <col min="78" max="16384" width="9.1796875" style="1"/>
  </cols>
  <sheetData>
    <row r="3" spans="1:75" s="99" customFormat="1" x14ac:dyDescent="0.25">
      <c r="C3" s="163"/>
      <c r="E3" s="97"/>
      <c r="Y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109"/>
      <c r="AU3" s="97"/>
      <c r="AV3" s="97"/>
      <c r="AW3" s="97"/>
      <c r="AX3" s="109"/>
      <c r="AY3" s="109"/>
      <c r="AZ3" s="109"/>
      <c r="BA3" s="109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</row>
    <row r="4" spans="1:75" s="99" customFormat="1" x14ac:dyDescent="0.25">
      <c r="C4" s="163"/>
      <c r="E4" s="97"/>
      <c r="Y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109"/>
      <c r="AU4" s="97"/>
      <c r="AV4" s="97"/>
      <c r="AW4" s="97"/>
      <c r="AX4" s="109"/>
      <c r="AY4" s="109"/>
      <c r="AZ4" s="109"/>
      <c r="BA4" s="109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</row>
    <row r="5" spans="1:75" s="99" customFormat="1" x14ac:dyDescent="0.25">
      <c r="C5" s="163"/>
      <c r="E5" s="97"/>
      <c r="Y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109"/>
      <c r="AU5" s="97"/>
      <c r="AV5" s="97"/>
      <c r="AW5" s="97"/>
      <c r="AX5" s="109"/>
      <c r="AY5" s="109"/>
      <c r="AZ5" s="109"/>
      <c r="BA5" s="109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</row>
    <row r="6" spans="1:75" s="99" customFormat="1" x14ac:dyDescent="0.25">
      <c r="B6" s="263" t="s">
        <v>412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109"/>
      <c r="AU6" s="97"/>
      <c r="AV6" s="97"/>
      <c r="AW6" s="97"/>
      <c r="AX6" s="109"/>
      <c r="AY6" s="109"/>
      <c r="AZ6" s="109"/>
      <c r="BA6" s="109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</row>
    <row r="7" spans="1:75" s="99" customFormat="1" x14ac:dyDescent="0.25">
      <c r="B7" s="263" t="s">
        <v>474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109"/>
      <c r="AU7" s="97"/>
      <c r="AV7" s="97"/>
      <c r="AW7" s="97"/>
      <c r="AX7" s="109"/>
      <c r="AY7" s="109"/>
      <c r="AZ7" s="109"/>
      <c r="BA7" s="109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</row>
    <row r="8" spans="1:75" s="99" customFormat="1" x14ac:dyDescent="0.25">
      <c r="C8" s="163"/>
      <c r="E8" s="97"/>
      <c r="Y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109"/>
      <c r="AU8" s="97"/>
      <c r="AV8" s="97"/>
      <c r="AW8" s="97"/>
      <c r="AX8" s="109"/>
      <c r="AY8" s="109"/>
      <c r="AZ8" s="109"/>
      <c r="BA8" s="109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</row>
    <row r="9" spans="1:75" ht="14.5" x14ac:dyDescent="0.35">
      <c r="A9" s="99"/>
      <c r="B9" s="99"/>
      <c r="D9" s="99"/>
      <c r="E9" s="99"/>
      <c r="F9" s="265" t="s">
        <v>63</v>
      </c>
      <c r="G9" s="266"/>
      <c r="H9" s="266"/>
      <c r="I9" s="266"/>
      <c r="J9" s="266"/>
      <c r="K9" s="266"/>
      <c r="L9" s="266"/>
      <c r="M9" s="99"/>
      <c r="N9" s="265" t="s">
        <v>64</v>
      </c>
      <c r="O9" s="265"/>
      <c r="P9" s="265"/>
      <c r="Q9" s="265"/>
      <c r="R9" s="265"/>
      <c r="S9" s="265"/>
      <c r="T9" s="265"/>
      <c r="U9" s="265"/>
      <c r="V9" s="265"/>
      <c r="W9" s="217"/>
      <c r="X9" s="217"/>
    </row>
    <row r="10" spans="1:75" x14ac:dyDescent="0.25">
      <c r="A10" s="99"/>
      <c r="B10" s="99"/>
      <c r="D10" s="99"/>
      <c r="E10" s="99"/>
      <c r="F10" s="136"/>
      <c r="G10" s="99"/>
      <c r="H10" s="136"/>
      <c r="I10" s="99"/>
      <c r="J10" s="136"/>
      <c r="K10" s="99"/>
      <c r="L10" s="136" t="s">
        <v>137</v>
      </c>
      <c r="M10" s="99"/>
      <c r="N10" s="99"/>
      <c r="O10" s="99"/>
      <c r="P10" s="99"/>
      <c r="Q10" s="99"/>
      <c r="R10" s="99"/>
      <c r="S10" s="99"/>
      <c r="T10" s="99"/>
      <c r="U10" s="99"/>
      <c r="V10" s="136" t="s">
        <v>68</v>
      </c>
      <c r="W10" s="99"/>
      <c r="X10" s="2"/>
      <c r="AX10" s="41"/>
    </row>
    <row r="11" spans="1:75" x14ac:dyDescent="0.25">
      <c r="A11" s="136" t="s">
        <v>2</v>
      </c>
      <c r="B11" s="136" t="s">
        <v>10</v>
      </c>
      <c r="D11" s="99"/>
      <c r="E11" s="99"/>
      <c r="F11" s="136" t="s">
        <v>364</v>
      </c>
      <c r="G11" s="136"/>
      <c r="H11" s="136" t="s">
        <v>364</v>
      </c>
      <c r="I11" s="3"/>
      <c r="J11" s="2" t="s">
        <v>365</v>
      </c>
      <c r="K11" s="3"/>
      <c r="L11" s="2" t="s">
        <v>151</v>
      </c>
      <c r="M11" s="3"/>
      <c r="N11" s="2" t="s">
        <v>10</v>
      </c>
      <c r="O11" s="2"/>
      <c r="P11" s="2" t="s">
        <v>10</v>
      </c>
      <c r="Q11" s="2"/>
      <c r="R11" s="2" t="s">
        <v>10</v>
      </c>
      <c r="S11" s="2"/>
      <c r="T11" s="2" t="s">
        <v>210</v>
      </c>
      <c r="U11" s="2"/>
      <c r="V11" s="2" t="s">
        <v>151</v>
      </c>
      <c r="W11" s="2"/>
      <c r="X11" s="2" t="s">
        <v>10</v>
      </c>
      <c r="AX11" s="41"/>
      <c r="BE11" s="25"/>
      <c r="BF11" s="25"/>
      <c r="BG11" s="25"/>
      <c r="BH11" s="25"/>
      <c r="BI11" s="25"/>
      <c r="BJ11" s="25"/>
      <c r="BK11" s="25"/>
      <c r="BM11" s="25"/>
      <c r="BN11" s="25"/>
      <c r="BO11" s="25"/>
      <c r="BP11" s="25"/>
      <c r="BQ11" s="25"/>
      <c r="BR11" s="25"/>
      <c r="BS11" s="25"/>
      <c r="BT11" s="25"/>
      <c r="BU11" s="25"/>
    </row>
    <row r="12" spans="1:75" x14ac:dyDescent="0.25">
      <c r="A12" s="137" t="s">
        <v>4</v>
      </c>
      <c r="B12" s="137" t="s">
        <v>354</v>
      </c>
      <c r="D12" s="137" t="s">
        <v>11</v>
      </c>
      <c r="E12" s="99"/>
      <c r="F12" s="137" t="s">
        <v>374</v>
      </c>
      <c r="G12" s="136"/>
      <c r="H12" s="137" t="s">
        <v>373</v>
      </c>
      <c r="I12" s="136"/>
      <c r="J12" s="137" t="s">
        <v>152</v>
      </c>
      <c r="K12" s="136"/>
      <c r="L12" s="137" t="s">
        <v>127</v>
      </c>
      <c r="M12" s="136"/>
      <c r="N12" s="57" t="s">
        <v>23</v>
      </c>
      <c r="O12" s="2"/>
      <c r="P12" s="57" t="s">
        <v>31</v>
      </c>
      <c r="Q12" s="2"/>
      <c r="R12" s="57" t="s">
        <v>33</v>
      </c>
      <c r="S12" s="2"/>
      <c r="T12" s="57" t="s">
        <v>208</v>
      </c>
      <c r="U12" s="2"/>
      <c r="V12" s="57" t="s">
        <v>127</v>
      </c>
      <c r="W12" s="2"/>
      <c r="X12" s="57" t="s">
        <v>49</v>
      </c>
      <c r="AX12" s="41"/>
      <c r="BE12" s="173"/>
      <c r="BG12" s="173"/>
      <c r="BI12" s="173"/>
      <c r="BK12" s="173"/>
      <c r="BU12" s="173"/>
      <c r="BW12" s="56"/>
    </row>
    <row r="13" spans="1:75" x14ac:dyDescent="0.25">
      <c r="A13" s="19"/>
      <c r="B13" s="19"/>
      <c r="D13" s="19" t="s">
        <v>12</v>
      </c>
      <c r="E13" s="99"/>
      <c r="F13" s="19" t="s">
        <v>13</v>
      </c>
      <c r="G13" s="136"/>
      <c r="H13" s="19" t="s">
        <v>14</v>
      </c>
      <c r="I13" s="136"/>
      <c r="J13" s="19" t="s">
        <v>415</v>
      </c>
      <c r="K13" s="136"/>
      <c r="L13" s="19" t="s">
        <v>15</v>
      </c>
      <c r="M13" s="136"/>
      <c r="N13" s="56" t="s">
        <v>16</v>
      </c>
      <c r="O13" s="2"/>
      <c r="P13" s="56" t="s">
        <v>59</v>
      </c>
      <c r="Q13" s="2"/>
      <c r="R13" s="56" t="s">
        <v>61</v>
      </c>
      <c r="S13" s="2"/>
      <c r="T13" s="56" t="s">
        <v>62</v>
      </c>
      <c r="U13" s="2"/>
      <c r="V13" s="56" t="s">
        <v>105</v>
      </c>
      <c r="W13" s="2"/>
      <c r="X13" s="56" t="s">
        <v>166</v>
      </c>
      <c r="AX13" s="41"/>
      <c r="AZ13" s="41"/>
      <c r="BE13" s="173"/>
      <c r="BF13" s="173"/>
      <c r="BG13" s="173"/>
      <c r="BH13" s="174"/>
      <c r="BI13" s="56"/>
      <c r="BJ13" s="174"/>
      <c r="BK13" s="56"/>
      <c r="BL13" s="174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</row>
    <row r="14" spans="1:75" x14ac:dyDescent="0.25">
      <c r="A14" s="84"/>
      <c r="B14" s="84"/>
      <c r="C14" s="19"/>
      <c r="D14" s="19"/>
      <c r="E14" s="19"/>
      <c r="F14" s="154"/>
      <c r="G14" s="19"/>
      <c r="H14" s="154"/>
      <c r="I14" s="19"/>
      <c r="J14" s="154"/>
      <c r="K14" s="19"/>
      <c r="L14" s="154"/>
      <c r="M14" s="84"/>
      <c r="N14" s="154"/>
      <c r="O14" s="19"/>
      <c r="P14" s="154"/>
      <c r="Q14" s="84"/>
      <c r="R14" s="154"/>
      <c r="S14" s="84"/>
      <c r="T14" s="154"/>
      <c r="U14" s="19"/>
      <c r="V14" s="154"/>
      <c r="W14" s="19"/>
      <c r="X14" s="154"/>
      <c r="AX14" s="41"/>
      <c r="AZ14" s="41"/>
      <c r="BC14" s="173"/>
      <c r="BE14" s="173"/>
      <c r="BF14" s="173"/>
      <c r="BG14" s="173"/>
      <c r="BH14" s="173"/>
      <c r="BI14" s="173"/>
      <c r="BJ14" s="173"/>
      <c r="BK14" s="173"/>
      <c r="BL14" s="173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</row>
    <row r="15" spans="1:75" s="99" customFormat="1" x14ac:dyDescent="0.25">
      <c r="A15" s="136">
        <v>1</v>
      </c>
      <c r="C15" s="2" t="s">
        <v>417</v>
      </c>
      <c r="D15" s="22">
        <f ca="1">SUM(F15:X15)</f>
        <v>1787390.3339752508</v>
      </c>
      <c r="E15" s="22"/>
      <c r="F15" s="22">
        <v>0</v>
      </c>
      <c r="G15" s="22"/>
      <c r="H15" s="22">
        <v>0</v>
      </c>
      <c r="I15" s="22"/>
      <c r="J15" s="22">
        <f ca="1">'Distribution Class'!T164</f>
        <v>505800.29360904114</v>
      </c>
      <c r="K15" s="22"/>
      <c r="L15" s="22">
        <v>0</v>
      </c>
      <c r="M15" s="22"/>
      <c r="N15" s="22">
        <f ca="1">'Distribution Class'!X164</f>
        <v>358838.07449580694</v>
      </c>
      <c r="O15" s="22"/>
      <c r="P15" s="22">
        <f ca="1">'Distribution Class'!Z164</f>
        <v>568306.25453006662</v>
      </c>
      <c r="Q15" s="22"/>
      <c r="R15" s="22">
        <f ca="1">'Distribution Class'!AB164</f>
        <v>301364.32281612593</v>
      </c>
      <c r="S15" s="22"/>
      <c r="T15" s="22">
        <f ca="1">'Distribution Class'!AD164</f>
        <v>53081.38852421011</v>
      </c>
      <c r="U15" s="22"/>
      <c r="V15" s="22">
        <v>0</v>
      </c>
      <c r="W15" s="22"/>
      <c r="X15" s="22">
        <v>0</v>
      </c>
      <c r="Y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109"/>
      <c r="AU15" s="97"/>
      <c r="AV15" s="97"/>
      <c r="AW15" s="97"/>
      <c r="AX15" s="41"/>
      <c r="AY15" s="109"/>
      <c r="AZ15" s="109"/>
      <c r="BA15" s="109"/>
      <c r="BB15" s="84"/>
      <c r="BC15" s="173"/>
      <c r="BD15" s="173"/>
      <c r="BE15" s="154"/>
      <c r="BF15" s="173"/>
      <c r="BG15" s="154"/>
      <c r="BH15" s="173"/>
      <c r="BI15" s="154"/>
      <c r="BJ15" s="173"/>
      <c r="BK15" s="154"/>
      <c r="BL15" s="84"/>
      <c r="BM15" s="154"/>
      <c r="BN15" s="173"/>
      <c r="BO15" s="154"/>
      <c r="BP15" s="84"/>
      <c r="BQ15" s="154"/>
      <c r="BR15" s="84"/>
      <c r="BS15" s="154"/>
      <c r="BT15" s="173"/>
      <c r="BU15" s="154"/>
      <c r="BV15" s="173"/>
      <c r="BW15" s="154"/>
    </row>
    <row r="16" spans="1:75" s="99" customFormat="1" x14ac:dyDescent="0.25">
      <c r="A16" s="136">
        <v>2</v>
      </c>
      <c r="B16" s="2" t="s">
        <v>280</v>
      </c>
      <c r="C16" s="2"/>
      <c r="D16" s="65">
        <f ca="1">SUM(F16:X16)</f>
        <v>0.99999999999999989</v>
      </c>
      <c r="E16" s="65"/>
      <c r="F16" s="65">
        <f ca="1">IFERROR(F15/$D15,0)</f>
        <v>0</v>
      </c>
      <c r="G16" s="65"/>
      <c r="H16" s="65">
        <f ca="1">IFERROR(H15/$D15,0)</f>
        <v>0</v>
      </c>
      <c r="I16" s="65"/>
      <c r="J16" s="65">
        <f ca="1">IFERROR(J15/$D15,0)</f>
        <v>0.28298256066100264</v>
      </c>
      <c r="K16" s="65"/>
      <c r="L16" s="65">
        <f ca="1">IFERROR(L15/$D15,0)</f>
        <v>0</v>
      </c>
      <c r="M16" s="65"/>
      <c r="N16" s="65">
        <f ca="1">IFERROR(N15/$D15,0)</f>
        <v>0.20076089015079993</v>
      </c>
      <c r="O16" s="65"/>
      <c r="P16" s="65">
        <f ca="1">IFERROR(P15/$D15,0)</f>
        <v>0.31795307590487154</v>
      </c>
      <c r="Q16" s="65"/>
      <c r="R16" s="65">
        <f ca="1">IFERROR(R15/$D15,0)</f>
        <v>0.16860576958916171</v>
      </c>
      <c r="S16" s="65"/>
      <c r="T16" s="65">
        <f ca="1">IFERROR(T15/$D15,0)</f>
        <v>2.9697703694164156E-2</v>
      </c>
      <c r="U16" s="65"/>
      <c r="V16" s="65">
        <f ca="1">IFERROR(V15/$D15,0)</f>
        <v>0</v>
      </c>
      <c r="W16" s="65"/>
      <c r="X16" s="65">
        <f ca="1">IFERROR(X15/$D15,0)</f>
        <v>0</v>
      </c>
      <c r="Y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109"/>
      <c r="AU16" s="97"/>
      <c r="AV16" s="97"/>
      <c r="AW16" s="97"/>
      <c r="AX16" s="41"/>
      <c r="AY16" s="109"/>
      <c r="AZ16" s="109"/>
      <c r="BA16" s="109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</row>
    <row r="17" spans="1:75" s="99" customFormat="1" x14ac:dyDescent="0.25">
      <c r="A17" s="136"/>
      <c r="B17" s="2"/>
      <c r="C17" s="2"/>
      <c r="D17" s="34"/>
      <c r="F17" s="34"/>
      <c r="H17" s="34"/>
      <c r="J17" s="34"/>
      <c r="L17" s="34"/>
      <c r="N17" s="34"/>
      <c r="P17" s="34"/>
      <c r="R17" s="34"/>
      <c r="T17" s="34"/>
      <c r="V17" s="34"/>
      <c r="X17" s="34"/>
      <c r="Y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109"/>
      <c r="AU17" s="97"/>
      <c r="AV17" s="97"/>
      <c r="AW17" s="97"/>
      <c r="AX17" s="41"/>
      <c r="AY17" s="109"/>
      <c r="AZ17" s="42"/>
      <c r="BA17" s="170"/>
      <c r="BB17" s="84"/>
      <c r="BC17" s="30"/>
      <c r="BD17" s="84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</row>
    <row r="18" spans="1:75" s="99" customFormat="1" x14ac:dyDescent="0.25">
      <c r="A18" s="136">
        <v>3</v>
      </c>
      <c r="B18" s="2"/>
      <c r="C18" s="2" t="s">
        <v>417</v>
      </c>
      <c r="D18" s="134">
        <f>SUM(F18:X18)</f>
        <v>1</v>
      </c>
      <c r="E18" s="134"/>
      <c r="F18" s="134">
        <v>0</v>
      </c>
      <c r="G18" s="134"/>
      <c r="H18" s="134">
        <v>0</v>
      </c>
      <c r="I18" s="134"/>
      <c r="J18" s="134">
        <v>0</v>
      </c>
      <c r="K18" s="134"/>
      <c r="L18" s="134">
        <v>0</v>
      </c>
      <c r="M18" s="134"/>
      <c r="N18" s="134">
        <v>0</v>
      </c>
      <c r="O18" s="134"/>
      <c r="P18" s="134">
        <v>0</v>
      </c>
      <c r="Q18" s="134"/>
      <c r="R18" s="134">
        <v>1</v>
      </c>
      <c r="S18" s="134"/>
      <c r="T18" s="134">
        <v>0</v>
      </c>
      <c r="U18" s="134"/>
      <c r="V18" s="134">
        <v>0</v>
      </c>
      <c r="W18" s="134"/>
      <c r="X18" s="134">
        <v>0</v>
      </c>
      <c r="Y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109"/>
      <c r="AU18" s="97"/>
      <c r="AV18" s="97"/>
      <c r="AW18" s="97"/>
      <c r="AX18" s="41"/>
      <c r="AY18" s="109"/>
      <c r="AZ18" s="42"/>
      <c r="BA18" s="170"/>
      <c r="BB18" s="84"/>
      <c r="BC18" s="144"/>
      <c r="BD18" s="84"/>
      <c r="BE18" s="144"/>
      <c r="BF18" s="84"/>
      <c r="BG18" s="144"/>
      <c r="BH18" s="84"/>
      <c r="BI18" s="144"/>
      <c r="BJ18" s="84"/>
      <c r="BK18" s="144"/>
      <c r="BL18" s="84"/>
      <c r="BM18" s="144"/>
      <c r="BN18" s="84"/>
      <c r="BO18" s="144"/>
      <c r="BP18" s="84"/>
      <c r="BQ18" s="144"/>
      <c r="BR18" s="84"/>
      <c r="BS18" s="144"/>
      <c r="BT18" s="84"/>
      <c r="BU18" s="144"/>
      <c r="BV18" s="84"/>
      <c r="BW18" s="144"/>
    </row>
    <row r="19" spans="1:75" s="99" customFormat="1" x14ac:dyDescent="0.25">
      <c r="A19" s="136">
        <v>4</v>
      </c>
      <c r="B19" s="2" t="s">
        <v>272</v>
      </c>
      <c r="C19" s="2"/>
      <c r="D19" s="65">
        <f>SUM(F19:X19)</f>
        <v>1</v>
      </c>
      <c r="E19" s="65"/>
      <c r="F19" s="65">
        <f>IFERROR(F18/$D18,0)</f>
        <v>0</v>
      </c>
      <c r="G19" s="65"/>
      <c r="H19" s="65">
        <f>IFERROR(H18/$D18,0)</f>
        <v>0</v>
      </c>
      <c r="I19" s="65"/>
      <c r="J19" s="65">
        <f>IFERROR(J18/$D18,0)</f>
        <v>0</v>
      </c>
      <c r="K19" s="65"/>
      <c r="L19" s="65">
        <f>IFERROR(L18/$D18,0)</f>
        <v>0</v>
      </c>
      <c r="M19" s="65"/>
      <c r="N19" s="65">
        <f>IFERROR(N18/$D18,0)</f>
        <v>0</v>
      </c>
      <c r="O19" s="65"/>
      <c r="P19" s="65">
        <f>IFERROR(P18/$D18,0)</f>
        <v>0</v>
      </c>
      <c r="Q19" s="65"/>
      <c r="R19" s="65">
        <f>IFERROR(R18/$D18,0)</f>
        <v>1</v>
      </c>
      <c r="S19" s="65"/>
      <c r="T19" s="65">
        <f>IFERROR(T18/$D18,0)</f>
        <v>0</v>
      </c>
      <c r="U19" s="65"/>
      <c r="V19" s="65">
        <f>IFERROR(V18/$D18,0)</f>
        <v>0</v>
      </c>
      <c r="W19" s="65"/>
      <c r="X19" s="65">
        <f>IFERROR(X18/$D18,0)</f>
        <v>0</v>
      </c>
      <c r="Y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109"/>
      <c r="AU19" s="97"/>
      <c r="AV19" s="97"/>
      <c r="AW19" s="97"/>
      <c r="AX19" s="41"/>
      <c r="AY19" s="109"/>
      <c r="AZ19" s="42"/>
      <c r="BA19" s="170"/>
      <c r="BB19" s="84"/>
      <c r="BC19" s="175"/>
      <c r="BD19" s="84"/>
      <c r="BE19" s="144"/>
      <c r="BF19" s="84"/>
      <c r="BG19" s="144"/>
      <c r="BH19" s="84"/>
      <c r="BI19" s="144"/>
      <c r="BJ19" s="84"/>
      <c r="BK19" s="14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</row>
    <row r="20" spans="1:75" s="99" customFormat="1" x14ac:dyDescent="0.25">
      <c r="A20" s="136"/>
      <c r="B20" s="2"/>
      <c r="C20" s="2"/>
      <c r="D20" s="34"/>
      <c r="F20" s="34"/>
      <c r="H20" s="34"/>
      <c r="J20" s="34"/>
      <c r="L20" s="34"/>
      <c r="N20" s="34"/>
      <c r="P20" s="34"/>
      <c r="R20" s="34"/>
      <c r="T20" s="34"/>
      <c r="V20" s="34"/>
      <c r="X20" s="34"/>
      <c r="Y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109"/>
      <c r="AU20" s="97"/>
      <c r="AV20" s="97"/>
      <c r="AW20" s="97"/>
      <c r="AX20" s="41"/>
      <c r="AY20" s="109"/>
      <c r="AZ20" s="42"/>
      <c r="BA20" s="170"/>
      <c r="BB20" s="84"/>
      <c r="BC20" s="30"/>
      <c r="BD20" s="84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</row>
    <row r="21" spans="1:75" s="99" customFormat="1" x14ac:dyDescent="0.25">
      <c r="A21" s="136">
        <v>5</v>
      </c>
      <c r="B21" s="73"/>
      <c r="C21" s="2" t="s">
        <v>417</v>
      </c>
      <c r="D21" s="22">
        <f>SUM(F21:X21)</f>
        <v>1</v>
      </c>
      <c r="E21" s="22"/>
      <c r="F21" s="22">
        <v>0</v>
      </c>
      <c r="G21" s="22"/>
      <c r="H21" s="22">
        <v>0</v>
      </c>
      <c r="I21" s="22"/>
      <c r="J21" s="22">
        <v>0</v>
      </c>
      <c r="K21" s="22"/>
      <c r="L21" s="22">
        <v>0</v>
      </c>
      <c r="M21" s="22"/>
      <c r="N21" s="22">
        <v>0</v>
      </c>
      <c r="O21" s="22"/>
      <c r="P21" s="22">
        <v>1</v>
      </c>
      <c r="Q21" s="22"/>
      <c r="R21" s="22">
        <v>0</v>
      </c>
      <c r="S21" s="22"/>
      <c r="T21" s="22">
        <v>0</v>
      </c>
      <c r="U21" s="22"/>
      <c r="V21" s="22">
        <v>0</v>
      </c>
      <c r="W21" s="22"/>
      <c r="X21" s="22">
        <v>0</v>
      </c>
      <c r="Y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109"/>
      <c r="AU21" s="97"/>
      <c r="AV21" s="97"/>
      <c r="AW21" s="97"/>
      <c r="AX21" s="41"/>
      <c r="AY21" s="109"/>
      <c r="AZ21" s="42"/>
      <c r="BA21" s="170"/>
      <c r="BB21" s="84"/>
      <c r="BC21" s="144"/>
      <c r="BD21" s="84"/>
      <c r="BE21" s="144"/>
      <c r="BF21" s="84"/>
      <c r="BG21" s="144"/>
      <c r="BH21" s="84"/>
      <c r="BI21" s="144"/>
      <c r="BJ21" s="84"/>
      <c r="BK21" s="144"/>
      <c r="BL21" s="84"/>
      <c r="BM21" s="144"/>
      <c r="BN21" s="84"/>
      <c r="BO21" s="144"/>
      <c r="BP21" s="84"/>
      <c r="BQ21" s="144"/>
      <c r="BR21" s="84"/>
      <c r="BS21" s="144"/>
      <c r="BT21" s="84"/>
      <c r="BU21" s="144"/>
      <c r="BV21" s="84"/>
      <c r="BW21" s="144"/>
    </row>
    <row r="22" spans="1:75" s="99" customFormat="1" x14ac:dyDescent="0.25">
      <c r="A22" s="136">
        <v>6</v>
      </c>
      <c r="B22" s="2" t="s">
        <v>275</v>
      </c>
      <c r="C22" s="2"/>
      <c r="D22" s="65">
        <f>SUM(F22:X22)</f>
        <v>1</v>
      </c>
      <c r="E22" s="65"/>
      <c r="F22" s="65">
        <f>IFERROR(F21/$D21,0)</f>
        <v>0</v>
      </c>
      <c r="G22" s="65"/>
      <c r="H22" s="65">
        <f>IFERROR(H21/$D21,0)</f>
        <v>0</v>
      </c>
      <c r="I22" s="65"/>
      <c r="J22" s="65">
        <f>IFERROR(J21/$D21,0)</f>
        <v>0</v>
      </c>
      <c r="K22" s="65"/>
      <c r="L22" s="65">
        <f>IFERROR(L21/$D21,0)</f>
        <v>0</v>
      </c>
      <c r="M22" s="65"/>
      <c r="N22" s="65">
        <f>IFERROR(N21/$D21,0)</f>
        <v>0</v>
      </c>
      <c r="O22" s="65"/>
      <c r="P22" s="65">
        <f>IFERROR(P21/$D21,0)</f>
        <v>1</v>
      </c>
      <c r="Q22" s="65"/>
      <c r="R22" s="65">
        <f>IFERROR(R21/$D21,0)</f>
        <v>0</v>
      </c>
      <c r="S22" s="65"/>
      <c r="T22" s="65">
        <f>IFERROR(T21/$D21,0)</f>
        <v>0</v>
      </c>
      <c r="U22" s="65"/>
      <c r="V22" s="65">
        <f>IFERROR(V21/$D21,0)</f>
        <v>0</v>
      </c>
      <c r="W22" s="65"/>
      <c r="X22" s="65">
        <f>IFERROR(X21/$D21,0)</f>
        <v>0</v>
      </c>
      <c r="Y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109"/>
      <c r="AU22" s="97"/>
      <c r="AV22" s="97"/>
      <c r="AW22" s="97"/>
      <c r="AX22" s="41"/>
      <c r="AY22" s="109"/>
      <c r="AZ22" s="170"/>
      <c r="BA22" s="170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</row>
    <row r="23" spans="1:75" s="99" customFormat="1" x14ac:dyDescent="0.25">
      <c r="A23" s="136"/>
      <c r="B23" s="2"/>
      <c r="C23" s="2"/>
      <c r="D23" s="34"/>
      <c r="F23" s="34"/>
      <c r="H23" s="34"/>
      <c r="J23" s="34"/>
      <c r="L23" s="34"/>
      <c r="N23" s="34"/>
      <c r="P23" s="34"/>
      <c r="R23" s="34"/>
      <c r="T23" s="34"/>
      <c r="V23" s="34"/>
      <c r="X23" s="34"/>
      <c r="Y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109"/>
      <c r="AU23" s="97"/>
      <c r="AV23" s="97"/>
      <c r="AW23" s="97"/>
      <c r="AX23" s="41"/>
      <c r="AY23" s="109"/>
      <c r="AZ23" s="42"/>
      <c r="BA23" s="170"/>
      <c r="BB23" s="84"/>
      <c r="BC23" s="30"/>
      <c r="BD23" s="84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</row>
    <row r="24" spans="1:75" s="99" customFormat="1" x14ac:dyDescent="0.25">
      <c r="A24" s="136">
        <v>7</v>
      </c>
      <c r="B24" s="73"/>
      <c r="C24" s="2" t="s">
        <v>417</v>
      </c>
      <c r="D24" s="22">
        <f>SUM(F24:X24)</f>
        <v>1</v>
      </c>
      <c r="E24" s="22"/>
      <c r="F24" s="22">
        <v>0</v>
      </c>
      <c r="G24" s="22"/>
      <c r="H24" s="22">
        <v>0</v>
      </c>
      <c r="I24" s="22"/>
      <c r="J24" s="22">
        <v>0</v>
      </c>
      <c r="K24" s="22"/>
      <c r="L24" s="22">
        <v>0</v>
      </c>
      <c r="M24" s="22"/>
      <c r="N24" s="22">
        <v>0</v>
      </c>
      <c r="O24" s="22"/>
      <c r="P24" s="22">
        <v>0</v>
      </c>
      <c r="Q24" s="22"/>
      <c r="R24" s="22">
        <v>0</v>
      </c>
      <c r="S24" s="22"/>
      <c r="T24" s="22">
        <v>0</v>
      </c>
      <c r="U24" s="22"/>
      <c r="V24" s="22">
        <v>1</v>
      </c>
      <c r="W24" s="22"/>
      <c r="X24" s="22">
        <v>0</v>
      </c>
      <c r="Y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109"/>
      <c r="AU24" s="97"/>
      <c r="AV24" s="97"/>
      <c r="AW24" s="97"/>
      <c r="AX24" s="41"/>
      <c r="AY24" s="109"/>
      <c r="AZ24" s="42"/>
      <c r="BA24" s="170"/>
      <c r="BB24" s="84"/>
      <c r="BC24" s="144"/>
      <c r="BD24" s="84"/>
      <c r="BE24" s="144"/>
      <c r="BF24" s="84"/>
      <c r="BG24" s="144"/>
      <c r="BH24" s="84"/>
      <c r="BI24" s="144"/>
      <c r="BJ24" s="84"/>
      <c r="BK24" s="144"/>
      <c r="BL24" s="84"/>
      <c r="BM24" s="144"/>
      <c r="BN24" s="84"/>
      <c r="BO24" s="144"/>
      <c r="BP24" s="84"/>
      <c r="BQ24" s="144"/>
      <c r="BR24" s="84"/>
      <c r="BS24" s="144"/>
      <c r="BT24" s="84"/>
      <c r="BU24" s="144"/>
      <c r="BV24" s="84"/>
      <c r="BW24" s="144"/>
    </row>
    <row r="25" spans="1:75" s="99" customFormat="1" x14ac:dyDescent="0.25">
      <c r="A25" s="136">
        <v>8</v>
      </c>
      <c r="B25" s="2" t="s">
        <v>207</v>
      </c>
      <c r="C25" s="2"/>
      <c r="D25" s="65">
        <f>SUM(F25:X25)</f>
        <v>1</v>
      </c>
      <c r="E25" s="65"/>
      <c r="F25" s="65">
        <f>IFERROR(F24/$D24,0)</f>
        <v>0</v>
      </c>
      <c r="G25" s="65"/>
      <c r="H25" s="65">
        <f>IFERROR(H24/$D24,0)</f>
        <v>0</v>
      </c>
      <c r="I25" s="65"/>
      <c r="J25" s="65">
        <f>IFERROR(J24/$D24,0)</f>
        <v>0</v>
      </c>
      <c r="K25" s="65"/>
      <c r="L25" s="65">
        <f>IFERROR(L24/$D24,0)</f>
        <v>0</v>
      </c>
      <c r="M25" s="65"/>
      <c r="N25" s="65">
        <f>IFERROR(N24/$D24,0)</f>
        <v>0</v>
      </c>
      <c r="O25" s="65"/>
      <c r="P25" s="65">
        <f>IFERROR(P24/$D24,0)</f>
        <v>0</v>
      </c>
      <c r="Q25" s="65"/>
      <c r="R25" s="65">
        <f>IFERROR(R24/$D24,0)</f>
        <v>0</v>
      </c>
      <c r="S25" s="65"/>
      <c r="T25" s="65">
        <f>IFERROR(T24/$D24,0)</f>
        <v>0</v>
      </c>
      <c r="U25" s="65"/>
      <c r="V25" s="65">
        <f>IFERROR(V24/$D24,0)</f>
        <v>1</v>
      </c>
      <c r="W25" s="65"/>
      <c r="X25" s="65">
        <f>IFERROR(X24/$D24,0)</f>
        <v>0</v>
      </c>
      <c r="Y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109"/>
      <c r="AU25" s="97"/>
      <c r="AV25" s="97"/>
      <c r="AW25" s="97"/>
      <c r="AX25" s="41"/>
      <c r="AY25" s="109"/>
      <c r="AZ25" s="170"/>
      <c r="BA25" s="170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</row>
    <row r="26" spans="1:75" s="99" customFormat="1" x14ac:dyDescent="0.25">
      <c r="A26" s="136"/>
      <c r="B26" s="2"/>
      <c r="C26" s="2"/>
      <c r="D26" s="34"/>
      <c r="F26" s="34"/>
      <c r="H26" s="34"/>
      <c r="J26" s="34"/>
      <c r="L26" s="34"/>
      <c r="N26" s="34"/>
      <c r="P26" s="34"/>
      <c r="R26" s="34"/>
      <c r="T26" s="34"/>
      <c r="V26" s="34"/>
      <c r="X26" s="34"/>
      <c r="Y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109"/>
      <c r="AU26" s="97"/>
      <c r="AV26" s="97"/>
      <c r="AW26" s="97"/>
      <c r="AX26" s="41"/>
      <c r="AY26" s="109"/>
      <c r="AZ26" s="42"/>
      <c r="BA26" s="170"/>
      <c r="BB26" s="84"/>
      <c r="BC26" s="30"/>
      <c r="BD26" s="84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</row>
    <row r="27" spans="1:75" s="99" customFormat="1" x14ac:dyDescent="0.25">
      <c r="A27" s="136">
        <v>9</v>
      </c>
      <c r="B27" s="2"/>
      <c r="C27" s="2" t="s">
        <v>417</v>
      </c>
      <c r="D27" s="22">
        <f>SUM(F27:X27)</f>
        <v>1</v>
      </c>
      <c r="E27" s="22"/>
      <c r="F27" s="22">
        <v>0</v>
      </c>
      <c r="G27" s="22"/>
      <c r="H27" s="22">
        <v>0</v>
      </c>
      <c r="I27" s="22"/>
      <c r="J27" s="22">
        <v>0</v>
      </c>
      <c r="K27" s="22"/>
      <c r="L27" s="22">
        <v>0</v>
      </c>
      <c r="M27" s="22"/>
      <c r="N27" s="22">
        <v>0</v>
      </c>
      <c r="O27" s="22"/>
      <c r="P27" s="22">
        <v>0</v>
      </c>
      <c r="Q27" s="22"/>
      <c r="R27" s="22">
        <v>0</v>
      </c>
      <c r="S27" s="22"/>
      <c r="T27" s="22">
        <v>1</v>
      </c>
      <c r="U27" s="22"/>
      <c r="V27" s="22">
        <v>0</v>
      </c>
      <c r="W27" s="22"/>
      <c r="X27" s="22">
        <v>0</v>
      </c>
      <c r="Y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109"/>
      <c r="AU27" s="97"/>
      <c r="AV27" s="97"/>
      <c r="AW27" s="97"/>
      <c r="AX27" s="41"/>
      <c r="AY27" s="109"/>
      <c r="AZ27" s="42"/>
      <c r="BA27" s="170"/>
      <c r="BB27" s="84"/>
      <c r="BC27" s="144"/>
      <c r="BD27" s="84"/>
      <c r="BE27" s="144"/>
      <c r="BF27" s="84"/>
      <c r="BG27" s="144"/>
      <c r="BH27" s="84"/>
      <c r="BI27" s="144"/>
      <c r="BJ27" s="84"/>
      <c r="BK27" s="144"/>
      <c r="BL27" s="84"/>
      <c r="BM27" s="144"/>
      <c r="BN27" s="84"/>
      <c r="BO27" s="144"/>
      <c r="BP27" s="84"/>
      <c r="BQ27" s="144"/>
      <c r="BR27" s="84"/>
      <c r="BS27" s="144"/>
      <c r="BT27" s="84"/>
      <c r="BU27" s="144"/>
      <c r="BV27" s="84"/>
      <c r="BW27" s="144"/>
    </row>
    <row r="28" spans="1:75" s="99" customFormat="1" x14ac:dyDescent="0.25">
      <c r="A28" s="136">
        <v>10</v>
      </c>
      <c r="B28" s="2" t="s">
        <v>273</v>
      </c>
      <c r="C28" s="2"/>
      <c r="D28" s="65">
        <f>SUM(F28:X28)</f>
        <v>1</v>
      </c>
      <c r="E28" s="65"/>
      <c r="F28" s="65">
        <f>IFERROR(F27/$D27,0)</f>
        <v>0</v>
      </c>
      <c r="G28" s="65"/>
      <c r="H28" s="65">
        <f>IFERROR(H27/$D27,0)</f>
        <v>0</v>
      </c>
      <c r="I28" s="65"/>
      <c r="J28" s="65">
        <f>IFERROR(J27/$D27,0)</f>
        <v>0</v>
      </c>
      <c r="K28" s="65"/>
      <c r="L28" s="65">
        <f>IFERROR(L27/$D27,0)</f>
        <v>0</v>
      </c>
      <c r="M28" s="65"/>
      <c r="N28" s="65">
        <f>IFERROR(N27/$D27,0)</f>
        <v>0</v>
      </c>
      <c r="O28" s="65"/>
      <c r="P28" s="65">
        <f>IFERROR(P27/$D27,0)</f>
        <v>0</v>
      </c>
      <c r="Q28" s="65"/>
      <c r="R28" s="65">
        <f>IFERROR(R27/$D27,0)</f>
        <v>0</v>
      </c>
      <c r="S28" s="65"/>
      <c r="T28" s="65">
        <f>IFERROR(T27/$D27,0)</f>
        <v>1</v>
      </c>
      <c r="U28" s="65"/>
      <c r="V28" s="65">
        <f>IFERROR(V27/$D27,0)</f>
        <v>0</v>
      </c>
      <c r="W28" s="65"/>
      <c r="X28" s="65">
        <f>IFERROR(X27/$D27,0)</f>
        <v>0</v>
      </c>
      <c r="Y28" s="97"/>
      <c r="AA28" s="97"/>
      <c r="AB28" s="97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41"/>
      <c r="AY28" s="109"/>
      <c r="AZ28" s="42"/>
      <c r="BA28" s="170"/>
      <c r="BB28" s="84"/>
      <c r="BC28" s="84"/>
      <c r="BD28" s="84"/>
      <c r="BE28" s="144"/>
      <c r="BF28" s="84"/>
      <c r="BG28" s="144"/>
      <c r="BH28" s="84"/>
      <c r="BI28" s="144"/>
      <c r="BJ28" s="84"/>
      <c r="BK28" s="144"/>
      <c r="BL28" s="84"/>
      <c r="BM28" s="144"/>
      <c r="BN28" s="84"/>
      <c r="BO28" s="144"/>
      <c r="BP28" s="84"/>
      <c r="BQ28" s="144"/>
      <c r="BR28" s="84"/>
      <c r="BS28" s="84"/>
      <c r="BT28" s="84"/>
      <c r="BU28" s="84"/>
      <c r="BV28" s="84"/>
      <c r="BW28" s="144"/>
    </row>
    <row r="29" spans="1:75" s="99" customFormat="1" x14ac:dyDescent="0.25">
      <c r="A29" s="136"/>
      <c r="B29" s="2"/>
      <c r="C29" s="2"/>
      <c r="D29" s="34"/>
      <c r="F29" s="34"/>
      <c r="H29" s="34"/>
      <c r="J29" s="34"/>
      <c r="L29" s="34"/>
      <c r="N29" s="34"/>
      <c r="P29" s="34"/>
      <c r="R29" s="34"/>
      <c r="T29" s="34"/>
      <c r="V29" s="34"/>
      <c r="X29" s="34"/>
      <c r="Y29" s="97"/>
      <c r="AA29" s="97"/>
      <c r="AB29" s="97"/>
      <c r="AC29" s="165"/>
      <c r="AD29" s="166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41"/>
      <c r="AY29" s="109"/>
      <c r="AZ29" s="42"/>
      <c r="BA29" s="170"/>
      <c r="BB29" s="84"/>
      <c r="BC29" s="30"/>
      <c r="BD29" s="84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</row>
    <row r="30" spans="1:75" s="99" customFormat="1" x14ac:dyDescent="0.25">
      <c r="A30" s="136">
        <v>11</v>
      </c>
      <c r="B30" s="73"/>
      <c r="C30" s="2" t="s">
        <v>417</v>
      </c>
      <c r="D30" s="22">
        <f>SUM(F30:X30)</f>
        <v>1</v>
      </c>
      <c r="E30" s="22"/>
      <c r="F30" s="22">
        <v>0</v>
      </c>
      <c r="G30" s="22"/>
      <c r="H30" s="22">
        <v>0</v>
      </c>
      <c r="I30" s="22"/>
      <c r="J30" s="22">
        <v>0</v>
      </c>
      <c r="K30" s="22"/>
      <c r="L30" s="22">
        <v>1</v>
      </c>
      <c r="M30" s="22"/>
      <c r="N30" s="22">
        <v>0</v>
      </c>
      <c r="O30" s="22"/>
      <c r="P30" s="22">
        <v>0</v>
      </c>
      <c r="Q30" s="22"/>
      <c r="R30" s="22">
        <v>0</v>
      </c>
      <c r="S30" s="22"/>
      <c r="T30" s="22">
        <v>0</v>
      </c>
      <c r="U30" s="22"/>
      <c r="V30" s="22">
        <v>0</v>
      </c>
      <c r="W30" s="22"/>
      <c r="X30" s="22">
        <v>0</v>
      </c>
      <c r="Y30" s="97"/>
      <c r="AA30" s="97"/>
      <c r="AB30" s="97"/>
      <c r="AC30" s="109"/>
      <c r="AD30" s="109"/>
      <c r="AE30" s="41"/>
      <c r="AF30" s="109"/>
      <c r="AG30" s="41"/>
      <c r="AH30" s="109"/>
      <c r="AI30" s="41"/>
      <c r="AJ30" s="109"/>
      <c r="AK30" s="41"/>
      <c r="AL30" s="109"/>
      <c r="AM30" s="109"/>
      <c r="AN30" s="109"/>
      <c r="AO30" s="109"/>
      <c r="AP30" s="109"/>
      <c r="AQ30" s="109"/>
      <c r="AR30" s="109"/>
      <c r="AS30" s="109"/>
      <c r="AT30" s="109"/>
      <c r="AU30" s="41"/>
      <c r="AV30" s="109"/>
      <c r="AW30" s="109"/>
      <c r="AX30" s="41"/>
      <c r="AY30" s="109"/>
      <c r="AZ30" s="42"/>
      <c r="BA30" s="170"/>
      <c r="BB30" s="84"/>
      <c r="BC30" s="144"/>
      <c r="BD30" s="84"/>
      <c r="BE30" s="144"/>
      <c r="BF30" s="84"/>
      <c r="BG30" s="144"/>
      <c r="BH30" s="84"/>
      <c r="BI30" s="144"/>
      <c r="BJ30" s="84"/>
      <c r="BK30" s="144"/>
      <c r="BL30" s="84"/>
      <c r="BM30" s="144"/>
      <c r="BN30" s="84"/>
      <c r="BO30" s="144"/>
      <c r="BP30" s="84"/>
      <c r="BQ30" s="144"/>
      <c r="BR30" s="84"/>
      <c r="BS30" s="144"/>
      <c r="BT30" s="84"/>
      <c r="BU30" s="144"/>
      <c r="BV30" s="84"/>
      <c r="BW30" s="144"/>
    </row>
    <row r="31" spans="1:75" s="99" customFormat="1" x14ac:dyDescent="0.25">
      <c r="A31" s="136">
        <v>12</v>
      </c>
      <c r="B31" s="2" t="s">
        <v>246</v>
      </c>
      <c r="C31" s="2"/>
      <c r="D31" s="65">
        <f>SUM(F31:X31)</f>
        <v>1</v>
      </c>
      <c r="E31" s="65"/>
      <c r="F31" s="65">
        <f>IFERROR(F30/$D30,0)</f>
        <v>0</v>
      </c>
      <c r="G31" s="65"/>
      <c r="H31" s="65">
        <f>IFERROR(H30/$D30,0)</f>
        <v>0</v>
      </c>
      <c r="I31" s="65"/>
      <c r="J31" s="65">
        <f>IFERROR(J30/$D30,0)</f>
        <v>0</v>
      </c>
      <c r="K31" s="65"/>
      <c r="L31" s="65">
        <f>IFERROR(L30/$D30,0)</f>
        <v>1</v>
      </c>
      <c r="M31" s="65"/>
      <c r="N31" s="65">
        <f>IFERROR(N30/$D30,0)</f>
        <v>0</v>
      </c>
      <c r="O31" s="65"/>
      <c r="P31" s="65">
        <f>IFERROR(P30/$D30,0)</f>
        <v>0</v>
      </c>
      <c r="Q31" s="65"/>
      <c r="R31" s="65">
        <f>IFERROR(R30/$D30,0)</f>
        <v>0</v>
      </c>
      <c r="S31" s="65"/>
      <c r="T31" s="65">
        <f>IFERROR(T30/$D30,0)</f>
        <v>0</v>
      </c>
      <c r="U31" s="65"/>
      <c r="V31" s="65">
        <f>IFERROR(V30/$D30,0)</f>
        <v>0</v>
      </c>
      <c r="W31" s="65"/>
      <c r="X31" s="65">
        <f>IFERROR(X30/$D30,0)</f>
        <v>0</v>
      </c>
      <c r="Y31" s="97"/>
      <c r="AA31" s="97"/>
      <c r="AB31" s="97"/>
      <c r="AC31" s="109"/>
      <c r="AD31" s="109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109"/>
      <c r="AZ31" s="170"/>
      <c r="BA31" s="170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</row>
    <row r="32" spans="1:75" s="99" customFormat="1" x14ac:dyDescent="0.25">
      <c r="A32" s="136"/>
      <c r="B32" s="2"/>
      <c r="C32" s="2"/>
      <c r="D32" s="34"/>
      <c r="F32" s="34"/>
      <c r="H32" s="34"/>
      <c r="J32" s="34"/>
      <c r="L32" s="34"/>
      <c r="N32" s="34"/>
      <c r="P32" s="34"/>
      <c r="R32" s="34"/>
      <c r="T32" s="34"/>
      <c r="V32" s="34"/>
      <c r="X32" s="34"/>
      <c r="Y32" s="97"/>
      <c r="AA32" s="97"/>
      <c r="AB32" s="97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41"/>
      <c r="AY32" s="109"/>
      <c r="AZ32" s="42"/>
      <c r="BA32" s="170"/>
      <c r="BB32" s="84"/>
      <c r="BC32" s="30"/>
      <c r="BD32" s="84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</row>
    <row r="33" spans="1:75" s="99" customFormat="1" x14ac:dyDescent="0.25">
      <c r="A33" s="136">
        <v>13</v>
      </c>
      <c r="B33" s="2"/>
      <c r="C33" s="2" t="s">
        <v>417</v>
      </c>
      <c r="D33" s="22">
        <f>SUM(F33:X33)</f>
        <v>1</v>
      </c>
      <c r="E33" s="22"/>
      <c r="F33" s="22">
        <v>0</v>
      </c>
      <c r="G33" s="22"/>
      <c r="H33" s="22">
        <v>0</v>
      </c>
      <c r="I33" s="22"/>
      <c r="J33" s="22">
        <v>0</v>
      </c>
      <c r="K33" s="22"/>
      <c r="L33" s="22">
        <v>0</v>
      </c>
      <c r="M33" s="22"/>
      <c r="N33" s="22">
        <v>0</v>
      </c>
      <c r="O33" s="22"/>
      <c r="P33" s="22">
        <v>0</v>
      </c>
      <c r="Q33" s="22"/>
      <c r="R33" s="22">
        <v>0</v>
      </c>
      <c r="S33" s="22"/>
      <c r="T33" s="22">
        <v>0</v>
      </c>
      <c r="U33" s="22"/>
      <c r="V33" s="22">
        <v>0</v>
      </c>
      <c r="W33" s="22"/>
      <c r="X33" s="22">
        <v>1</v>
      </c>
      <c r="Y33" s="97"/>
      <c r="AA33" s="97"/>
      <c r="AB33" s="97"/>
      <c r="AC33" s="109"/>
      <c r="AD33" s="109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109"/>
      <c r="AS33" s="30"/>
      <c r="AT33" s="109"/>
      <c r="AU33" s="30"/>
      <c r="AV33" s="109"/>
      <c r="AW33" s="30"/>
      <c r="AX33" s="41"/>
      <c r="AY33" s="109"/>
      <c r="AZ33" s="42"/>
      <c r="BA33" s="170"/>
      <c r="BB33" s="84"/>
      <c r="BC33" s="144"/>
      <c r="BD33" s="84"/>
      <c r="BE33" s="144"/>
      <c r="BF33" s="84"/>
      <c r="BG33" s="144"/>
      <c r="BH33" s="84"/>
      <c r="BI33" s="144"/>
      <c r="BJ33" s="84"/>
      <c r="BK33" s="144"/>
      <c r="BL33" s="84"/>
      <c r="BM33" s="144"/>
      <c r="BN33" s="84"/>
      <c r="BO33" s="144"/>
      <c r="BP33" s="84"/>
      <c r="BQ33" s="144"/>
      <c r="BR33" s="84"/>
      <c r="BS33" s="144"/>
      <c r="BT33" s="84"/>
      <c r="BU33" s="144"/>
      <c r="BV33" s="84"/>
      <c r="BW33" s="144"/>
    </row>
    <row r="34" spans="1:75" s="99" customFormat="1" x14ac:dyDescent="0.25">
      <c r="A34" s="136">
        <v>14</v>
      </c>
      <c r="B34" s="2" t="s">
        <v>293</v>
      </c>
      <c r="C34" s="2"/>
      <c r="D34" s="65">
        <f>SUM(F34:X34)</f>
        <v>1</v>
      </c>
      <c r="E34" s="65"/>
      <c r="F34" s="65">
        <f>IFERROR(F33/$D33,0)</f>
        <v>0</v>
      </c>
      <c r="G34" s="65"/>
      <c r="H34" s="65">
        <f>IFERROR(H33/$D33,0)</f>
        <v>0</v>
      </c>
      <c r="I34" s="65"/>
      <c r="J34" s="65">
        <f>IFERROR(J33/$D33,0)</f>
        <v>0</v>
      </c>
      <c r="K34" s="65"/>
      <c r="L34" s="65">
        <f>IFERROR(L33/$D33,0)</f>
        <v>0</v>
      </c>
      <c r="M34" s="65"/>
      <c r="N34" s="65">
        <f>IFERROR(N33/$D33,0)</f>
        <v>0</v>
      </c>
      <c r="O34" s="65"/>
      <c r="P34" s="65">
        <f>IFERROR(P33/$D33,0)</f>
        <v>0</v>
      </c>
      <c r="Q34" s="65"/>
      <c r="R34" s="65">
        <f>IFERROR(R33/$D33,0)</f>
        <v>0</v>
      </c>
      <c r="S34" s="65"/>
      <c r="T34" s="65">
        <f>IFERROR(T33/$D33,0)</f>
        <v>0</v>
      </c>
      <c r="U34" s="65"/>
      <c r="V34" s="65">
        <f>IFERROR(V33/$D33,0)</f>
        <v>0</v>
      </c>
      <c r="W34" s="65"/>
      <c r="X34" s="65">
        <f>IFERROR(X33/$D33,0)</f>
        <v>1</v>
      </c>
      <c r="Y34" s="97"/>
      <c r="AA34" s="97"/>
      <c r="AB34" s="97"/>
      <c r="AC34" s="109"/>
      <c r="AD34" s="109"/>
      <c r="AE34" s="144"/>
      <c r="AF34" s="144"/>
      <c r="AG34" s="144"/>
      <c r="AH34" s="144"/>
      <c r="AI34" s="144"/>
      <c r="AJ34" s="144"/>
      <c r="AK34" s="144"/>
      <c r="AL34" s="143"/>
      <c r="AM34" s="144"/>
      <c r="AN34" s="143"/>
      <c r="AO34" s="144"/>
      <c r="AP34" s="143"/>
      <c r="AQ34" s="144"/>
      <c r="AR34" s="143"/>
      <c r="AS34" s="144"/>
      <c r="AT34" s="143"/>
      <c r="AU34" s="144"/>
      <c r="AV34" s="143"/>
      <c r="AW34" s="144"/>
      <c r="AX34" s="41"/>
      <c r="AY34" s="109"/>
      <c r="AZ34" s="42"/>
      <c r="BA34" s="170"/>
      <c r="BB34" s="84"/>
      <c r="BC34" s="84"/>
      <c r="BD34" s="84"/>
      <c r="BE34" s="144"/>
      <c r="BF34" s="84"/>
      <c r="BG34" s="144"/>
      <c r="BH34" s="84"/>
      <c r="BI34" s="144"/>
      <c r="BJ34" s="84"/>
      <c r="BK34" s="144"/>
      <c r="BL34" s="84"/>
      <c r="BM34" s="144"/>
      <c r="BN34" s="84"/>
      <c r="BO34" s="144"/>
      <c r="BP34" s="84"/>
      <c r="BQ34" s="144"/>
      <c r="BR34" s="84"/>
      <c r="BS34" s="84"/>
      <c r="BT34" s="84"/>
      <c r="BU34" s="84"/>
      <c r="BV34" s="84"/>
      <c r="BW34" s="144"/>
    </row>
    <row r="35" spans="1:75" s="99" customFormat="1" ht="14.5" x14ac:dyDescent="0.35">
      <c r="A35" s="136"/>
      <c r="B35" s="2"/>
      <c r="C35" s="2"/>
      <c r="D35" s="34"/>
      <c r="F35" s="34"/>
      <c r="H35" s="34"/>
      <c r="J35" s="34"/>
      <c r="L35" s="34"/>
      <c r="N35" s="34"/>
      <c r="P35" s="34"/>
      <c r="R35" s="34"/>
      <c r="T35" s="34"/>
      <c r="V35" s="34"/>
      <c r="X35" s="34"/>
      <c r="Y35" s="97"/>
      <c r="AA35" s="97"/>
      <c r="AB35" s="97"/>
      <c r="AC35" s="145"/>
      <c r="AD35" s="145"/>
      <c r="AE35" s="145"/>
      <c r="AF35" s="145"/>
      <c r="AG35" s="145"/>
      <c r="AH35" s="145"/>
      <c r="AI35" s="145"/>
      <c r="AJ35" s="145"/>
      <c r="AK35" s="145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41"/>
      <c r="AY35" s="109"/>
      <c r="AZ35" s="42"/>
      <c r="BA35" s="170"/>
      <c r="BB35" s="84"/>
      <c r="BC35" s="30"/>
      <c r="BD35" s="84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s="99" customFormat="1" ht="13" x14ac:dyDescent="0.3">
      <c r="A36" s="136">
        <v>15</v>
      </c>
      <c r="B36" s="73"/>
      <c r="C36" s="2" t="s">
        <v>417</v>
      </c>
      <c r="D36" s="22">
        <f ca="1">SUM(F36:X36)</f>
        <v>660084.74657633237</v>
      </c>
      <c r="E36" s="22"/>
      <c r="F36" s="22">
        <f ca="1">+'Distribution Class'!AR31</f>
        <v>71500.592140392255</v>
      </c>
      <c r="G36" s="22"/>
      <c r="H36" s="22">
        <f ca="1">+'Distribution Class'!AT31</f>
        <v>13675.529322911509</v>
      </c>
      <c r="I36" s="22"/>
      <c r="J36" s="22">
        <f ca="1">+'Distribution Class'!AV31</f>
        <v>139369.19544518142</v>
      </c>
      <c r="K36" s="22"/>
      <c r="L36" s="22">
        <f ca="1">+'Distribution Class'!AX31</f>
        <v>0</v>
      </c>
      <c r="M36" s="22"/>
      <c r="N36" s="22">
        <f ca="1">+'Distribution Class'!AZ31</f>
        <v>99131.303688005602</v>
      </c>
      <c r="O36" s="22"/>
      <c r="P36" s="22">
        <f ca="1">+'Distribution Class'!BB31</f>
        <v>158270.5671030712</v>
      </c>
      <c r="Q36" s="22"/>
      <c r="R36" s="22">
        <f ca="1">+'Distribution Class'!BD31</f>
        <v>163104.39484024676</v>
      </c>
      <c r="S36" s="22"/>
      <c r="T36" s="22">
        <f ca="1">+'Distribution Class'!BF31</f>
        <v>15033.16403652362</v>
      </c>
      <c r="U36" s="22"/>
      <c r="V36" s="22">
        <f ca="1">+'Distribution Class'!BH31</f>
        <v>0</v>
      </c>
      <c r="W36" s="22"/>
      <c r="X36" s="22">
        <f ca="1">+'Distribution Class'!BJ31</f>
        <v>0</v>
      </c>
      <c r="Y36" s="151"/>
      <c r="AA36" s="97"/>
      <c r="AB36" s="97"/>
      <c r="AC36" s="109"/>
      <c r="AD36" s="109"/>
      <c r="AE36" s="31"/>
      <c r="AF36" s="31"/>
      <c r="AG36" s="31"/>
      <c r="AH36" s="31"/>
      <c r="AI36" s="31"/>
      <c r="AJ36" s="31"/>
      <c r="AK36" s="31"/>
      <c r="AL36" s="109"/>
      <c r="AM36" s="31"/>
      <c r="AN36" s="109"/>
      <c r="AO36" s="31"/>
      <c r="AP36" s="109"/>
      <c r="AQ36" s="31"/>
      <c r="AR36" s="109"/>
      <c r="AS36" s="31"/>
      <c r="AT36" s="109"/>
      <c r="AU36" s="31"/>
      <c r="AV36" s="109"/>
      <c r="AW36" s="31"/>
      <c r="AX36" s="41"/>
      <c r="AY36" s="109"/>
      <c r="AZ36" s="42"/>
      <c r="BA36" s="170"/>
      <c r="BB36" s="84"/>
      <c r="BC36" s="144"/>
      <c r="BD36" s="84"/>
      <c r="BE36" s="144"/>
      <c r="BF36" s="84"/>
      <c r="BG36" s="144"/>
      <c r="BH36" s="84"/>
      <c r="BI36" s="144"/>
      <c r="BJ36" s="84"/>
      <c r="BK36" s="144"/>
      <c r="BL36" s="84"/>
      <c r="BM36" s="144"/>
      <c r="BN36" s="84"/>
      <c r="BO36" s="144"/>
      <c r="BP36" s="84"/>
      <c r="BQ36" s="144"/>
      <c r="BR36" s="84"/>
      <c r="BS36" s="144"/>
      <c r="BT36" s="84"/>
      <c r="BU36" s="144"/>
      <c r="BV36" s="84"/>
      <c r="BW36" s="144"/>
    </row>
    <row r="37" spans="1:75" s="99" customFormat="1" x14ac:dyDescent="0.25">
      <c r="A37" s="136">
        <v>16</v>
      </c>
      <c r="B37" s="2" t="s">
        <v>278</v>
      </c>
      <c r="C37" s="2"/>
      <c r="D37" s="65">
        <f ca="1">SUM(F37:X37)</f>
        <v>1.0000000000000002</v>
      </c>
      <c r="E37" s="65"/>
      <c r="F37" s="65">
        <f ca="1">IFERROR(F36/$D36,0)</f>
        <v>0.10832032176359935</v>
      </c>
      <c r="G37" s="65"/>
      <c r="H37" s="65">
        <f ca="1">IFERROR(H36/$D36,0)</f>
        <v>2.0717838722743562E-2</v>
      </c>
      <c r="I37" s="65"/>
      <c r="J37" s="65">
        <f ca="1">IFERROR(J36/$D36,0)</f>
        <v>0.21113833665760179</v>
      </c>
      <c r="K37" s="65"/>
      <c r="L37" s="65">
        <f ca="1">IFERROR(L36/$D36,0)</f>
        <v>0</v>
      </c>
      <c r="M37" s="65"/>
      <c r="N37" s="65">
        <f ca="1">IFERROR(N36/$D36,0)</f>
        <v>0.15017966132708088</v>
      </c>
      <c r="O37" s="65"/>
      <c r="P37" s="65">
        <f ca="1">IFERROR(P36/$D36,0)</f>
        <v>0.23977310174788102</v>
      </c>
      <c r="Q37" s="65"/>
      <c r="R37" s="65">
        <f ca="1">IFERROR(R36/$D36,0)</f>
        <v>0.24709614286077936</v>
      </c>
      <c r="S37" s="65"/>
      <c r="T37" s="65">
        <f ca="1">IFERROR(T36/$D36,0)</f>
        <v>2.2774596920314052E-2</v>
      </c>
      <c r="U37" s="65"/>
      <c r="V37" s="65">
        <f ca="1">IFERROR(V36/$D36,0)</f>
        <v>0</v>
      </c>
      <c r="W37" s="65"/>
      <c r="X37" s="65">
        <f ca="1">IFERROR(X36/$D36,0)</f>
        <v>0</v>
      </c>
      <c r="Y37" s="97"/>
      <c r="AA37" s="97"/>
      <c r="AB37" s="97"/>
      <c r="AC37" s="109"/>
      <c r="AD37" s="109"/>
      <c r="AE37" s="167"/>
      <c r="AF37" s="168"/>
      <c r="AG37" s="167"/>
      <c r="AH37" s="168"/>
      <c r="AI37" s="167"/>
      <c r="AJ37" s="168"/>
      <c r="AK37" s="167"/>
      <c r="AL37" s="109"/>
      <c r="AM37" s="167"/>
      <c r="AN37" s="109"/>
      <c r="AO37" s="167"/>
      <c r="AP37" s="109"/>
      <c r="AQ37" s="167"/>
      <c r="AR37" s="109"/>
      <c r="AS37" s="167"/>
      <c r="AT37" s="109"/>
      <c r="AU37" s="167"/>
      <c r="AV37" s="109"/>
      <c r="AW37" s="167"/>
      <c r="AX37" s="41"/>
      <c r="AY37" s="109"/>
      <c r="AZ37" s="170"/>
      <c r="BA37" s="1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</row>
    <row r="38" spans="1:75" s="99" customFormat="1" x14ac:dyDescent="0.25">
      <c r="A38" s="136"/>
      <c r="B38" s="2"/>
      <c r="C38" s="2"/>
      <c r="D38" s="34"/>
      <c r="F38" s="34"/>
      <c r="H38" s="34"/>
      <c r="J38" s="34"/>
      <c r="L38" s="34"/>
      <c r="N38" s="34"/>
      <c r="P38" s="34"/>
      <c r="R38" s="34"/>
      <c r="T38" s="34"/>
      <c r="V38" s="34"/>
      <c r="X38" s="34"/>
      <c r="Y38" s="97"/>
      <c r="AA38" s="97"/>
      <c r="AB38" s="97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41"/>
      <c r="AY38" s="109"/>
      <c r="AZ38" s="42"/>
      <c r="BA38" s="170"/>
      <c r="BB38" s="84"/>
      <c r="BC38" s="30"/>
      <c r="BD38" s="84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</row>
    <row r="39" spans="1:75" s="99" customFormat="1" x14ac:dyDescent="0.25">
      <c r="A39" s="136">
        <v>17</v>
      </c>
      <c r="B39" s="73"/>
      <c r="C39" s="2" t="s">
        <v>417</v>
      </c>
      <c r="D39" s="134">
        <f ca="1">SUM(F39:X39)</f>
        <v>100</v>
      </c>
      <c r="E39" s="134"/>
      <c r="F39" s="134">
        <f ca="1">+AD49*100</f>
        <v>10.550105627302875</v>
      </c>
      <c r="G39" s="134"/>
      <c r="H39" s="134">
        <f ca="1">+AF49*100</f>
        <v>2.0178613148084441</v>
      </c>
      <c r="I39" s="134"/>
      <c r="J39" s="134">
        <f ca="1">+AH49*100</f>
        <v>20.564301485109578</v>
      </c>
      <c r="K39" s="134"/>
      <c r="L39" s="134">
        <f ca="1">+AJ49*100</f>
        <v>4.0002992913259945</v>
      </c>
      <c r="M39" s="134"/>
      <c r="N39" s="134">
        <f ca="1">+AL49*100</f>
        <v>14.32866075180727</v>
      </c>
      <c r="O39" s="134"/>
      <c r="P39" s="134">
        <f ca="1">+AN49*100</f>
        <v>24.054430634217649</v>
      </c>
      <c r="Q39" s="134"/>
      <c r="R39" s="134">
        <f ca="1">+AP49*100</f>
        <v>8.4891620769133365</v>
      </c>
      <c r="S39" s="134"/>
      <c r="T39" s="134">
        <f ca="1">+AR49*100</f>
        <v>2.337738281158523</v>
      </c>
      <c r="U39" s="134"/>
      <c r="V39" s="134">
        <f ca="1">+AT49*100</f>
        <v>13.657440537356347</v>
      </c>
      <c r="W39" s="134"/>
      <c r="X39" s="134">
        <f ca="1">+AV49*100</f>
        <v>0</v>
      </c>
      <c r="Y39" s="97"/>
      <c r="AA39" s="97"/>
      <c r="AB39" s="219" t="s">
        <v>144</v>
      </c>
      <c r="AC39" s="119"/>
      <c r="AD39" s="163"/>
      <c r="AF39" s="163"/>
      <c r="AH39" s="163"/>
      <c r="AJ39" s="163" t="s">
        <v>137</v>
      </c>
      <c r="AT39" s="163" t="s">
        <v>68</v>
      </c>
      <c r="AV39" s="2"/>
      <c r="AW39" s="83"/>
      <c r="AX39" s="41"/>
      <c r="AY39" s="109"/>
      <c r="AZ39" s="42"/>
      <c r="BA39" s="170"/>
      <c r="BB39" s="84"/>
      <c r="BC39" s="144"/>
      <c r="BD39" s="84"/>
      <c r="BE39" s="144"/>
      <c r="BF39" s="84"/>
      <c r="BG39" s="144"/>
      <c r="BH39" s="84"/>
      <c r="BI39" s="144"/>
      <c r="BJ39" s="84"/>
      <c r="BK39" s="144"/>
      <c r="BL39" s="84"/>
      <c r="BM39" s="144"/>
      <c r="BN39" s="84"/>
      <c r="BO39" s="144"/>
      <c r="BP39" s="84"/>
      <c r="BQ39" s="144"/>
      <c r="BR39" s="84"/>
      <c r="BS39" s="144"/>
      <c r="BT39" s="84"/>
      <c r="BU39" s="144"/>
      <c r="BV39" s="84"/>
      <c r="BW39" s="144"/>
    </row>
    <row r="40" spans="1:75" s="99" customFormat="1" x14ac:dyDescent="0.25">
      <c r="A40" s="136">
        <v>18</v>
      </c>
      <c r="B40" s="2" t="s">
        <v>144</v>
      </c>
      <c r="C40" s="2"/>
      <c r="D40" s="65">
        <f ca="1">SUM(F40:X40)</f>
        <v>1.0000000000000002</v>
      </c>
      <c r="E40" s="65"/>
      <c r="F40" s="65">
        <f ca="1">IFERROR(F39/$D39,0)</f>
        <v>0.10550105627302875</v>
      </c>
      <c r="G40" s="65"/>
      <c r="H40" s="65">
        <f ca="1">IFERROR(H39/$D39,0)</f>
        <v>2.0178613148084442E-2</v>
      </c>
      <c r="I40" s="65"/>
      <c r="J40" s="65">
        <f ca="1">IFERROR(J39/$D39,0)</f>
        <v>0.20564301485109579</v>
      </c>
      <c r="K40" s="65"/>
      <c r="L40" s="65">
        <f ca="1">IFERROR(L39/$D39,0)</f>
        <v>4.0002992913259948E-2</v>
      </c>
      <c r="M40" s="65"/>
      <c r="N40" s="65">
        <f ca="1">IFERROR(N39/$D39,0)</f>
        <v>0.14328660751807271</v>
      </c>
      <c r="O40" s="65"/>
      <c r="P40" s="65">
        <f ca="1">IFERROR(P39/$D39,0)</f>
        <v>0.24054430634217649</v>
      </c>
      <c r="Q40" s="65"/>
      <c r="R40" s="65">
        <f ca="1">IFERROR(R39/$D39,0)</f>
        <v>8.4891620769133369E-2</v>
      </c>
      <c r="S40" s="65"/>
      <c r="T40" s="65">
        <f ca="1">IFERROR(T39/$D39,0)</f>
        <v>2.3377382811585232E-2</v>
      </c>
      <c r="U40" s="65"/>
      <c r="V40" s="65">
        <f ca="1">IFERROR(V39/$D39,0)</f>
        <v>0.13657440537356347</v>
      </c>
      <c r="W40" s="65"/>
      <c r="X40" s="65">
        <f ca="1">IFERROR(X39/$D39,0)</f>
        <v>0</v>
      </c>
      <c r="Y40" s="97"/>
      <c r="AA40" s="97"/>
      <c r="AB40" s="97"/>
      <c r="AC40" s="97"/>
      <c r="AD40" s="163" t="s">
        <v>364</v>
      </c>
      <c r="AE40" s="163"/>
      <c r="AF40" s="163" t="s">
        <v>364</v>
      </c>
      <c r="AG40" s="3"/>
      <c r="AH40" s="2" t="s">
        <v>365</v>
      </c>
      <c r="AI40" s="3"/>
      <c r="AJ40" s="2" t="s">
        <v>151</v>
      </c>
      <c r="AK40" s="3"/>
      <c r="AL40" s="2" t="s">
        <v>10</v>
      </c>
      <c r="AM40" s="2"/>
      <c r="AN40" s="2" t="s">
        <v>10</v>
      </c>
      <c r="AO40" s="2"/>
      <c r="AP40" s="2" t="s">
        <v>10</v>
      </c>
      <c r="AQ40" s="2"/>
      <c r="AR40" s="2" t="s">
        <v>210</v>
      </c>
      <c r="AS40" s="2"/>
      <c r="AT40" s="2" t="s">
        <v>151</v>
      </c>
      <c r="AU40" s="2"/>
      <c r="AV40" s="2" t="s">
        <v>10</v>
      </c>
      <c r="AW40" s="109"/>
      <c r="AX40" s="41"/>
      <c r="AY40" s="109"/>
      <c r="AZ40" s="170"/>
      <c r="BA40" s="1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</row>
    <row r="41" spans="1:75" s="99" customFormat="1" x14ac:dyDescent="0.25">
      <c r="A41" s="136"/>
      <c r="B41" s="2"/>
      <c r="C41" s="2"/>
      <c r="D41" s="34"/>
      <c r="F41" s="34"/>
      <c r="H41" s="34"/>
      <c r="J41" s="34"/>
      <c r="L41" s="34"/>
      <c r="N41" s="34"/>
      <c r="P41" s="34"/>
      <c r="R41" s="34"/>
      <c r="T41" s="34"/>
      <c r="V41" s="34"/>
      <c r="X41" s="34"/>
      <c r="Y41" s="97"/>
      <c r="AA41" s="97"/>
      <c r="AB41" s="97"/>
      <c r="AC41" s="97"/>
      <c r="AD41" s="164" t="s">
        <v>374</v>
      </c>
      <c r="AE41" s="163"/>
      <c r="AF41" s="164" t="s">
        <v>373</v>
      </c>
      <c r="AG41" s="163"/>
      <c r="AH41" s="164" t="s">
        <v>152</v>
      </c>
      <c r="AI41" s="163"/>
      <c r="AJ41" s="164" t="s">
        <v>127</v>
      </c>
      <c r="AK41" s="163"/>
      <c r="AL41" s="57" t="s">
        <v>23</v>
      </c>
      <c r="AM41" s="2"/>
      <c r="AN41" s="57" t="s">
        <v>31</v>
      </c>
      <c r="AO41" s="2"/>
      <c r="AP41" s="57" t="s">
        <v>33</v>
      </c>
      <c r="AQ41" s="2"/>
      <c r="AR41" s="57" t="s">
        <v>208</v>
      </c>
      <c r="AS41" s="2"/>
      <c r="AT41" s="57" t="s">
        <v>127</v>
      </c>
      <c r="AU41" s="2"/>
      <c r="AV41" s="57" t="s">
        <v>49</v>
      </c>
      <c r="AW41" s="109"/>
      <c r="AX41" s="41"/>
      <c r="AY41" s="109"/>
      <c r="AZ41" s="42"/>
      <c r="BA41" s="170"/>
      <c r="BB41" s="84"/>
      <c r="BC41" s="32"/>
      <c r="BD41" s="84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</row>
    <row r="42" spans="1:75" s="99" customFormat="1" x14ac:dyDescent="0.25">
      <c r="A42" s="136">
        <v>19</v>
      </c>
      <c r="B42" s="73"/>
      <c r="C42" s="2" t="s">
        <v>417</v>
      </c>
      <c r="D42" s="22">
        <f ca="1">SUM(F42:X42)</f>
        <v>258252.10065614519</v>
      </c>
      <c r="E42" s="22"/>
      <c r="F42" s="22">
        <f ca="1">'Distribution Class'!AR162</f>
        <v>22277.059028175612</v>
      </c>
      <c r="G42" s="22"/>
      <c r="H42" s="22">
        <f ca="1">'Distribution Class'!AT162</f>
        <v>4260.8119016673481</v>
      </c>
      <c r="I42" s="22"/>
      <c r="J42" s="22">
        <f ca="1">'Distribution Class'!AV162</f>
        <v>43422.518621180992</v>
      </c>
      <c r="K42" s="22"/>
      <c r="L42" s="22">
        <f ca="1">'Distribution Class'!AX162</f>
        <v>26517.291196293641</v>
      </c>
      <c r="M42" s="22"/>
      <c r="N42" s="22">
        <f ca="1">'Distribution Class'!AZ162</f>
        <v>29152.031540649179</v>
      </c>
      <c r="O42" s="22"/>
      <c r="P42" s="22">
        <f ca="1">'Distribution Class'!BB162</f>
        <v>49990.303914007105</v>
      </c>
      <c r="Q42" s="22"/>
      <c r="R42" s="22">
        <f ca="1">'Distribution Class'!BD162</f>
        <v>21308.655406944283</v>
      </c>
      <c r="S42" s="22"/>
      <c r="T42" s="22">
        <f ca="1">'Distribution Class'!BF162</f>
        <v>5184.0099603504113</v>
      </c>
      <c r="U42" s="22"/>
      <c r="V42" s="22">
        <f ca="1">'Distribution Class'!BH162</f>
        <v>56139.419086876573</v>
      </c>
      <c r="W42" s="22"/>
      <c r="X42" s="22">
        <f ca="1">'Distribution Class'!BJ162</f>
        <v>0</v>
      </c>
      <c r="Y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109"/>
      <c r="AX42" s="41"/>
      <c r="AY42" s="109"/>
      <c r="AZ42" s="42"/>
      <c r="BA42" s="170"/>
      <c r="BB42" s="84"/>
      <c r="BC42" s="144"/>
      <c r="BD42" s="84"/>
      <c r="BE42" s="144"/>
      <c r="BF42" s="84"/>
      <c r="BG42" s="144"/>
      <c r="BH42" s="84"/>
      <c r="BI42" s="144"/>
      <c r="BJ42" s="84"/>
      <c r="BK42" s="144"/>
      <c r="BL42" s="84"/>
      <c r="BM42" s="144"/>
      <c r="BN42" s="84"/>
      <c r="BO42" s="144"/>
      <c r="BP42" s="84"/>
      <c r="BQ42" s="144"/>
      <c r="BR42" s="84"/>
      <c r="BS42" s="144"/>
      <c r="BT42" s="84"/>
      <c r="BU42" s="144"/>
      <c r="BV42" s="84"/>
      <c r="BW42" s="144"/>
    </row>
    <row r="43" spans="1:75" s="99" customFormat="1" x14ac:dyDescent="0.25">
      <c r="A43" s="136">
        <v>20</v>
      </c>
      <c r="B43" s="2" t="s">
        <v>257</v>
      </c>
      <c r="C43" s="2"/>
      <c r="D43" s="65">
        <f ca="1">SUM(F43:X43)</f>
        <v>1.0000000000000002</v>
      </c>
      <c r="E43" s="65"/>
      <c r="F43" s="65">
        <f ca="1">IFERROR(F42/$D42,0)</f>
        <v>8.6260901543785851E-2</v>
      </c>
      <c r="G43" s="65"/>
      <c r="H43" s="65">
        <f ca="1">IFERROR(H42/$D42,0)</f>
        <v>1.6498653412080042E-2</v>
      </c>
      <c r="I43" s="65"/>
      <c r="J43" s="65">
        <f ca="1">IFERROR(J42/$D42,0)</f>
        <v>0.16814004033600002</v>
      </c>
      <c r="K43" s="65"/>
      <c r="L43" s="65">
        <f ca="1">IFERROR(L42/$D42,0)</f>
        <v>0.10267986641317046</v>
      </c>
      <c r="M43" s="65"/>
      <c r="N43" s="65">
        <f ca="1">IFERROR(N42/$D42,0)</f>
        <v>0.11288206936780824</v>
      </c>
      <c r="O43" s="65"/>
      <c r="P43" s="65">
        <f ca="1">IFERROR(P42/$D42,0)</f>
        <v>0.19357172230930919</v>
      </c>
      <c r="Q43" s="65"/>
      <c r="R43" s="65">
        <f ca="1">IFERROR(R42/$D42,0)</f>
        <v>8.2511063231644755E-2</v>
      </c>
      <c r="S43" s="65"/>
      <c r="T43" s="65">
        <f ca="1">IFERROR(T42/$D42,0)</f>
        <v>2.0073447407317559E-2</v>
      </c>
      <c r="U43" s="65"/>
      <c r="V43" s="65">
        <f ca="1">IFERROR(V42/$D42,0)</f>
        <v>0.21738223597888368</v>
      </c>
      <c r="W43" s="65"/>
      <c r="X43" s="65">
        <f ca="1">IFERROR(X42/$D42,0)</f>
        <v>0</v>
      </c>
      <c r="Y43" s="97"/>
      <c r="AA43" s="97"/>
      <c r="AB43" s="97" t="s">
        <v>271</v>
      </c>
      <c r="AC43" s="97"/>
      <c r="AD43" s="89">
        <f ca="1">'Distribution Class'!P75-'Distribution Class'!P74-'Distribution Class'!P70</f>
        <v>1503451.2087877379</v>
      </c>
      <c r="AE43" s="22"/>
      <c r="AF43" s="89">
        <f ca="1">'Distribution Class'!R75-'Distribution Class'!R74-'Distribution Class'!R70</f>
        <v>287556.9345072374</v>
      </c>
      <c r="AG43" s="22"/>
      <c r="AH43" s="89">
        <f ca="1">'Distribution Class'!T75-'Distribution Class'!T74-'Distribution Class'!T70</f>
        <v>2930532.168858245</v>
      </c>
      <c r="AI43" s="22"/>
      <c r="AJ43" s="89">
        <f ca="1">'Distribution Class'!V75-'Distribution Class'!V74-'Distribution Class'!V70</f>
        <v>0</v>
      </c>
      <c r="AK43" s="22"/>
      <c r="AL43" s="89">
        <f ca="1">'Distribution Class'!X75-'Distribution Class'!X74-'Distribution Class'!X70</f>
        <v>2074097.5542912565</v>
      </c>
      <c r="AM43" s="22"/>
      <c r="AN43" s="89">
        <f ca="1">'Distribution Class'!Z75-'Distribution Class'!Z74-'Distribution Class'!Z70</f>
        <v>3435544.5545676993</v>
      </c>
      <c r="AO43" s="22"/>
      <c r="AP43" s="89">
        <f ca="1">'Distribution Class'!AB75-'Distribution Class'!AB74-'Distribution Class'!AB70</f>
        <v>982006.79359896539</v>
      </c>
      <c r="AQ43" s="97"/>
      <c r="AR43" s="89">
        <f ca="1">'Distribution Class'!AD75-'Distribution Class'!AD74-'Distribution Class'!AD70</f>
        <v>314330.69420231221</v>
      </c>
      <c r="AS43" s="97"/>
      <c r="AT43" s="89">
        <f ca="1">'Distribution Class'!AF75-'Distribution Class'!AF74-'Distribution Class'!AF70</f>
        <v>0</v>
      </c>
      <c r="AU43" s="97"/>
      <c r="AV43" s="89">
        <f ca="1">'Distribution Class'!AH75-'Distribution Class'!AH74-'Distribution Class'!AH70</f>
        <v>0</v>
      </c>
      <c r="AW43" s="97"/>
      <c r="AX43" s="41"/>
      <c r="AY43" s="109"/>
      <c r="AZ43" s="170"/>
      <c r="BA43" s="170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</row>
    <row r="44" spans="1:75" s="99" customFormat="1" x14ac:dyDescent="0.25">
      <c r="A44" s="136"/>
      <c r="B44" s="2"/>
      <c r="C44" s="2"/>
      <c r="D44" s="34"/>
      <c r="F44" s="34"/>
      <c r="H44" s="34"/>
      <c r="J44" s="34"/>
      <c r="L44" s="34"/>
      <c r="N44" s="34"/>
      <c r="P44" s="34"/>
      <c r="R44" s="34"/>
      <c r="T44" s="34"/>
      <c r="V44" s="34"/>
      <c r="X44" s="34"/>
      <c r="Y44" s="97"/>
      <c r="AA44" s="97"/>
      <c r="AB44" s="97"/>
      <c r="AC44" s="97"/>
      <c r="AD44" s="34">
        <f ca="1">AD43/SUM($AD$43:$AV$43)</f>
        <v>0.13042278136845922</v>
      </c>
      <c r="AE44" s="34"/>
      <c r="AF44" s="34">
        <f ca="1">AF43/SUM($AD$43:$AV$43)</f>
        <v>2.494525594246717E-2</v>
      </c>
      <c r="AG44" s="34"/>
      <c r="AH44" s="34">
        <f ca="1">AH43/SUM($AD$43:$AV$43)</f>
        <v>0.25422052549375207</v>
      </c>
      <c r="AI44" s="34"/>
      <c r="AJ44" s="34">
        <f ca="1">AJ43/SUM($AD$43:$AV$43)</f>
        <v>0</v>
      </c>
      <c r="AK44" s="33"/>
      <c r="AL44" s="34">
        <f ca="1">AL43/SUM($AD$43:$AV$43)</f>
        <v>0.17992574037590597</v>
      </c>
      <c r="AM44" s="33"/>
      <c r="AN44" s="34">
        <f ca="1">AN43/SUM($AD$43:$AV$43)</f>
        <v>0.29802980881785579</v>
      </c>
      <c r="AO44" s="33"/>
      <c r="AP44" s="34">
        <f ca="1">AP43/SUM($AD$43:$AV$43)</f>
        <v>8.5188037094446015E-2</v>
      </c>
      <c r="AQ44" s="33"/>
      <c r="AR44" s="34">
        <f ca="1">AR43/SUM($AD$43:$AV$43)</f>
        <v>2.726785090711388E-2</v>
      </c>
      <c r="AS44" s="33"/>
      <c r="AT44" s="34">
        <f ca="1">AT43/SUM($AD$43:$AV$43)</f>
        <v>0</v>
      </c>
      <c r="AU44" s="33"/>
      <c r="AV44" s="34">
        <f ca="1">AV43/SUM($AD$43:$AV$43)</f>
        <v>0</v>
      </c>
      <c r="AW44" s="97"/>
      <c r="AX44" s="41"/>
      <c r="AY44" s="109"/>
      <c r="AZ44" s="42"/>
      <c r="BA44" s="170"/>
      <c r="BB44" s="84"/>
      <c r="BC44" s="30"/>
      <c r="BD44" s="84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</row>
    <row r="45" spans="1:75" s="99" customFormat="1" ht="14.5" x14ac:dyDescent="0.35">
      <c r="A45" s="136">
        <v>21</v>
      </c>
      <c r="B45" s="73"/>
      <c r="C45" s="2" t="s">
        <v>416</v>
      </c>
      <c r="D45" s="22">
        <f>SUM(F45:X45)</f>
        <v>16232.575325999998</v>
      </c>
      <c r="E45" s="22"/>
      <c r="F45" s="22">
        <v>12229.327214586983</v>
      </c>
      <c r="G45" s="22"/>
      <c r="H45" s="22">
        <v>2339.0368934872786</v>
      </c>
      <c r="I45" s="22"/>
      <c r="J45" s="22">
        <v>1664.2112179257374</v>
      </c>
      <c r="K45" s="22"/>
      <c r="L45" s="22">
        <v>0</v>
      </c>
      <c r="M45" s="22"/>
      <c r="N45" s="22">
        <v>0</v>
      </c>
      <c r="O45" s="22"/>
      <c r="P45" s="22">
        <v>0</v>
      </c>
      <c r="Q45" s="22"/>
      <c r="R45" s="22">
        <v>0</v>
      </c>
      <c r="S45" s="22"/>
      <c r="T45" s="22">
        <v>0</v>
      </c>
      <c r="U45" s="22"/>
      <c r="V45" s="22">
        <v>0</v>
      </c>
      <c r="W45" s="22"/>
      <c r="X45" s="22">
        <v>0</v>
      </c>
      <c r="Y45" s="97"/>
      <c r="AA45" s="97"/>
      <c r="AB45" s="255"/>
      <c r="AC45" s="255"/>
      <c r="AD45" s="255"/>
      <c r="AE45" s="255"/>
      <c r="AF45" s="255"/>
      <c r="AG45" s="255"/>
      <c r="AH45" s="255"/>
      <c r="AI45" s="255"/>
      <c r="AJ45" s="255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41"/>
      <c r="AY45" s="109"/>
      <c r="AZ45" s="42"/>
      <c r="BA45" s="170"/>
      <c r="BB45" s="84"/>
      <c r="BC45" s="144"/>
      <c r="BD45" s="84"/>
      <c r="BE45" s="144"/>
      <c r="BF45" s="84"/>
      <c r="BG45" s="144"/>
      <c r="BH45" s="84"/>
      <c r="BI45" s="144"/>
      <c r="BJ45" s="84"/>
      <c r="BK45" s="144"/>
      <c r="BL45" s="84"/>
      <c r="BM45" s="144"/>
      <c r="BN45" s="84"/>
      <c r="BO45" s="144"/>
      <c r="BP45" s="84"/>
      <c r="BQ45" s="144"/>
      <c r="BR45" s="84"/>
      <c r="BS45" s="144"/>
      <c r="BT45" s="84"/>
      <c r="BU45" s="144"/>
      <c r="BV45" s="84"/>
      <c r="BW45" s="144"/>
    </row>
    <row r="46" spans="1:75" s="99" customFormat="1" x14ac:dyDescent="0.25">
      <c r="A46" s="136">
        <v>22</v>
      </c>
      <c r="B46" s="91" t="s">
        <v>281</v>
      </c>
      <c r="C46" s="2"/>
      <c r="D46" s="65">
        <f>SUM(F46:X46)</f>
        <v>1</v>
      </c>
      <c r="E46" s="65"/>
      <c r="F46" s="65">
        <f>IFERROR(F45/$D45,0)</f>
        <v>0.75338182444772372</v>
      </c>
      <c r="G46" s="65"/>
      <c r="H46" s="65">
        <f>IFERROR(H45/$D45,0)</f>
        <v>0.144095243454118</v>
      </c>
      <c r="I46" s="65"/>
      <c r="J46" s="65">
        <f>IFERROR(J45/$D45,0)</f>
        <v>0.10252293209815828</v>
      </c>
      <c r="K46" s="65"/>
      <c r="L46" s="65">
        <f>IFERROR(L45/$D45,0)</f>
        <v>0</v>
      </c>
      <c r="M46" s="65"/>
      <c r="N46" s="65">
        <f>IFERROR(N45/$D45,0)</f>
        <v>0</v>
      </c>
      <c r="O46" s="65"/>
      <c r="P46" s="65">
        <f>IFERROR(P45/$D45,0)</f>
        <v>0</v>
      </c>
      <c r="Q46" s="65"/>
      <c r="R46" s="65">
        <f>IFERROR(R45/$D45,0)</f>
        <v>0</v>
      </c>
      <c r="S46" s="65"/>
      <c r="T46" s="65">
        <f>IFERROR(T45/$D45,0)</f>
        <v>0</v>
      </c>
      <c r="U46" s="65"/>
      <c r="V46" s="65">
        <f>IFERROR(V45/$D45,0)</f>
        <v>0</v>
      </c>
      <c r="W46" s="65"/>
      <c r="X46" s="65">
        <f>IFERROR(X45/$D45,0)</f>
        <v>0</v>
      </c>
      <c r="Y46" s="97"/>
      <c r="AA46" s="97"/>
      <c r="AB46" s="97" t="s">
        <v>37</v>
      </c>
      <c r="AC46" s="97"/>
      <c r="AD46" s="90">
        <f ca="1">+'Distribution Class'!P162-'Distribution Class'!P148-SUM('Distribution Class'!P116:P122)</f>
        <v>61642.897450209683</v>
      </c>
      <c r="AE46" s="23"/>
      <c r="AF46" s="90">
        <f ca="1">+'Distribution Class'!R162-'Distribution Class'!R148-SUM('Distribution Class'!R116:R122)</f>
        <v>11790.101681596296</v>
      </c>
      <c r="AG46" s="23"/>
      <c r="AH46" s="90">
        <f ca="1">+'Distribution Class'!T162-'Distribution Class'!T148-SUM('Distribution Class'!T116:T122)</f>
        <v>120154.54369492186</v>
      </c>
      <c r="AI46" s="23"/>
      <c r="AJ46" s="90">
        <f ca="1">+'Distribution Class'!V162-'Distribution Class'!V148-SUM('Distribution Class'!V116:V122)</f>
        <v>61204.290326477349</v>
      </c>
      <c r="AK46" s="97"/>
      <c r="AL46" s="90">
        <f ca="1">+'Distribution Class'!X162-'Distribution Class'!X148-SUM('Distribution Class'!X116:X122)</f>
        <v>81584.933105434087</v>
      </c>
      <c r="AM46" s="97"/>
      <c r="AN46" s="90">
        <f ca="1">+'Distribution Class'!Z162-'Distribution Class'!Z148-SUM('Distribution Class'!Z116:Z122)</f>
        <v>140039.32409453471</v>
      </c>
      <c r="AO46" s="97"/>
      <c r="AP46" s="90">
        <f ca="1">+'Distribution Class'!AB162-'Distribution Class'!AB148-SUM('Distribution Class'!AB116:AB122)</f>
        <v>64715.026001105478</v>
      </c>
      <c r="AQ46" s="97"/>
      <c r="AR46" s="90">
        <f ca="1">+'Distribution Class'!AD162-'Distribution Class'!AD148-SUM('Distribution Class'!AD116:AD122)</f>
        <v>14907.419407779966</v>
      </c>
      <c r="AS46" s="97"/>
      <c r="AT46" s="90">
        <f ca="1">+'Distribution Class'!AF162-'Distribution Class'!AF148-SUM('Distribution Class'!AF116:AF122)</f>
        <v>208957.85412293038</v>
      </c>
      <c r="AU46" s="97"/>
      <c r="AV46" s="90">
        <f ca="1">+'Distribution Class'!AH162-'Distribution Class'!AH148-SUM('Distribution Class'!AH116:AH122)</f>
        <v>0</v>
      </c>
      <c r="AW46" s="97"/>
      <c r="AX46" s="41"/>
      <c r="AY46" s="109"/>
      <c r="AZ46" s="170"/>
      <c r="BA46" s="170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</row>
    <row r="47" spans="1:75" s="99" customFormat="1" x14ac:dyDescent="0.25">
      <c r="A47" s="136"/>
      <c r="B47" s="2"/>
      <c r="C47" s="2"/>
      <c r="D47" s="34"/>
      <c r="F47" s="34"/>
      <c r="H47" s="34"/>
      <c r="J47" s="34"/>
      <c r="L47" s="34"/>
      <c r="N47" s="34"/>
      <c r="P47" s="34"/>
      <c r="R47" s="34"/>
      <c r="T47" s="34"/>
      <c r="V47" s="34"/>
      <c r="X47" s="34"/>
      <c r="Y47" s="97"/>
      <c r="AA47" s="97"/>
      <c r="AB47" s="97"/>
      <c r="AC47" s="97"/>
      <c r="AD47" s="65">
        <f ca="1">AD46/SUM($AD$46:$AV$46)</f>
        <v>8.0579331177598287E-2</v>
      </c>
      <c r="AE47" s="261"/>
      <c r="AF47" s="65">
        <f ca="1">AF46/SUM($AD$46:$AV$46)</f>
        <v>1.5411970353701709E-2</v>
      </c>
      <c r="AG47" s="261"/>
      <c r="AH47" s="65">
        <f ca="1">AH46/SUM($AD$46:$AV$46)</f>
        <v>0.15706550420843948</v>
      </c>
      <c r="AI47" s="261"/>
      <c r="AJ47" s="65">
        <f ca="1">AJ46/SUM($AD$46:$AV$46)</f>
        <v>8.0005985826519868E-2</v>
      </c>
      <c r="AK47" s="97"/>
      <c r="AL47" s="65">
        <f ca="1">AL46/SUM($AD$46:$AV$46)</f>
        <v>0.10664747466023944</v>
      </c>
      <c r="AM47" s="97"/>
      <c r="AN47" s="65">
        <f ca="1">AN46/SUM($AD$46:$AV$46)</f>
        <v>0.18305880386649714</v>
      </c>
      <c r="AO47" s="97"/>
      <c r="AP47" s="65">
        <f ca="1">AP46/SUM($AD$46:$AV$46)</f>
        <v>8.459520444382071E-2</v>
      </c>
      <c r="AQ47" s="97"/>
      <c r="AR47" s="65">
        <f ca="1">AR46/SUM($AD$46:$AV$46)</f>
        <v>1.9486914716056583E-2</v>
      </c>
      <c r="AS47" s="97"/>
      <c r="AT47" s="65">
        <f ca="1">AT46/SUM($AD$46:$AV$46)</f>
        <v>0.27314881074712694</v>
      </c>
      <c r="AU47" s="97"/>
      <c r="AV47" s="65">
        <f ca="1">AV46/SUM($AD$46:$AV$46)</f>
        <v>0</v>
      </c>
      <c r="AW47" s="97"/>
      <c r="AX47" s="41"/>
      <c r="AY47" s="109"/>
      <c r="AZ47" s="42"/>
      <c r="BA47" s="260"/>
      <c r="BB47" s="84"/>
      <c r="BC47" s="30"/>
      <c r="BD47" s="84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</row>
    <row r="48" spans="1:75" s="99" customFormat="1" ht="13" x14ac:dyDescent="0.3">
      <c r="A48" s="136">
        <v>23</v>
      </c>
      <c r="B48" s="73"/>
      <c r="C48" s="2" t="s">
        <v>417</v>
      </c>
      <c r="D48" s="22">
        <f ca="1">SUM(F48:X48)</f>
        <v>9900493.7824903708</v>
      </c>
      <c r="E48" s="22"/>
      <c r="F48" s="22">
        <f ca="1">SUM('Distribution Class'!P21:P22)</f>
        <v>2189916.3619313701</v>
      </c>
      <c r="G48" s="22"/>
      <c r="H48" s="22">
        <f ca="1">SUM('Distribution Class'!R21:R22)</f>
        <v>418853.39024203294</v>
      </c>
      <c r="I48" s="22"/>
      <c r="J48" s="22">
        <f ca="1">SUM('Distribution Class'!T21:T22)</f>
        <v>4268592.361519699</v>
      </c>
      <c r="K48" s="22"/>
      <c r="L48" s="22">
        <f ca="1">SUM('Distribution Class'!V21:V22)</f>
        <v>0</v>
      </c>
      <c r="M48" s="22"/>
      <c r="N48" s="22">
        <f ca="1">SUM('Distribution Class'!X21:X22)</f>
        <v>3023131.6687972681</v>
      </c>
      <c r="O48" s="22"/>
      <c r="P48" s="22">
        <f ca="1">SUM('Distribution Class'!Z21:Z22)</f>
        <v>0</v>
      </c>
      <c r="Q48" s="22"/>
      <c r="R48" s="22">
        <f ca="1">SUM('Distribution Class'!AB21:AB22)</f>
        <v>0</v>
      </c>
      <c r="S48" s="22"/>
      <c r="T48" s="22">
        <v>0</v>
      </c>
      <c r="U48" s="22"/>
      <c r="V48" s="22">
        <f ca="1">SUM('Distribution Class'!AF21:AF22)</f>
        <v>0</v>
      </c>
      <c r="W48" s="22"/>
      <c r="X48" s="22">
        <f ca="1">SUM('Distribution Class'!AH21:AH22)</f>
        <v>0</v>
      </c>
      <c r="Y48" s="151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41"/>
      <c r="AY48" s="109"/>
      <c r="AZ48" s="42"/>
      <c r="BA48" s="260"/>
      <c r="BB48" s="84"/>
      <c r="BC48" s="144"/>
      <c r="BD48" s="84"/>
      <c r="BE48" s="144"/>
      <c r="BF48" s="84"/>
      <c r="BG48" s="144"/>
      <c r="BH48" s="84"/>
      <c r="BI48" s="144"/>
      <c r="BJ48" s="84"/>
      <c r="BK48" s="144"/>
      <c r="BL48" s="84"/>
      <c r="BM48" s="144"/>
      <c r="BN48" s="84"/>
      <c r="BO48" s="144"/>
      <c r="BP48" s="84"/>
      <c r="BQ48" s="144"/>
      <c r="BR48" s="84"/>
      <c r="BS48" s="144"/>
      <c r="BT48" s="84"/>
      <c r="BU48" s="144"/>
      <c r="BV48" s="84"/>
      <c r="BW48" s="144"/>
    </row>
    <row r="49" spans="1:75" s="99" customFormat="1" x14ac:dyDescent="0.25">
      <c r="A49" s="136">
        <v>24</v>
      </c>
      <c r="B49" s="2" t="s">
        <v>81</v>
      </c>
      <c r="C49" s="2"/>
      <c r="D49" s="65">
        <f ca="1">SUM(F49:X49)</f>
        <v>1</v>
      </c>
      <c r="E49" s="65"/>
      <c r="F49" s="65">
        <f ca="1">IFERROR(F48/$D48,0)</f>
        <v>0.22119264049277737</v>
      </c>
      <c r="G49" s="65"/>
      <c r="H49" s="65">
        <f ca="1">IFERROR(H48/$D48,0)</f>
        <v>4.2306313143976801E-2</v>
      </c>
      <c r="I49" s="65"/>
      <c r="J49" s="65">
        <f ca="1">IFERROR(J48/$D48,0)</f>
        <v>0.43114944115908299</v>
      </c>
      <c r="K49" s="65"/>
      <c r="L49" s="65">
        <f ca="1">IFERROR(L48/$D48,0)</f>
        <v>0</v>
      </c>
      <c r="M49" s="65"/>
      <c r="N49" s="65">
        <f ca="1">IFERROR(N48/$D48,0)</f>
        <v>0.30535160520416277</v>
      </c>
      <c r="O49" s="65"/>
      <c r="P49" s="65">
        <f ca="1">IFERROR(P48/$D48,0)</f>
        <v>0</v>
      </c>
      <c r="Q49" s="65"/>
      <c r="R49" s="65">
        <f ca="1">IFERROR(R48/$D48,0)</f>
        <v>0</v>
      </c>
      <c r="S49" s="65"/>
      <c r="T49" s="65">
        <f ca="1">IFERROR(T48/$D48,0)</f>
        <v>0</v>
      </c>
      <c r="U49" s="65"/>
      <c r="V49" s="65">
        <f ca="1">IFERROR(V48/$D48,0)</f>
        <v>0</v>
      </c>
      <c r="W49" s="65"/>
      <c r="X49" s="65">
        <f ca="1">IFERROR(X48/$D48,0)</f>
        <v>0</v>
      </c>
      <c r="Y49" s="119"/>
      <c r="AA49" s="97"/>
      <c r="AB49" s="94" t="s">
        <v>409</v>
      </c>
      <c r="AC49" s="94"/>
      <c r="AD49" s="259">
        <f ca="1">0.5*AD44+0.5*AD47</f>
        <v>0.10550105627302875</v>
      </c>
      <c r="AE49" s="262"/>
      <c r="AF49" s="259">
        <f ca="1">0.5*AF44+0.5*AF47</f>
        <v>2.0178613148084439E-2</v>
      </c>
      <c r="AG49" s="226"/>
      <c r="AH49" s="259">
        <f ca="1">0.5*AH44+0.5*AH47</f>
        <v>0.20564301485109576</v>
      </c>
      <c r="AI49" s="226"/>
      <c r="AJ49" s="259">
        <f ca="1">0.5*AJ44+0.5*AJ47</f>
        <v>4.0002992913259934E-2</v>
      </c>
      <c r="AK49" s="94"/>
      <c r="AL49" s="259">
        <f ca="1">0.5*AL44+0.5*AL47</f>
        <v>0.14328660751807271</v>
      </c>
      <c r="AM49" s="94"/>
      <c r="AN49" s="259">
        <f ca="1">0.5*AN44+0.5*AN47</f>
        <v>0.24054430634217647</v>
      </c>
      <c r="AO49" s="94"/>
      <c r="AP49" s="259">
        <f ca="1">0.5*AP44+0.5*AP47</f>
        <v>8.4891620769133369E-2</v>
      </c>
      <c r="AQ49" s="94"/>
      <c r="AR49" s="259">
        <f ca="1">0.5*AR44+0.5*AR47</f>
        <v>2.3377382811585232E-2</v>
      </c>
      <c r="AS49" s="94"/>
      <c r="AT49" s="259">
        <f ca="1">0.5*AT44+0.5*AT47</f>
        <v>0.13657440537356347</v>
      </c>
      <c r="AU49" s="94"/>
      <c r="AV49" s="259">
        <f ca="1">0.5*AV44+0.5*AV47</f>
        <v>0</v>
      </c>
      <c r="AW49" s="97"/>
      <c r="AX49" s="41"/>
      <c r="AY49" s="109"/>
      <c r="AZ49" s="170"/>
      <c r="BA49" s="170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</row>
    <row r="50" spans="1:75" s="99" customFormat="1" x14ac:dyDescent="0.25">
      <c r="A50" s="136"/>
      <c r="B50" s="2"/>
      <c r="C50" s="2"/>
      <c r="D50" s="34"/>
      <c r="F50" s="34"/>
      <c r="H50" s="34"/>
      <c r="J50" s="34"/>
      <c r="L50" s="34"/>
      <c r="N50" s="34"/>
      <c r="P50" s="34"/>
      <c r="R50" s="34"/>
      <c r="T50" s="34"/>
      <c r="V50" s="34"/>
      <c r="X50" s="34"/>
      <c r="Y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109"/>
      <c r="AU50" s="97"/>
      <c r="AV50" s="97"/>
      <c r="AW50" s="97"/>
      <c r="AX50" s="41"/>
      <c r="AY50" s="109"/>
      <c r="AZ50" s="42"/>
      <c r="BA50" s="170"/>
      <c r="BB50" s="84"/>
      <c r="BC50" s="30"/>
      <c r="BD50" s="84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</row>
    <row r="51" spans="1:75" s="99" customFormat="1" ht="13" x14ac:dyDescent="0.3">
      <c r="A51" s="136">
        <v>25</v>
      </c>
      <c r="B51" s="73"/>
      <c r="C51" s="2" t="s">
        <v>417</v>
      </c>
      <c r="D51" s="22">
        <f ca="1">SUM(F51:X51)</f>
        <v>11527519.908813452</v>
      </c>
      <c r="E51" s="22"/>
      <c r="F51" s="22">
        <f ca="1">'Distribution Class'!P75-'Distribution Class'!P74-'Distribution Class'!P70</f>
        <v>1503451.2087877379</v>
      </c>
      <c r="G51" s="22"/>
      <c r="H51" s="22">
        <f ca="1">'Distribution Class'!R75-'Distribution Class'!R74-'Distribution Class'!R70</f>
        <v>287556.9345072374</v>
      </c>
      <c r="I51" s="22"/>
      <c r="J51" s="22">
        <f ca="1">'Distribution Class'!T75-'Distribution Class'!T74-'Distribution Class'!T70</f>
        <v>2930532.168858245</v>
      </c>
      <c r="K51" s="22"/>
      <c r="L51" s="22">
        <f ca="1">'Distribution Class'!V75-'Distribution Class'!V74-'Distribution Class'!V70</f>
        <v>0</v>
      </c>
      <c r="M51" s="22"/>
      <c r="N51" s="22">
        <f ca="1">'Distribution Class'!X75-'Distribution Class'!X74-'Distribution Class'!X70</f>
        <v>2074097.5542912565</v>
      </c>
      <c r="O51" s="22"/>
      <c r="P51" s="22">
        <f ca="1">'Distribution Class'!Z75-'Distribution Class'!Z74-'Distribution Class'!Z70</f>
        <v>3435544.5545676993</v>
      </c>
      <c r="Q51" s="22"/>
      <c r="R51" s="22">
        <f ca="1">'Distribution Class'!AB75-'Distribution Class'!AB74-'Distribution Class'!AB70</f>
        <v>982006.79359896539</v>
      </c>
      <c r="S51" s="22"/>
      <c r="T51" s="22">
        <f ca="1">'Distribution Class'!AD75-'Distribution Class'!AD74-'Distribution Class'!AD70</f>
        <v>314330.69420231221</v>
      </c>
      <c r="U51" s="22"/>
      <c r="V51" s="22">
        <f ca="1">'Distribution Class'!AF75-'Distribution Class'!AF74-'Distribution Class'!AF70</f>
        <v>0</v>
      </c>
      <c r="W51" s="22"/>
      <c r="X51" s="22">
        <f ca="1">'Distribution Class'!AH75-'Distribution Class'!AH74-'Distribution Class'!AH70</f>
        <v>0</v>
      </c>
      <c r="Y51" s="151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109"/>
      <c r="AU51" s="97"/>
      <c r="AV51" s="97"/>
      <c r="AW51" s="97"/>
      <c r="AX51" s="41"/>
      <c r="AY51" s="109"/>
      <c r="AZ51" s="42"/>
      <c r="BA51" s="170"/>
      <c r="BB51" s="84"/>
      <c r="BC51" s="144"/>
      <c r="BD51" s="84"/>
      <c r="BE51" s="144"/>
      <c r="BF51" s="84"/>
      <c r="BG51" s="144"/>
      <c r="BH51" s="84"/>
      <c r="BI51" s="144"/>
      <c r="BJ51" s="84"/>
      <c r="BK51" s="144"/>
      <c r="BL51" s="84"/>
      <c r="BM51" s="144"/>
      <c r="BN51" s="84"/>
      <c r="BO51" s="144"/>
      <c r="BP51" s="84"/>
      <c r="BQ51" s="144"/>
      <c r="BR51" s="84"/>
      <c r="BS51" s="144"/>
      <c r="BT51" s="84"/>
      <c r="BU51" s="144"/>
      <c r="BV51" s="84"/>
      <c r="BW51" s="144"/>
    </row>
    <row r="52" spans="1:75" s="99" customFormat="1" x14ac:dyDescent="0.25">
      <c r="A52" s="136">
        <v>26</v>
      </c>
      <c r="B52" s="2" t="s">
        <v>270</v>
      </c>
      <c r="C52" s="2"/>
      <c r="D52" s="65">
        <f ca="1">SUM(F52:X52)</f>
        <v>1.0000000000000002</v>
      </c>
      <c r="E52" s="65"/>
      <c r="F52" s="65">
        <f ca="1">IFERROR(F51/$D51,0)</f>
        <v>0.13042278136845922</v>
      </c>
      <c r="G52" s="65"/>
      <c r="H52" s="65">
        <f ca="1">IFERROR(H51/$D51,0)</f>
        <v>2.494525594246717E-2</v>
      </c>
      <c r="I52" s="65"/>
      <c r="J52" s="65">
        <f ca="1">IFERROR(J51/$D51,0)</f>
        <v>0.25422052549375207</v>
      </c>
      <c r="K52" s="65"/>
      <c r="L52" s="65">
        <f ca="1">IFERROR(L51/$D51,0)</f>
        <v>0</v>
      </c>
      <c r="M52" s="65"/>
      <c r="N52" s="65">
        <f ca="1">IFERROR(N51/$D51,0)</f>
        <v>0.17992574037590597</v>
      </c>
      <c r="O52" s="65"/>
      <c r="P52" s="65">
        <f ca="1">IFERROR(P51/$D51,0)</f>
        <v>0.29802980881785579</v>
      </c>
      <c r="Q52" s="65"/>
      <c r="R52" s="65">
        <f ca="1">IFERROR(R51/$D51,0)</f>
        <v>8.5188037094446015E-2</v>
      </c>
      <c r="S52" s="65"/>
      <c r="T52" s="65">
        <f ca="1">IFERROR(T51/$D51,0)</f>
        <v>2.726785090711388E-2</v>
      </c>
      <c r="U52" s="65"/>
      <c r="V52" s="65">
        <f ca="1">IFERROR(V51/$D51,0)</f>
        <v>0</v>
      </c>
      <c r="W52" s="65"/>
      <c r="X52" s="65">
        <f ca="1">IFERROR(X51/$D51,0)</f>
        <v>0</v>
      </c>
      <c r="Y52" s="97"/>
      <c r="AV52" s="97"/>
      <c r="AW52" s="97"/>
      <c r="AX52" s="41"/>
      <c r="AY52" s="109"/>
      <c r="AZ52" s="170"/>
      <c r="BA52" s="1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</row>
    <row r="53" spans="1:75" s="99" customFormat="1" x14ac:dyDescent="0.25">
      <c r="A53" s="136"/>
      <c r="B53" s="2"/>
      <c r="C53" s="2"/>
      <c r="D53" s="34"/>
      <c r="F53" s="34"/>
      <c r="H53" s="34"/>
      <c r="J53" s="34"/>
      <c r="L53" s="34"/>
      <c r="N53" s="34"/>
      <c r="P53" s="34"/>
      <c r="R53" s="34"/>
      <c r="T53" s="34"/>
      <c r="V53" s="34"/>
      <c r="X53" s="34"/>
      <c r="Y53" s="97"/>
      <c r="AV53" s="97"/>
      <c r="AW53" s="97"/>
      <c r="AX53" s="41"/>
      <c r="AY53" s="109"/>
      <c r="AZ53" s="42"/>
      <c r="BA53" s="170"/>
      <c r="BB53" s="84"/>
      <c r="BC53" s="30"/>
      <c r="BD53" s="84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</row>
    <row r="54" spans="1:75" s="99" customFormat="1" ht="13" x14ac:dyDescent="0.3">
      <c r="A54" s="136">
        <v>27</v>
      </c>
      <c r="B54" s="73"/>
      <c r="C54" s="2" t="s">
        <v>417</v>
      </c>
      <c r="D54" s="22">
        <f ca="1">SUM(F54:X54)</f>
        <v>567660.09378499142</v>
      </c>
      <c r="E54" s="22"/>
      <c r="F54" s="22">
        <f ca="1">SUM('Distribution Class'!P124:P147,'Distribution Class'!P149:P156,'Distribution Class'!P159)</f>
        <v>46527.604196834727</v>
      </c>
      <c r="G54" s="22"/>
      <c r="H54" s="22">
        <f ca="1">SUM('Distribution Class'!R124:R147,'Distribution Class'!R149:R156,'Distribution Class'!R159)</f>
        <v>8899.0817624177416</v>
      </c>
      <c r="I54" s="22"/>
      <c r="J54" s="22">
        <f ca="1">SUM('Distribution Class'!T124:T147,'Distribution Class'!T149:T156,'Distribution Class'!T159)</f>
        <v>90691.763085993487</v>
      </c>
      <c r="K54" s="22"/>
      <c r="L54" s="22">
        <f ca="1">SUM('Distribution Class'!V124:V147,'Distribution Class'!V149:V156,'Distribution Class'!V159)</f>
        <v>46196.546775865616</v>
      </c>
      <c r="M54" s="22"/>
      <c r="N54" s="22">
        <f ca="1">SUM('Distribution Class'!X124:X147,'Distribution Class'!X149:X156,'Distribution Class'!X159)</f>
        <v>61579.705577936998</v>
      </c>
      <c r="O54" s="22"/>
      <c r="P54" s="22">
        <f ca="1">SUM('Distribution Class'!Z124:Z147,'Distribution Class'!Z149:Z156,'Distribution Class'!Z159)</f>
        <v>105700.64862258692</v>
      </c>
      <c r="Q54" s="22"/>
      <c r="R54" s="22">
        <f ca="1">SUM('Distribution Class'!AB124:AB147,'Distribution Class'!AB149:AB156,'Distribution Class'!AB159)</f>
        <v>48846.424161021685</v>
      </c>
      <c r="S54" s="22"/>
      <c r="T54" s="22">
        <f ca="1">SUM('Distribution Class'!AD124:AD147,'Distribution Class'!AD149:AD156,'Distribution Class'!AD159)</f>
        <v>11252.010182708233</v>
      </c>
      <c r="U54" s="22"/>
      <c r="V54" s="22">
        <f ca="1">SUM('Distribution Class'!AF124:AF147,'Distribution Class'!AF149:AF156,'Distribution Class'!AF159)</f>
        <v>147966.3094196259</v>
      </c>
      <c r="W54" s="22"/>
      <c r="X54" s="22">
        <f ca="1">SUM('Distribution Class'!AH124:AH147,'Distribution Class'!AH149:AH156,'Distribution Class'!AH159)</f>
        <v>0</v>
      </c>
      <c r="Y54" s="151"/>
      <c r="AV54" s="97"/>
      <c r="AW54" s="97"/>
      <c r="AX54" s="41"/>
      <c r="AY54" s="109"/>
      <c r="AZ54" s="42"/>
      <c r="BA54" s="170"/>
      <c r="BB54" s="84"/>
      <c r="BC54" s="144"/>
      <c r="BD54" s="84"/>
      <c r="BE54" s="144"/>
      <c r="BF54" s="84"/>
      <c r="BG54" s="144"/>
      <c r="BH54" s="84"/>
      <c r="BI54" s="144"/>
      <c r="BJ54" s="84"/>
      <c r="BK54" s="144"/>
      <c r="BL54" s="84"/>
      <c r="BM54" s="144"/>
      <c r="BN54" s="84"/>
      <c r="BO54" s="144"/>
      <c r="BP54" s="84"/>
      <c r="BQ54" s="144"/>
      <c r="BR54" s="84"/>
      <c r="BS54" s="144"/>
      <c r="BT54" s="84"/>
      <c r="BU54" s="144"/>
      <c r="BV54" s="84"/>
      <c r="BW54" s="144"/>
    </row>
    <row r="55" spans="1:75" s="99" customFormat="1" x14ac:dyDescent="0.25">
      <c r="A55" s="136">
        <v>28</v>
      </c>
      <c r="B55" s="2" t="s">
        <v>287</v>
      </c>
      <c r="C55" s="2"/>
      <c r="D55" s="65">
        <f ca="1">SUM(F55:X55)</f>
        <v>1.0000000000000002</v>
      </c>
      <c r="E55" s="65"/>
      <c r="F55" s="65">
        <f ca="1">IFERROR(F54/$D54,0)</f>
        <v>8.1963845453010928E-2</v>
      </c>
      <c r="G55" s="65"/>
      <c r="H55" s="65">
        <f ca="1">IFERROR(H54/$D54,0)</f>
        <v>1.5676778867933571E-2</v>
      </c>
      <c r="I55" s="65"/>
      <c r="J55" s="65">
        <f ca="1">IFERROR(J54/$D54,0)</f>
        <v>0.15976420410546627</v>
      </c>
      <c r="K55" s="65"/>
      <c r="L55" s="65">
        <f ca="1">IFERROR(L54/$D54,0)</f>
        <v>8.1380648880636577E-2</v>
      </c>
      <c r="M55" s="65"/>
      <c r="N55" s="65">
        <f ca="1">IFERROR(N54/$D54,0)</f>
        <v>0.10847989184397575</v>
      </c>
      <c r="O55" s="65"/>
      <c r="P55" s="65">
        <f ca="1">IFERROR(P54/$D54,0)</f>
        <v>0.18620412070506123</v>
      </c>
      <c r="Q55" s="65"/>
      <c r="R55" s="65">
        <f ca="1">IFERROR(R54/$D54,0)</f>
        <v>8.6048719464015905E-2</v>
      </c>
      <c r="S55" s="65"/>
      <c r="T55" s="65">
        <f ca="1">IFERROR(T54/$D54,0)</f>
        <v>1.9821738934796562E-2</v>
      </c>
      <c r="U55" s="65"/>
      <c r="V55" s="65">
        <f ca="1">IFERROR(V54/$D54,0)</f>
        <v>0.26066005174510304</v>
      </c>
      <c r="W55" s="65"/>
      <c r="X55" s="65">
        <f ca="1">IFERROR(X54/$D54,0)</f>
        <v>0</v>
      </c>
      <c r="Y55" s="97"/>
      <c r="AV55" s="97"/>
      <c r="AW55" s="97"/>
      <c r="AX55" s="41"/>
      <c r="AY55" s="109"/>
      <c r="AZ55" s="170"/>
      <c r="BA55" s="170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</row>
    <row r="56" spans="1:75" s="99" customFormat="1" x14ac:dyDescent="0.25">
      <c r="A56" s="136"/>
      <c r="B56" s="2"/>
      <c r="C56" s="2"/>
      <c r="D56" s="34"/>
      <c r="F56" s="34"/>
      <c r="H56" s="34"/>
      <c r="J56" s="34"/>
      <c r="L56" s="34"/>
      <c r="N56" s="34"/>
      <c r="P56" s="34"/>
      <c r="R56" s="34"/>
      <c r="T56" s="34"/>
      <c r="V56" s="34"/>
      <c r="X56" s="34"/>
      <c r="Y56" s="97"/>
      <c r="AV56" s="97"/>
      <c r="AW56" s="97"/>
      <c r="AX56" s="41"/>
      <c r="AY56" s="109"/>
      <c r="AZ56" s="42"/>
      <c r="BA56" s="170"/>
      <c r="BB56" s="84"/>
      <c r="BC56" s="30"/>
      <c r="BD56" s="84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</row>
    <row r="57" spans="1:75" s="99" customFormat="1" x14ac:dyDescent="0.25">
      <c r="A57" s="136">
        <v>29</v>
      </c>
      <c r="B57" s="2"/>
      <c r="C57" s="2" t="s">
        <v>416</v>
      </c>
      <c r="D57" s="22">
        <f>SUM(F57:X57)</f>
        <v>89821.237678983802</v>
      </c>
      <c r="E57" s="22"/>
      <c r="F57" s="22">
        <v>15192.793836518342</v>
      </c>
      <c r="G57" s="22"/>
      <c r="H57" s="22">
        <v>2905.8430341429626</v>
      </c>
      <c r="I57" s="22"/>
      <c r="J57" s="22">
        <v>29613.845007080763</v>
      </c>
      <c r="K57" s="22"/>
      <c r="L57" s="22">
        <v>0</v>
      </c>
      <c r="M57" s="22"/>
      <c r="N57" s="22">
        <v>24746.612481127821</v>
      </c>
      <c r="O57" s="22"/>
      <c r="P57" s="22">
        <v>17362.143320113923</v>
      </c>
      <c r="Q57" s="22"/>
      <c r="R57" s="22">
        <v>0</v>
      </c>
      <c r="S57" s="22"/>
      <c r="T57" s="22">
        <v>0</v>
      </c>
      <c r="U57" s="22"/>
      <c r="V57" s="22">
        <v>0</v>
      </c>
      <c r="W57" s="22"/>
      <c r="X57" s="22">
        <v>0</v>
      </c>
      <c r="Y57" s="97"/>
      <c r="AV57" s="97"/>
      <c r="AW57" s="97"/>
      <c r="AX57" s="41"/>
      <c r="AY57" s="109"/>
      <c r="AZ57" s="42"/>
      <c r="BA57" s="170"/>
      <c r="BB57" s="84"/>
      <c r="BC57" s="144"/>
      <c r="BD57" s="84"/>
      <c r="BE57" s="144"/>
      <c r="BF57" s="84"/>
      <c r="BG57" s="144"/>
      <c r="BH57" s="84"/>
      <c r="BI57" s="144"/>
      <c r="BJ57" s="84"/>
      <c r="BK57" s="144"/>
      <c r="BL57" s="84"/>
      <c r="BM57" s="144"/>
      <c r="BN57" s="84"/>
      <c r="BO57" s="144"/>
      <c r="BP57" s="84"/>
      <c r="BQ57" s="144"/>
      <c r="BR57" s="84"/>
      <c r="BS57" s="144"/>
      <c r="BT57" s="84"/>
      <c r="BU57" s="144"/>
      <c r="BV57" s="84"/>
      <c r="BW57" s="144"/>
    </row>
    <row r="58" spans="1:75" s="99" customFormat="1" x14ac:dyDescent="0.25">
      <c r="A58" s="136">
        <v>30</v>
      </c>
      <c r="B58" s="2" t="s">
        <v>274</v>
      </c>
      <c r="C58" s="2"/>
      <c r="D58" s="65">
        <f>SUM(F58:X58)</f>
        <v>1</v>
      </c>
      <c r="E58" s="65"/>
      <c r="F58" s="65">
        <f>IFERROR(F57/$D57,0)</f>
        <v>0.16914478389639381</v>
      </c>
      <c r="G58" s="65"/>
      <c r="H58" s="65">
        <f>IFERROR(H57/$D57,0)</f>
        <v>3.2351402733151895E-2</v>
      </c>
      <c r="I58" s="65"/>
      <c r="J58" s="65">
        <f>IFERROR(J57/$D57,0)</f>
        <v>0.32969758347039291</v>
      </c>
      <c r="K58" s="65"/>
      <c r="L58" s="65">
        <f>IFERROR(L57/$D57,0)</f>
        <v>0</v>
      </c>
      <c r="M58" s="65"/>
      <c r="N58" s="65">
        <f>IFERROR(N57/$D57,0)</f>
        <v>0.27550959127919011</v>
      </c>
      <c r="O58" s="65"/>
      <c r="P58" s="65">
        <f>IFERROR(P57/$D57,0)</f>
        <v>0.19329663862087132</v>
      </c>
      <c r="Q58" s="65"/>
      <c r="R58" s="65">
        <f>IFERROR(R57/$D57,0)</f>
        <v>0</v>
      </c>
      <c r="S58" s="65"/>
      <c r="T58" s="65">
        <f>IFERROR(T57/$D57,0)</f>
        <v>0</v>
      </c>
      <c r="U58" s="65"/>
      <c r="V58" s="65">
        <f>IFERROR(V57/$D57,0)</f>
        <v>0</v>
      </c>
      <c r="W58" s="65"/>
      <c r="X58" s="65">
        <f>IFERROR(X57/$D57,0)</f>
        <v>0</v>
      </c>
      <c r="Y58" s="97"/>
      <c r="AV58" s="97"/>
      <c r="AW58" s="97"/>
      <c r="AX58" s="41"/>
      <c r="AY58" s="109"/>
      <c r="AZ58" s="42"/>
      <c r="BA58" s="170"/>
      <c r="BB58" s="84"/>
      <c r="BC58" s="144"/>
      <c r="BD58" s="84"/>
      <c r="BE58" s="144"/>
      <c r="BF58" s="84"/>
      <c r="BG58" s="144"/>
      <c r="BH58" s="84"/>
      <c r="BI58" s="144"/>
      <c r="BJ58" s="84"/>
      <c r="BK58" s="144"/>
      <c r="BL58" s="84"/>
      <c r="BM58" s="144"/>
      <c r="BN58" s="84"/>
      <c r="BO58" s="144"/>
      <c r="BP58" s="84"/>
      <c r="BQ58" s="144"/>
      <c r="BR58" s="84"/>
      <c r="BS58" s="144"/>
      <c r="BT58" s="84"/>
      <c r="BU58" s="144"/>
      <c r="BV58" s="84"/>
      <c r="BW58" s="144"/>
    </row>
    <row r="59" spans="1:75" s="99" customFormat="1" x14ac:dyDescent="0.25">
      <c r="A59" s="136"/>
      <c r="B59" s="2"/>
      <c r="C59" s="2"/>
      <c r="D59" s="34"/>
      <c r="F59" s="34"/>
      <c r="H59" s="34"/>
      <c r="J59" s="34"/>
      <c r="L59" s="34"/>
      <c r="N59" s="34"/>
      <c r="P59" s="34"/>
      <c r="R59" s="34"/>
      <c r="T59" s="34"/>
      <c r="V59" s="34"/>
      <c r="X59" s="34"/>
      <c r="Y59" s="97"/>
      <c r="AV59" s="97"/>
      <c r="AW59" s="97"/>
      <c r="AX59" s="41"/>
      <c r="AY59" s="109"/>
      <c r="AZ59" s="42"/>
      <c r="BA59" s="260"/>
      <c r="BB59" s="84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</row>
    <row r="60" spans="1:75" s="99" customFormat="1" ht="13" x14ac:dyDescent="0.3">
      <c r="A60" s="136">
        <v>31</v>
      </c>
      <c r="B60" s="73"/>
      <c r="C60" s="2" t="s">
        <v>417</v>
      </c>
      <c r="D60" s="22">
        <f ca="1">SUM(F60:X60)</f>
        <v>11914757.165480008</v>
      </c>
      <c r="E60" s="22"/>
      <c r="F60" s="22">
        <f ca="1">'Distribution Class'!P92</f>
        <v>1544180.5049179241</v>
      </c>
      <c r="G60" s="22"/>
      <c r="H60" s="22">
        <f ca="1">'Distribution Class'!R92</f>
        <v>295347.00542631792</v>
      </c>
      <c r="I60" s="22"/>
      <c r="J60" s="22">
        <f ca="1">'Distribution Class'!T92</f>
        <v>3006507.1560267634</v>
      </c>
      <c r="K60" s="22"/>
      <c r="L60" s="22">
        <f ca="1">'Distribution Class'!V92</f>
        <v>18190.398199733478</v>
      </c>
      <c r="M60" s="22"/>
      <c r="N60" s="22">
        <f ca="1">'Distribution Class'!X92</f>
        <v>2126660.957116446</v>
      </c>
      <c r="O60" s="22"/>
      <c r="P60" s="22">
        <f ca="1">'Distribution Class'!Z92</f>
        <v>3524067.6281169169</v>
      </c>
      <c r="Q60" s="22"/>
      <c r="R60" s="22">
        <f ca="1">'Distribution Class'!AB92</f>
        <v>1014647.0317192435</v>
      </c>
      <c r="S60" s="22"/>
      <c r="T60" s="22">
        <f ca="1">'Distribution Class'!AD92</f>
        <v>323052.56030715472</v>
      </c>
      <c r="U60" s="22"/>
      <c r="V60" s="22">
        <f ca="1">'Distribution Class'!AF92</f>
        <v>62103.923649508841</v>
      </c>
      <c r="W60" s="22"/>
      <c r="X60" s="22">
        <f ca="1">'Distribution Class'!AH92</f>
        <v>0</v>
      </c>
      <c r="Y60" s="151"/>
      <c r="AV60" s="97"/>
      <c r="AW60" s="97"/>
      <c r="AX60" s="41"/>
      <c r="AY60" s="109"/>
      <c r="AZ60" s="42"/>
      <c r="BA60" s="260"/>
      <c r="BB60" s="84"/>
      <c r="BC60" s="144"/>
      <c r="BD60" s="84"/>
      <c r="BE60" s="144"/>
      <c r="BF60" s="84"/>
      <c r="BG60" s="144"/>
      <c r="BH60" s="84"/>
      <c r="BI60" s="144"/>
      <c r="BJ60" s="84"/>
      <c r="BK60" s="144"/>
      <c r="BL60" s="84"/>
      <c r="BM60" s="144"/>
      <c r="BN60" s="84"/>
      <c r="BO60" s="144"/>
      <c r="BP60" s="84"/>
      <c r="BQ60" s="144"/>
      <c r="BR60" s="84"/>
      <c r="BS60" s="144"/>
      <c r="BT60" s="84"/>
      <c r="BU60" s="144"/>
      <c r="BV60" s="84"/>
      <c r="BW60" s="144"/>
    </row>
    <row r="61" spans="1:75" s="99" customFormat="1" x14ac:dyDescent="0.25">
      <c r="A61" s="136">
        <v>32</v>
      </c>
      <c r="B61" s="2" t="s">
        <v>109</v>
      </c>
      <c r="C61" s="2"/>
      <c r="D61" s="65">
        <f ca="1">SUM(F61:X61)</f>
        <v>1.0000000000000002</v>
      </c>
      <c r="E61" s="65"/>
      <c r="F61" s="65">
        <f ca="1">IFERROR(F60/$D60,0)</f>
        <v>0.12960234803540907</v>
      </c>
      <c r="G61" s="65"/>
      <c r="H61" s="65">
        <f ca="1">IFERROR(H60/$D60,0)</f>
        <v>2.478833612169714E-2</v>
      </c>
      <c r="I61" s="65"/>
      <c r="J61" s="65">
        <f ca="1">IFERROR(J60/$D60,0)</f>
        <v>0.25233474037870923</v>
      </c>
      <c r="K61" s="65"/>
      <c r="L61" s="65">
        <f ca="1">IFERROR(L60/$D60,0)</f>
        <v>1.5267116188012249E-3</v>
      </c>
      <c r="M61" s="65"/>
      <c r="N61" s="65">
        <f ca="1">IFERROR(N60/$D60,0)</f>
        <v>0.17848966013994039</v>
      </c>
      <c r="O61" s="65"/>
      <c r="P61" s="65">
        <f ca="1">IFERROR(P60/$D60,0)</f>
        <v>0.29577334889602369</v>
      </c>
      <c r="Q61" s="65"/>
      <c r="R61" s="65">
        <f ca="1">IFERROR(R60/$D60,0)</f>
        <v>8.515885113117759E-2</v>
      </c>
      <c r="S61" s="65"/>
      <c r="T61" s="65">
        <f ca="1">IFERROR(T60/$D60,0)</f>
        <v>2.7113650393406061E-2</v>
      </c>
      <c r="U61" s="65"/>
      <c r="V61" s="65">
        <f ca="1">IFERROR(V60/$D60,0)</f>
        <v>5.2123532848356519E-3</v>
      </c>
      <c r="W61" s="65"/>
      <c r="X61" s="65">
        <f ca="1">IFERROR(X60/$D60,0)</f>
        <v>0</v>
      </c>
      <c r="Y61" s="97"/>
      <c r="AV61" s="97"/>
      <c r="AW61" s="97"/>
      <c r="AX61" s="41"/>
      <c r="AY61" s="109"/>
      <c r="AZ61" s="170"/>
      <c r="BA61" s="170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</row>
    <row r="62" spans="1:75" s="99" customFormat="1" x14ac:dyDescent="0.25">
      <c r="A62" s="136"/>
      <c r="B62" s="2"/>
      <c r="C62" s="2"/>
      <c r="D62" s="34"/>
      <c r="F62" s="34"/>
      <c r="H62" s="34"/>
      <c r="J62" s="34"/>
      <c r="L62" s="34"/>
      <c r="N62" s="34"/>
      <c r="P62" s="34"/>
      <c r="R62" s="34"/>
      <c r="T62" s="34"/>
      <c r="V62" s="34"/>
      <c r="X62" s="34"/>
      <c r="Y62" s="97"/>
      <c r="AV62" s="97"/>
      <c r="AW62" s="97"/>
      <c r="AX62" s="41"/>
      <c r="AY62" s="109"/>
      <c r="AZ62" s="42"/>
      <c r="BA62" s="170"/>
      <c r="BB62" s="84"/>
      <c r="BC62" s="30"/>
      <c r="BD62" s="84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</row>
    <row r="63" spans="1:75" s="99" customFormat="1" ht="13" x14ac:dyDescent="0.3">
      <c r="A63" s="136">
        <v>33</v>
      </c>
      <c r="B63" s="73"/>
      <c r="C63" s="2" t="s">
        <v>417</v>
      </c>
      <c r="D63" s="22">
        <f ca="1">SUM(F63:X63)</f>
        <v>90714.658046140539</v>
      </c>
      <c r="E63" s="22"/>
      <c r="F63" s="22">
        <f ca="1">SUM('Distribution Class'!P139:P143)</f>
        <v>10201.853869081961</v>
      </c>
      <c r="G63" s="22"/>
      <c r="H63" s="22">
        <f ca="1">SUM('Distribution Class'!R139:R143)</f>
        <v>1951.2530953694447</v>
      </c>
      <c r="I63" s="22"/>
      <c r="J63" s="22">
        <f ca="1">SUM('Distribution Class'!T139:T143)</f>
        <v>19885.487982973562</v>
      </c>
      <c r="K63" s="22"/>
      <c r="L63" s="22">
        <f ca="1">SUM('Distribution Class'!V139:V143)</f>
        <v>0</v>
      </c>
      <c r="M63" s="22"/>
      <c r="N63" s="22">
        <f ca="1">SUM('Distribution Class'!X139:X143)</f>
        <v>12565.949282400048</v>
      </c>
      <c r="O63" s="22"/>
      <c r="P63" s="22">
        <f ca="1">SUM('Distribution Class'!Z139:Z143)</f>
        <v>23235.975144891196</v>
      </c>
      <c r="Q63" s="22"/>
      <c r="R63" s="22">
        <f ca="1">SUM('Distribution Class'!AB139:AB143)</f>
        <v>19651.883397468569</v>
      </c>
      <c r="S63" s="22"/>
      <c r="T63" s="22">
        <f ca="1">SUM('Distribution Class'!AD139:AD143)</f>
        <v>3222.2552739557595</v>
      </c>
      <c r="U63" s="22"/>
      <c r="V63" s="22">
        <f ca="1">SUM('Distribution Class'!AF139:AF143)</f>
        <v>0</v>
      </c>
      <c r="W63" s="22"/>
      <c r="X63" s="22">
        <f ca="1">SUM('Distribution Class'!AH139:AH143)</f>
        <v>0</v>
      </c>
      <c r="Y63" s="151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109"/>
      <c r="AU63" s="97"/>
      <c r="AV63" s="97"/>
      <c r="AW63" s="97"/>
      <c r="AX63" s="41"/>
      <c r="AY63" s="109"/>
      <c r="AZ63" s="42"/>
      <c r="BA63" s="170"/>
      <c r="BB63" s="84"/>
      <c r="BC63" s="144"/>
      <c r="BD63" s="84"/>
      <c r="BE63" s="144"/>
      <c r="BF63" s="84"/>
      <c r="BG63" s="144"/>
      <c r="BH63" s="84"/>
      <c r="BI63" s="144"/>
      <c r="BJ63" s="84"/>
      <c r="BK63" s="144"/>
      <c r="BL63" s="84"/>
      <c r="BM63" s="144"/>
      <c r="BN63" s="84"/>
      <c r="BO63" s="144"/>
      <c r="BP63" s="84"/>
      <c r="BQ63" s="144"/>
      <c r="BR63" s="84"/>
      <c r="BS63" s="144"/>
      <c r="BT63" s="84"/>
      <c r="BU63" s="144"/>
      <c r="BV63" s="84"/>
      <c r="BW63" s="144"/>
    </row>
    <row r="64" spans="1:75" s="99" customFormat="1" x14ac:dyDescent="0.25">
      <c r="A64" s="136">
        <v>34</v>
      </c>
      <c r="B64" s="2" t="s">
        <v>400</v>
      </c>
      <c r="C64" s="2"/>
      <c r="D64" s="65">
        <f ca="1">SUM(F64:X64)</f>
        <v>0.99999999999999989</v>
      </c>
      <c r="E64" s="65"/>
      <c r="F64" s="65">
        <f ca="1">IFERROR(F63/$D63,0)</f>
        <v>0.11246091964424264</v>
      </c>
      <c r="G64" s="65"/>
      <c r="H64" s="65">
        <f ca="1">IFERROR(H63/$D63,0)</f>
        <v>2.1509788356110778E-2</v>
      </c>
      <c r="I64" s="65"/>
      <c r="J64" s="65">
        <f ca="1">IFERROR(J63/$D63,0)</f>
        <v>0.21920920401705235</v>
      </c>
      <c r="K64" s="65"/>
      <c r="L64" s="65">
        <f ca="1">IFERROR(L63/$D63,0)</f>
        <v>0</v>
      </c>
      <c r="M64" s="65"/>
      <c r="N64" s="65">
        <f ca="1">IFERROR(N63/$D63,0)</f>
        <v>0.13852170699919941</v>
      </c>
      <c r="O64" s="65"/>
      <c r="P64" s="65">
        <f ca="1">IFERROR(P63/$D63,0)</f>
        <v>0.25614355656913346</v>
      </c>
      <c r="Q64" s="65"/>
      <c r="R64" s="65">
        <f ca="1">IFERROR(R63/$D63,0)</f>
        <v>0.2166340459275386</v>
      </c>
      <c r="S64" s="65"/>
      <c r="T64" s="65">
        <f ca="1">IFERROR(T63/$D63,0)</f>
        <v>3.5520778486722748E-2</v>
      </c>
      <c r="U64" s="65"/>
      <c r="V64" s="65">
        <f ca="1">IFERROR(V63/$D63,0)</f>
        <v>0</v>
      </c>
      <c r="W64" s="65"/>
      <c r="X64" s="65">
        <f ca="1">IFERROR(X63/$D63,0)</f>
        <v>0</v>
      </c>
      <c r="Y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109"/>
      <c r="AU64" s="97"/>
      <c r="AV64" s="97"/>
      <c r="AW64" s="97"/>
      <c r="AX64" s="41"/>
      <c r="AY64" s="109"/>
      <c r="AZ64" s="170"/>
      <c r="BA64" s="1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</row>
    <row r="65" spans="1:75" s="99" customFormat="1" x14ac:dyDescent="0.25">
      <c r="A65" s="136"/>
      <c r="B65" s="2"/>
      <c r="C65" s="2"/>
      <c r="D65" s="34"/>
      <c r="F65" s="34"/>
      <c r="H65" s="34"/>
      <c r="J65" s="34"/>
      <c r="L65" s="34"/>
      <c r="N65" s="34"/>
      <c r="P65" s="34"/>
      <c r="R65" s="34"/>
      <c r="T65" s="34"/>
      <c r="V65" s="34"/>
      <c r="X65" s="34"/>
      <c r="Y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109"/>
      <c r="AU65" s="97"/>
      <c r="AV65" s="97"/>
      <c r="AW65" s="97"/>
      <c r="AX65" s="41"/>
      <c r="AY65" s="109"/>
      <c r="AZ65" s="42"/>
      <c r="BA65" s="170"/>
      <c r="BB65" s="84"/>
      <c r="BC65" s="30"/>
      <c r="BD65" s="84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</row>
    <row r="66" spans="1:75" s="99" customFormat="1" x14ac:dyDescent="0.25">
      <c r="A66" s="136">
        <v>35</v>
      </c>
      <c r="B66" s="73"/>
      <c r="C66" s="2" t="s">
        <v>417</v>
      </c>
      <c r="D66" s="22">
        <f>SUM(F66:X66)</f>
        <v>5575565.20342925</v>
      </c>
      <c r="E66" s="22"/>
      <c r="F66" s="22">
        <f>F75</f>
        <v>1775393.1324474369</v>
      </c>
      <c r="G66" s="22"/>
      <c r="H66" s="22">
        <f>+H75</f>
        <v>339569.78698592697</v>
      </c>
      <c r="I66" s="22"/>
      <c r="J66" s="22">
        <f>+J75</f>
        <v>3460602.2839958859</v>
      </c>
      <c r="K66" s="22"/>
      <c r="L66" s="22">
        <v>0</v>
      </c>
      <c r="M66" s="22"/>
      <c r="N66" s="22">
        <v>0</v>
      </c>
      <c r="O66" s="22"/>
      <c r="P66" s="22">
        <v>0</v>
      </c>
      <c r="Q66" s="22"/>
      <c r="R66" s="22">
        <v>0</v>
      </c>
      <c r="S66" s="22"/>
      <c r="T66" s="22">
        <v>0</v>
      </c>
      <c r="U66" s="22"/>
      <c r="V66" s="22">
        <v>0</v>
      </c>
      <c r="W66" s="22"/>
      <c r="X66" s="22">
        <v>0</v>
      </c>
      <c r="Y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109"/>
      <c r="AU66" s="97"/>
      <c r="AV66" s="97"/>
      <c r="AW66" s="97"/>
      <c r="AX66" s="41"/>
      <c r="AY66" s="109"/>
      <c r="AZ66" s="42"/>
      <c r="BA66" s="170"/>
      <c r="BB66" s="84"/>
      <c r="BC66" s="144"/>
      <c r="BD66" s="84"/>
      <c r="BE66" s="144"/>
      <c r="BF66" s="84"/>
      <c r="BG66" s="144"/>
      <c r="BH66" s="84"/>
      <c r="BI66" s="144"/>
      <c r="BJ66" s="84"/>
      <c r="BK66" s="144"/>
      <c r="BL66" s="84"/>
      <c r="BM66" s="144"/>
      <c r="BN66" s="84"/>
      <c r="BO66" s="144"/>
      <c r="BP66" s="84"/>
      <c r="BQ66" s="144"/>
      <c r="BR66" s="84"/>
      <c r="BS66" s="144"/>
      <c r="BT66" s="84"/>
      <c r="BU66" s="144"/>
      <c r="BV66" s="84"/>
      <c r="BW66" s="144"/>
    </row>
    <row r="67" spans="1:75" s="99" customFormat="1" x14ac:dyDescent="0.25">
      <c r="A67" s="136">
        <v>36</v>
      </c>
      <c r="B67" s="2" t="s">
        <v>80</v>
      </c>
      <c r="C67" s="2"/>
      <c r="D67" s="65">
        <f>SUM(F67:X67)</f>
        <v>1</v>
      </c>
      <c r="E67" s="65"/>
      <c r="F67" s="65">
        <f>IFERROR(F66/$D66,0)</f>
        <v>0.31842388487457413</v>
      </c>
      <c r="G67" s="65"/>
      <c r="H67" s="65">
        <f>IFERROR(H66/$D66,0)</f>
        <v>6.0903204356228251E-2</v>
      </c>
      <c r="I67" s="65"/>
      <c r="J67" s="65">
        <f>IFERROR(J66/$D66,0)</f>
        <v>0.62067291076919762</v>
      </c>
      <c r="K67" s="65"/>
      <c r="L67" s="65">
        <f>IFERROR(L66/$D66,0)</f>
        <v>0</v>
      </c>
      <c r="M67" s="65"/>
      <c r="N67" s="65">
        <f>IFERROR(N66/$D66,0)</f>
        <v>0</v>
      </c>
      <c r="O67" s="65"/>
      <c r="P67" s="65">
        <f>IFERROR(P66/$D66,0)</f>
        <v>0</v>
      </c>
      <c r="Q67" s="65"/>
      <c r="R67" s="65">
        <f>IFERROR(R66/$D66,0)</f>
        <v>0</v>
      </c>
      <c r="S67" s="65"/>
      <c r="T67" s="65">
        <f>IFERROR(T66/$D66,0)</f>
        <v>0</v>
      </c>
      <c r="U67" s="65"/>
      <c r="V67" s="65">
        <f>IFERROR(V66/$D66,0)</f>
        <v>0</v>
      </c>
      <c r="W67" s="65"/>
      <c r="X67" s="65">
        <f>IFERROR(X66/$D66,0)</f>
        <v>0</v>
      </c>
      <c r="Y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109"/>
      <c r="AU67" s="97"/>
      <c r="AV67" s="97"/>
      <c r="AW67" s="97"/>
      <c r="AX67" s="41"/>
      <c r="AY67" s="109"/>
      <c r="AZ67" s="170"/>
      <c r="BA67" s="170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</row>
    <row r="68" spans="1:75" s="99" customFormat="1" x14ac:dyDescent="0.25">
      <c r="A68" s="136"/>
      <c r="B68" s="2"/>
      <c r="C68" s="2"/>
      <c r="D68" s="34"/>
      <c r="F68" s="34"/>
      <c r="H68" s="34"/>
      <c r="J68" s="34"/>
      <c r="L68" s="34"/>
      <c r="N68" s="34"/>
      <c r="P68" s="34"/>
      <c r="R68" s="34"/>
      <c r="T68" s="34"/>
      <c r="V68" s="34"/>
      <c r="X68" s="34"/>
      <c r="Y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109"/>
      <c r="AU68" s="97"/>
      <c r="AV68" s="97"/>
      <c r="AW68" s="97"/>
      <c r="AX68" s="41"/>
      <c r="AY68" s="109"/>
      <c r="AZ68" s="42"/>
      <c r="BA68" s="170"/>
      <c r="BB68" s="84"/>
      <c r="BC68" s="30"/>
      <c r="BD68" s="84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</row>
    <row r="69" spans="1:75" s="99" customFormat="1" ht="13" x14ac:dyDescent="0.3">
      <c r="A69" s="136">
        <v>37</v>
      </c>
      <c r="B69" s="73"/>
      <c r="C69" s="2" t="s">
        <v>417</v>
      </c>
      <c r="D69" s="22">
        <f ca="1">SUM(F69:X69)</f>
        <v>14358474.955018645</v>
      </c>
      <c r="E69" s="22"/>
      <c r="F69" s="22">
        <f ca="1">'Distribution Class'!P22+'Distribution Class'!P27</f>
        <v>1829410.0360916543</v>
      </c>
      <c r="G69" s="22"/>
      <c r="H69" s="22">
        <f ca="1">'Distribution Class'!R22+'Distribution Class'!R27</f>
        <v>349901.30631473078</v>
      </c>
      <c r="I69" s="22"/>
      <c r="J69" s="22">
        <f ca="1">'Distribution Class'!T22+'Distribution Class'!T27</f>
        <v>3565892.214833837</v>
      </c>
      <c r="K69" s="22"/>
      <c r="L69" s="22">
        <f ca="1">'Distribution Class'!V22+'Distribution Class'!V27</f>
        <v>0</v>
      </c>
      <c r="M69" s="22"/>
      <c r="N69" s="22">
        <f ca="1">'Distribution Class'!X22+'Distribution Class'!X27</f>
        <v>3023131.6687972681</v>
      </c>
      <c r="O69" s="22"/>
      <c r="P69" s="22">
        <f ca="1">'Distribution Class'!Z22+'Distribution Class'!Z27</f>
        <v>5590139.7289811559</v>
      </c>
      <c r="Q69" s="22"/>
      <c r="R69" s="22">
        <f ca="1">'Distribution Class'!AB22+'Distribution Class'!AB27</f>
        <v>0</v>
      </c>
      <c r="S69" s="22"/>
      <c r="T69" s="22">
        <f ca="1">'Distribution Class'!AD22+'Distribution Class'!AD27</f>
        <v>0</v>
      </c>
      <c r="U69" s="22"/>
      <c r="V69" s="22">
        <f ca="1">'Distribution Class'!AF22+'Distribution Class'!AF27</f>
        <v>0</v>
      </c>
      <c r="W69" s="22"/>
      <c r="X69" s="22">
        <f ca="1">'Distribution Class'!AH22+'Distribution Class'!AH27</f>
        <v>0</v>
      </c>
      <c r="Y69" s="151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109"/>
      <c r="AU69" s="97"/>
      <c r="AV69" s="97"/>
      <c r="AW69" s="97"/>
      <c r="AX69" s="41"/>
      <c r="AY69" s="109"/>
      <c r="AZ69" s="42"/>
      <c r="BA69" s="170"/>
      <c r="BB69" s="84"/>
      <c r="BC69" s="144"/>
      <c r="BD69" s="84"/>
      <c r="BE69" s="144"/>
      <c r="BF69" s="84"/>
      <c r="BG69" s="144"/>
      <c r="BH69" s="84"/>
      <c r="BI69" s="144"/>
      <c r="BJ69" s="84"/>
      <c r="BK69" s="144"/>
      <c r="BL69" s="84"/>
      <c r="BM69" s="144"/>
      <c r="BN69" s="84"/>
      <c r="BO69" s="144"/>
      <c r="BP69" s="84"/>
      <c r="BQ69" s="144"/>
      <c r="BR69" s="84"/>
      <c r="BS69" s="144"/>
      <c r="BT69" s="84"/>
      <c r="BU69" s="144"/>
      <c r="BV69" s="84"/>
      <c r="BW69" s="144"/>
    </row>
    <row r="70" spans="1:75" s="99" customFormat="1" x14ac:dyDescent="0.25">
      <c r="A70" s="136">
        <v>38</v>
      </c>
      <c r="B70" s="2" t="s">
        <v>261</v>
      </c>
      <c r="C70" s="2"/>
      <c r="D70" s="65">
        <f ca="1">SUM(F70:X70)</f>
        <v>1</v>
      </c>
      <c r="E70" s="65"/>
      <c r="F70" s="65">
        <f ca="1">IFERROR(F69/$D69,0)</f>
        <v>0.12740977310074492</v>
      </c>
      <c r="G70" s="65"/>
      <c r="H70" s="65">
        <f ca="1">IFERROR(H69/$D69,0)</f>
        <v>2.436897424071012E-2</v>
      </c>
      <c r="I70" s="65"/>
      <c r="J70" s="65">
        <f ca="1">IFERROR(J69/$D69,0)</f>
        <v>0.2483475596123437</v>
      </c>
      <c r="K70" s="65"/>
      <c r="L70" s="65">
        <f ca="1">IFERROR(L69/$D69,0)</f>
        <v>0</v>
      </c>
      <c r="M70" s="65"/>
      <c r="N70" s="65">
        <f ca="1">IFERROR(N69/$D69,0)</f>
        <v>0.21054684973633694</v>
      </c>
      <c r="O70" s="65"/>
      <c r="P70" s="65">
        <f ca="1">IFERROR(P69/$D69,0)</f>
        <v>0.38932684330986439</v>
      </c>
      <c r="Q70" s="65"/>
      <c r="R70" s="65">
        <f ca="1">IFERROR(R69/$D69,0)</f>
        <v>0</v>
      </c>
      <c r="S70" s="65"/>
      <c r="T70" s="65">
        <f ca="1">IFERROR(T69/$D69,0)</f>
        <v>0</v>
      </c>
      <c r="U70" s="65"/>
      <c r="V70" s="65">
        <f ca="1">IFERROR(V69/$D69,0)</f>
        <v>0</v>
      </c>
      <c r="W70" s="65"/>
      <c r="X70" s="65">
        <f ca="1">IFERROR(X69/$D69,0)</f>
        <v>0</v>
      </c>
      <c r="Y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109"/>
      <c r="AU70" s="97"/>
      <c r="AV70" s="97"/>
      <c r="AW70" s="97"/>
      <c r="AX70" s="41"/>
      <c r="AY70" s="109"/>
      <c r="AZ70" s="170"/>
      <c r="BA70" s="170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</row>
    <row r="71" spans="1:75" s="99" customFormat="1" x14ac:dyDescent="0.25">
      <c r="A71" s="136"/>
      <c r="B71" s="2"/>
      <c r="C71" s="2"/>
      <c r="D71" s="34"/>
      <c r="F71" s="34"/>
      <c r="H71" s="34"/>
      <c r="J71" s="34"/>
      <c r="L71" s="34"/>
      <c r="N71" s="34"/>
      <c r="P71" s="34"/>
      <c r="R71" s="34"/>
      <c r="T71" s="34"/>
      <c r="V71" s="34"/>
      <c r="X71" s="34"/>
      <c r="Y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109"/>
      <c r="AU71" s="97"/>
      <c r="AV71" s="97"/>
      <c r="AW71" s="97"/>
      <c r="AX71" s="41"/>
      <c r="AY71" s="109"/>
      <c r="AZ71" s="42"/>
      <c r="BA71" s="170"/>
      <c r="BB71" s="84"/>
      <c r="BC71" s="30"/>
      <c r="BD71" s="84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</row>
    <row r="72" spans="1:75" s="99" customFormat="1" x14ac:dyDescent="0.25">
      <c r="A72" s="136">
        <v>39</v>
      </c>
      <c r="B72" s="73"/>
      <c r="C72" s="2" t="s">
        <v>417</v>
      </c>
      <c r="D72" s="22">
        <f>SUM(F72:X72)</f>
        <v>1</v>
      </c>
      <c r="E72" s="22"/>
      <c r="F72" s="22">
        <v>1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  <c r="O72" s="22"/>
      <c r="P72" s="22">
        <v>0</v>
      </c>
      <c r="Q72" s="22"/>
      <c r="R72" s="22">
        <v>0</v>
      </c>
      <c r="S72" s="22"/>
      <c r="T72" s="22">
        <v>0</v>
      </c>
      <c r="U72" s="22"/>
      <c r="V72" s="22">
        <v>0</v>
      </c>
      <c r="W72" s="22"/>
      <c r="X72" s="22">
        <v>0</v>
      </c>
      <c r="Y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109"/>
      <c r="AU72" s="97"/>
      <c r="AV72" s="97"/>
      <c r="AW72" s="97"/>
      <c r="AX72" s="41"/>
      <c r="AY72" s="109"/>
      <c r="AZ72" s="42"/>
      <c r="BA72" s="170"/>
      <c r="BB72" s="84"/>
      <c r="BC72" s="144"/>
      <c r="BD72" s="84"/>
      <c r="BE72" s="144"/>
      <c r="BF72" s="84"/>
      <c r="BG72" s="144"/>
      <c r="BH72" s="84"/>
      <c r="BI72" s="144"/>
      <c r="BJ72" s="84"/>
      <c r="BK72" s="144"/>
      <c r="BL72" s="84"/>
      <c r="BM72" s="144"/>
      <c r="BN72" s="84"/>
      <c r="BO72" s="144"/>
      <c r="BP72" s="84"/>
      <c r="BQ72" s="144"/>
      <c r="BR72" s="84"/>
      <c r="BS72" s="144"/>
      <c r="BT72" s="84"/>
      <c r="BU72" s="144"/>
      <c r="BV72" s="84"/>
      <c r="BW72" s="144"/>
    </row>
    <row r="73" spans="1:75" s="99" customFormat="1" x14ac:dyDescent="0.25">
      <c r="A73" s="136">
        <v>40</v>
      </c>
      <c r="B73" s="2" t="s">
        <v>242</v>
      </c>
      <c r="C73" s="2"/>
      <c r="D73" s="65">
        <f>SUM(F73:X73)</f>
        <v>1</v>
      </c>
      <c r="E73" s="65"/>
      <c r="F73" s="65">
        <f>IFERROR(F72/$D72,0)</f>
        <v>1</v>
      </c>
      <c r="G73" s="65"/>
      <c r="H73" s="65">
        <f>IFERROR(H72/$D72,0)</f>
        <v>0</v>
      </c>
      <c r="I73" s="65"/>
      <c r="J73" s="65">
        <f>IFERROR(J72/$D72,0)</f>
        <v>0</v>
      </c>
      <c r="K73" s="65"/>
      <c r="L73" s="65">
        <f>IFERROR(L72/$D72,0)</f>
        <v>0</v>
      </c>
      <c r="M73" s="65"/>
      <c r="N73" s="65">
        <f>IFERROR(N72/$D72,0)</f>
        <v>0</v>
      </c>
      <c r="O73" s="65"/>
      <c r="P73" s="65">
        <f>IFERROR(P72/$D72,0)</f>
        <v>0</v>
      </c>
      <c r="Q73" s="65"/>
      <c r="R73" s="65">
        <f>IFERROR(R72/$D72,0)</f>
        <v>0</v>
      </c>
      <c r="S73" s="65"/>
      <c r="T73" s="65">
        <f>IFERROR(T72/$D72,0)</f>
        <v>0</v>
      </c>
      <c r="U73" s="65"/>
      <c r="V73" s="65">
        <f>IFERROR(V72/$D72,0)</f>
        <v>0</v>
      </c>
      <c r="W73" s="65"/>
      <c r="X73" s="65">
        <f>IFERROR(X72/$D72,0)</f>
        <v>0</v>
      </c>
      <c r="Y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109"/>
      <c r="AU73" s="97"/>
      <c r="AV73" s="97"/>
      <c r="AW73" s="97"/>
      <c r="AX73" s="41"/>
      <c r="AY73" s="109"/>
      <c r="AZ73" s="170"/>
      <c r="BA73" s="170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</row>
    <row r="74" spans="1:75" s="99" customFormat="1" x14ac:dyDescent="0.25">
      <c r="A74" s="136"/>
      <c r="B74" s="2"/>
      <c r="C74" s="2"/>
      <c r="D74" s="34"/>
      <c r="F74" s="34"/>
      <c r="H74" s="34"/>
      <c r="J74" s="34"/>
      <c r="L74" s="34"/>
      <c r="N74" s="34"/>
      <c r="P74" s="34"/>
      <c r="R74" s="34"/>
      <c r="T74" s="34"/>
      <c r="V74" s="34"/>
      <c r="X74" s="34"/>
      <c r="Y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109"/>
      <c r="AU74" s="97"/>
      <c r="AV74" s="97"/>
      <c r="AW74" s="97"/>
      <c r="AX74" s="41"/>
      <c r="AY74" s="109"/>
      <c r="AZ74" s="42"/>
      <c r="BA74" s="170"/>
      <c r="BB74" s="84"/>
      <c r="BC74" s="30"/>
      <c r="BD74" s="84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</row>
    <row r="75" spans="1:75" s="99" customFormat="1" x14ac:dyDescent="0.25">
      <c r="A75" s="136">
        <v>41</v>
      </c>
      <c r="B75" s="73"/>
      <c r="C75" s="2" t="s">
        <v>416</v>
      </c>
      <c r="D75" s="22">
        <f>SUM(F75:X75)</f>
        <v>8509433.0063705742</v>
      </c>
      <c r="E75" s="22"/>
      <c r="F75" s="22">
        <v>1775393.1324474369</v>
      </c>
      <c r="G75" s="22"/>
      <c r="H75" s="22">
        <v>339569.78698592697</v>
      </c>
      <c r="I75" s="22"/>
      <c r="J75" s="22">
        <v>3460602.2839958859</v>
      </c>
      <c r="K75" s="22"/>
      <c r="L75" s="22">
        <v>0</v>
      </c>
      <c r="M75" s="22"/>
      <c r="N75" s="22">
        <v>2933867.8029413237</v>
      </c>
      <c r="O75" s="22"/>
      <c r="P75" s="22">
        <v>0</v>
      </c>
      <c r="Q75" s="22"/>
      <c r="R75" s="22">
        <v>0</v>
      </c>
      <c r="S75" s="22"/>
      <c r="T75" s="22">
        <v>0</v>
      </c>
      <c r="U75" s="22"/>
      <c r="V75" s="22">
        <v>0</v>
      </c>
      <c r="W75" s="22"/>
      <c r="X75" s="22">
        <v>0</v>
      </c>
      <c r="Y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109"/>
      <c r="AU75" s="97"/>
      <c r="AV75" s="97"/>
      <c r="AW75" s="97"/>
      <c r="AX75" s="41"/>
      <c r="AY75" s="109"/>
      <c r="AZ75" s="42"/>
      <c r="BA75" s="170"/>
      <c r="BB75" s="84"/>
      <c r="BC75" s="144"/>
      <c r="BD75" s="84"/>
      <c r="BE75" s="144"/>
      <c r="BF75" s="84"/>
      <c r="BG75" s="144"/>
      <c r="BH75" s="84"/>
      <c r="BI75" s="144"/>
      <c r="BJ75" s="84"/>
      <c r="BK75" s="144"/>
      <c r="BL75" s="84"/>
      <c r="BM75" s="144"/>
      <c r="BN75" s="84"/>
      <c r="BO75" s="144"/>
      <c r="BP75" s="84"/>
      <c r="BQ75" s="144"/>
      <c r="BR75" s="84"/>
      <c r="BS75" s="144"/>
      <c r="BT75" s="84"/>
      <c r="BU75" s="144"/>
      <c r="BV75" s="84"/>
      <c r="BW75" s="144"/>
    </row>
    <row r="76" spans="1:75" s="99" customFormat="1" x14ac:dyDescent="0.25">
      <c r="A76" s="136">
        <v>42</v>
      </c>
      <c r="B76" s="2" t="s">
        <v>79</v>
      </c>
      <c r="C76" s="136"/>
      <c r="D76" s="65">
        <f>SUM(F76:X76)</f>
        <v>1</v>
      </c>
      <c r="E76" s="65"/>
      <c r="F76" s="65">
        <f>IFERROR(F75/$D75,0)</f>
        <v>0.20863824077565352</v>
      </c>
      <c r="G76" s="65"/>
      <c r="H76" s="65">
        <f>IFERROR(H75/$D75,0)</f>
        <v>3.9905101401198947E-2</v>
      </c>
      <c r="I76" s="65"/>
      <c r="J76" s="65">
        <f>IFERROR(J75/$D75,0)</f>
        <v>0.40667836287154635</v>
      </c>
      <c r="K76" s="65"/>
      <c r="L76" s="65">
        <f>IFERROR(L75/$D75,0)</f>
        <v>0</v>
      </c>
      <c r="M76" s="65"/>
      <c r="N76" s="65">
        <f>IFERROR(N75/$D75,0)</f>
        <v>0.34477829495160112</v>
      </c>
      <c r="O76" s="65"/>
      <c r="P76" s="65">
        <f>IFERROR(P75/$D75,0)</f>
        <v>0</v>
      </c>
      <c r="Q76" s="65"/>
      <c r="R76" s="65">
        <f>IFERROR(R75/$D75,0)</f>
        <v>0</v>
      </c>
      <c r="S76" s="65"/>
      <c r="T76" s="65">
        <f>IFERROR(T75/$D75,0)</f>
        <v>0</v>
      </c>
      <c r="U76" s="65"/>
      <c r="V76" s="65">
        <f>IFERROR(V75/$D75,0)</f>
        <v>0</v>
      </c>
      <c r="W76" s="65"/>
      <c r="X76" s="65">
        <f>IFERROR(X75/$D75,0)</f>
        <v>0</v>
      </c>
      <c r="Y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109"/>
      <c r="AU76" s="97"/>
      <c r="AV76" s="97"/>
      <c r="AW76" s="97"/>
      <c r="AX76" s="41"/>
      <c r="AY76" s="109"/>
      <c r="AZ76" s="170"/>
      <c r="BA76" s="170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</row>
    <row r="77" spans="1:75" s="99" customFormat="1" x14ac:dyDescent="0.25">
      <c r="B77" s="2"/>
      <c r="C77" s="136"/>
      <c r="D77" s="34"/>
      <c r="F77" s="34"/>
      <c r="H77" s="34"/>
      <c r="J77" s="34"/>
      <c r="L77" s="34"/>
      <c r="N77" s="34"/>
      <c r="P77" s="34"/>
      <c r="R77" s="34"/>
      <c r="T77" s="34"/>
      <c r="V77" s="34"/>
      <c r="X77" s="34"/>
      <c r="Y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109"/>
      <c r="AU77" s="97"/>
      <c r="AV77" s="97"/>
      <c r="AW77" s="97"/>
      <c r="AX77" s="41"/>
      <c r="AY77" s="109"/>
      <c r="AZ77" s="42"/>
      <c r="BA77" s="260"/>
      <c r="BB77" s="84"/>
      <c r="BC77" s="30"/>
      <c r="BD77" s="84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</row>
    <row r="78" spans="1:75" s="99" customFormat="1" x14ac:dyDescent="0.25">
      <c r="C78" s="136"/>
      <c r="E78" s="97"/>
      <c r="Y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109"/>
      <c r="AU78" s="97"/>
      <c r="AV78" s="97"/>
      <c r="AW78" s="97"/>
      <c r="AX78" s="41"/>
      <c r="AY78" s="109"/>
      <c r="AZ78" s="42"/>
      <c r="BA78" s="260"/>
      <c r="BB78" s="84"/>
      <c r="BC78" s="144"/>
      <c r="BD78" s="84"/>
      <c r="BE78" s="144"/>
      <c r="BF78" s="84"/>
      <c r="BG78" s="144"/>
      <c r="BH78" s="84"/>
      <c r="BI78" s="144"/>
      <c r="BJ78" s="84"/>
      <c r="BK78" s="144"/>
      <c r="BL78" s="84"/>
      <c r="BM78" s="144"/>
      <c r="BN78" s="84"/>
      <c r="BO78" s="144"/>
      <c r="BP78" s="84"/>
      <c r="BQ78" s="144"/>
      <c r="BR78" s="84"/>
      <c r="BS78" s="144"/>
      <c r="BT78" s="84"/>
      <c r="BU78" s="144"/>
      <c r="BV78" s="84"/>
      <c r="BW78" s="144"/>
    </row>
    <row r="79" spans="1:75" s="99" customFormat="1" x14ac:dyDescent="0.25">
      <c r="C79" s="136"/>
      <c r="E79" s="97"/>
      <c r="Y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109"/>
      <c r="AU79" s="97"/>
      <c r="AV79" s="97"/>
      <c r="AW79" s="97"/>
      <c r="AX79" s="109"/>
      <c r="AY79" s="109"/>
      <c r="AZ79" s="109"/>
      <c r="BA79" s="109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</row>
    <row r="80" spans="1:75" s="99" customFormat="1" x14ac:dyDescent="0.25">
      <c r="C80" s="136"/>
      <c r="E80" s="97"/>
      <c r="Y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109"/>
      <c r="AU80" s="97"/>
      <c r="AV80" s="97"/>
      <c r="AW80" s="97"/>
      <c r="AX80" s="109"/>
      <c r="AY80" s="109"/>
      <c r="AZ80" s="109"/>
      <c r="BA80" s="109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</row>
    <row r="81" spans="1:75" s="99" customFormat="1" x14ac:dyDescent="0.25">
      <c r="C81" s="136"/>
      <c r="E81" s="97"/>
      <c r="Y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109"/>
      <c r="AU81" s="97"/>
      <c r="AV81" s="97"/>
      <c r="AW81" s="97"/>
      <c r="AX81" s="109"/>
      <c r="AY81" s="109"/>
      <c r="AZ81" s="109"/>
      <c r="BA81" s="109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</row>
    <row r="82" spans="1:75" s="99" customFormat="1" x14ac:dyDescent="0.25">
      <c r="C82" s="136"/>
      <c r="E82" s="97"/>
      <c r="Y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109"/>
      <c r="AU82" s="97"/>
      <c r="AV82" s="97"/>
      <c r="AW82" s="97"/>
      <c r="AX82" s="109"/>
      <c r="AY82" s="109"/>
      <c r="AZ82" s="109"/>
      <c r="BA82" s="109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</row>
    <row r="83" spans="1:75" x14ac:dyDescent="0.25">
      <c r="A83" s="139"/>
      <c r="B83" s="109"/>
      <c r="C83" s="41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U83" s="109"/>
      <c r="AV83" s="109"/>
      <c r="AW83" s="109"/>
    </row>
    <row r="84" spans="1:75" x14ac:dyDescent="0.25">
      <c r="A84" s="139"/>
      <c r="B84" s="109"/>
      <c r="C84" s="41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U84" s="109"/>
      <c r="AV84" s="109"/>
      <c r="AW84" s="109"/>
    </row>
    <row r="85" spans="1:75" x14ac:dyDescent="0.25">
      <c r="A85" s="41"/>
      <c r="B85" s="109"/>
      <c r="C85" s="41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U85" s="109"/>
      <c r="AV85" s="109"/>
      <c r="AW85" s="109"/>
    </row>
    <row r="86" spans="1:75" ht="13" x14ac:dyDescent="0.3">
      <c r="A86" s="139"/>
      <c r="B86" s="109"/>
      <c r="C86" s="41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50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U86" s="109"/>
      <c r="AV86" s="109"/>
      <c r="AW86" s="109"/>
    </row>
    <row r="87" spans="1:75" x14ac:dyDescent="0.25">
      <c r="A87" s="139"/>
      <c r="B87" s="109"/>
      <c r="C87" s="41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U87" s="109"/>
      <c r="AV87" s="109"/>
      <c r="AW87" s="109"/>
    </row>
    <row r="88" spans="1:75" x14ac:dyDescent="0.25">
      <c r="A88" s="41"/>
      <c r="B88" s="109"/>
      <c r="C88" s="41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109"/>
      <c r="AQ88" s="109"/>
      <c r="AR88" s="109"/>
      <c r="AS88" s="109"/>
      <c r="AU88" s="109"/>
      <c r="AV88" s="109"/>
      <c r="AW88" s="109"/>
    </row>
    <row r="89" spans="1:75" x14ac:dyDescent="0.25">
      <c r="A89" s="139"/>
      <c r="B89" s="109"/>
      <c r="C89" s="41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109"/>
      <c r="AQ89" s="109"/>
      <c r="AR89" s="109"/>
      <c r="AS89" s="109"/>
      <c r="AU89" s="109"/>
      <c r="AV89" s="109"/>
      <c r="AW89" s="109"/>
    </row>
    <row r="90" spans="1:75" x14ac:dyDescent="0.25">
      <c r="A90" s="139"/>
      <c r="B90" s="109"/>
      <c r="C90" s="41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109"/>
      <c r="AQ90" s="109"/>
      <c r="AR90" s="109"/>
      <c r="AS90" s="109"/>
      <c r="AU90" s="109"/>
      <c r="AV90" s="109"/>
      <c r="AW90" s="109"/>
    </row>
    <row r="91" spans="1:75" x14ac:dyDescent="0.25">
      <c r="A91" s="109"/>
      <c r="B91" s="109"/>
      <c r="C91" s="41"/>
      <c r="D91" s="144"/>
      <c r="E91" s="109"/>
      <c r="F91" s="144"/>
      <c r="G91" s="109"/>
      <c r="H91" s="144"/>
      <c r="I91" s="109"/>
      <c r="J91" s="144"/>
      <c r="K91" s="109"/>
      <c r="L91" s="144"/>
      <c r="M91" s="109"/>
      <c r="N91" s="144"/>
      <c r="O91" s="109"/>
      <c r="P91" s="144"/>
      <c r="Q91" s="109"/>
      <c r="R91" s="144"/>
      <c r="S91" s="109"/>
      <c r="T91" s="144"/>
      <c r="U91" s="109"/>
      <c r="V91" s="144"/>
      <c r="W91" s="109"/>
      <c r="X91" s="144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U91" s="109"/>
      <c r="AV91" s="109"/>
      <c r="AW91" s="109"/>
    </row>
    <row r="92" spans="1:75" x14ac:dyDescent="0.25">
      <c r="A92" s="43"/>
      <c r="B92" s="109"/>
      <c r="C92" s="41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31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U92" s="109"/>
      <c r="AV92" s="109"/>
      <c r="AW92" s="109"/>
    </row>
    <row r="93" spans="1:75" x14ac:dyDescent="0.25">
      <c r="A93" s="43"/>
      <c r="B93" s="109"/>
      <c r="C93" s="41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U93" s="109"/>
      <c r="AV93" s="109"/>
      <c r="AW93" s="109"/>
    </row>
    <row r="94" spans="1:75" x14ac:dyDescent="0.25">
      <c r="A94" s="109"/>
      <c r="B94" s="109"/>
      <c r="C94" s="41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U94" s="109"/>
      <c r="AV94" s="109"/>
      <c r="AW94" s="109"/>
    </row>
    <row r="95" spans="1:75" x14ac:dyDescent="0.25">
      <c r="A95" s="43"/>
      <c r="B95" s="109"/>
      <c r="C95" s="41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U95" s="109"/>
      <c r="AV95" s="109"/>
      <c r="AW95" s="109"/>
    </row>
    <row r="96" spans="1:75" x14ac:dyDescent="0.25">
      <c r="A96" s="43"/>
      <c r="B96" s="109"/>
      <c r="C96" s="41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U96" s="109"/>
      <c r="AV96" s="109"/>
      <c r="AW96" s="109"/>
    </row>
    <row r="97" spans="1:49" x14ac:dyDescent="0.25">
      <c r="A97" s="109"/>
      <c r="B97" s="109"/>
      <c r="C97" s="41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U97" s="109"/>
      <c r="AV97" s="109"/>
      <c r="AW97" s="109"/>
    </row>
    <row r="98" spans="1:49" x14ac:dyDescent="0.25">
      <c r="A98" s="43"/>
      <c r="B98" s="109"/>
      <c r="C98" s="41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U98" s="109"/>
      <c r="AV98" s="109"/>
      <c r="AW98" s="109"/>
    </row>
    <row r="99" spans="1:49" x14ac:dyDescent="0.25">
      <c r="A99" s="43"/>
      <c r="B99" s="109"/>
      <c r="C99" s="41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U99" s="109"/>
      <c r="AV99" s="109"/>
      <c r="AW99" s="109"/>
    </row>
    <row r="100" spans="1:49" x14ac:dyDescent="0.25">
      <c r="A100" s="109"/>
      <c r="B100" s="109"/>
      <c r="C100" s="41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U100" s="109"/>
      <c r="AV100" s="109"/>
      <c r="AW100" s="109"/>
    </row>
    <row r="101" spans="1:49" ht="13" x14ac:dyDescent="0.3">
      <c r="A101" s="43"/>
      <c r="B101" s="41"/>
      <c r="C101" s="41"/>
      <c r="D101" s="30"/>
      <c r="E101" s="51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150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U101" s="109"/>
      <c r="AV101" s="109"/>
      <c r="AW101" s="109"/>
    </row>
    <row r="102" spans="1:49" ht="13" x14ac:dyDescent="0.3">
      <c r="A102" s="43"/>
      <c r="B102" s="140"/>
      <c r="C102" s="41"/>
      <c r="D102" s="144"/>
      <c r="E102" s="109"/>
      <c r="F102" s="144"/>
      <c r="G102" s="109"/>
      <c r="H102" s="144"/>
      <c r="I102" s="109"/>
      <c r="J102" s="144"/>
      <c r="K102" s="109"/>
      <c r="L102" s="144"/>
      <c r="M102" s="109"/>
      <c r="N102" s="144"/>
      <c r="O102" s="109"/>
      <c r="P102" s="144"/>
      <c r="Q102" s="109"/>
      <c r="R102" s="144"/>
      <c r="S102" s="109"/>
      <c r="T102" s="144"/>
      <c r="U102" s="109"/>
      <c r="V102" s="144"/>
      <c r="W102" s="109"/>
      <c r="X102" s="144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U102" s="109"/>
      <c r="AV102" s="109"/>
      <c r="AW102" s="109"/>
    </row>
    <row r="103" spans="1:49" x14ac:dyDescent="0.25">
      <c r="A103" s="109"/>
      <c r="B103" s="109"/>
      <c r="C103" s="41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U103" s="109"/>
      <c r="AV103" s="109"/>
      <c r="AW103" s="109"/>
    </row>
    <row r="104" spans="1:49" x14ac:dyDescent="0.25">
      <c r="A104" s="43"/>
      <c r="B104" s="109"/>
      <c r="C104" s="41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U104" s="109"/>
      <c r="AV104" s="109"/>
      <c r="AW104" s="109"/>
    </row>
    <row r="105" spans="1:49" x14ac:dyDescent="0.25">
      <c r="A105" s="43"/>
      <c r="B105" s="109"/>
      <c r="C105" s="41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U105" s="109"/>
      <c r="AV105" s="109"/>
      <c r="AW105" s="109"/>
    </row>
    <row r="106" spans="1:49" x14ac:dyDescent="0.25">
      <c r="A106" s="109"/>
      <c r="B106" s="41"/>
      <c r="C106" s="41"/>
      <c r="D106" s="109"/>
      <c r="E106" s="109"/>
      <c r="F106" s="144"/>
      <c r="G106" s="109"/>
      <c r="H106" s="144"/>
      <c r="I106" s="109"/>
      <c r="J106" s="144"/>
      <c r="K106" s="109"/>
      <c r="L106" s="144"/>
      <c r="M106" s="109"/>
      <c r="N106" s="144"/>
      <c r="O106" s="109"/>
      <c r="P106" s="144"/>
      <c r="Q106" s="109"/>
      <c r="R106" s="144"/>
      <c r="S106" s="109"/>
      <c r="T106" s="109"/>
      <c r="U106" s="109"/>
      <c r="V106" s="109"/>
      <c r="W106" s="109"/>
      <c r="X106" s="144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U106" s="109"/>
      <c r="AV106" s="109"/>
      <c r="AW106" s="109"/>
    </row>
    <row r="107" spans="1:49" x14ac:dyDescent="0.25">
      <c r="A107" s="43"/>
      <c r="B107" s="109"/>
      <c r="C107" s="41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U107" s="109"/>
      <c r="AV107" s="109"/>
      <c r="AW107" s="109"/>
    </row>
    <row r="108" spans="1:49" x14ac:dyDescent="0.25">
      <c r="A108" s="43"/>
      <c r="B108" s="109"/>
      <c r="C108" s="41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U108" s="109"/>
      <c r="AV108" s="109"/>
      <c r="AW108" s="109"/>
    </row>
    <row r="109" spans="1:49" x14ac:dyDescent="0.25">
      <c r="A109" s="109"/>
      <c r="B109" s="41"/>
      <c r="C109" s="41"/>
      <c r="D109" s="109"/>
      <c r="E109" s="109"/>
      <c r="F109" s="144"/>
      <c r="G109" s="109"/>
      <c r="H109" s="144"/>
      <c r="I109" s="109"/>
      <c r="J109" s="144"/>
      <c r="K109" s="109"/>
      <c r="L109" s="144"/>
      <c r="M109" s="109"/>
      <c r="N109" s="144"/>
      <c r="O109" s="109"/>
      <c r="P109" s="144"/>
      <c r="Q109" s="109"/>
      <c r="R109" s="144"/>
      <c r="S109" s="109"/>
      <c r="T109" s="109"/>
      <c r="U109" s="109"/>
      <c r="V109" s="109"/>
      <c r="W109" s="109"/>
      <c r="X109" s="144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U109" s="109"/>
      <c r="AV109" s="109"/>
      <c r="AW109" s="109"/>
    </row>
    <row r="110" spans="1:49" x14ac:dyDescent="0.25">
      <c r="A110" s="43"/>
      <c r="B110" s="109"/>
      <c r="C110" s="41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U110" s="109"/>
      <c r="AV110" s="109"/>
      <c r="AW110" s="109"/>
    </row>
    <row r="111" spans="1:49" x14ac:dyDescent="0.25">
      <c r="A111" s="43"/>
      <c r="B111" s="109"/>
      <c r="C111" s="41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U111" s="109"/>
      <c r="AV111" s="109"/>
      <c r="AW111" s="109"/>
    </row>
    <row r="112" spans="1:49" x14ac:dyDescent="0.25">
      <c r="A112" s="109"/>
      <c r="B112" s="109"/>
      <c r="C112" s="41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U112" s="109"/>
      <c r="AV112" s="109"/>
      <c r="AW112" s="109"/>
    </row>
    <row r="113" spans="1:49" x14ac:dyDescent="0.25">
      <c r="A113" s="43"/>
      <c r="B113" s="109"/>
      <c r="C113" s="41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U113" s="109"/>
      <c r="AV113" s="109"/>
      <c r="AW113" s="109"/>
    </row>
    <row r="114" spans="1:49" x14ac:dyDescent="0.25">
      <c r="A114" s="43"/>
      <c r="B114" s="109"/>
      <c r="C114" s="41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U114" s="109"/>
      <c r="AV114" s="109"/>
      <c r="AW114" s="109"/>
    </row>
    <row r="115" spans="1:49" x14ac:dyDescent="0.25">
      <c r="A115" s="109"/>
      <c r="B115" s="109"/>
      <c r="C115" s="41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U115" s="109"/>
      <c r="AV115" s="109"/>
      <c r="AW115" s="109"/>
    </row>
    <row r="116" spans="1:49" ht="13" x14ac:dyDescent="0.3">
      <c r="A116" s="42"/>
      <c r="B116" s="109"/>
      <c r="C116" s="41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50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U116" s="109"/>
      <c r="AV116" s="109"/>
      <c r="AW116" s="109"/>
    </row>
    <row r="117" spans="1:49" x14ac:dyDescent="0.25">
      <c r="A117" s="42"/>
      <c r="B117" s="109"/>
      <c r="C117" s="41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U117" s="109"/>
      <c r="AV117" s="109"/>
      <c r="AW117" s="109"/>
    </row>
    <row r="118" spans="1:49" x14ac:dyDescent="0.25">
      <c r="A118" s="109"/>
      <c r="B118" s="109"/>
      <c r="C118" s="41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U118" s="109"/>
      <c r="AV118" s="109"/>
      <c r="AW118" s="109"/>
    </row>
    <row r="119" spans="1:49" x14ac:dyDescent="0.25">
      <c r="A119" s="42"/>
      <c r="B119" s="109"/>
      <c r="C119" s="41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U119" s="109"/>
      <c r="AV119" s="109"/>
      <c r="AW119" s="109"/>
    </row>
    <row r="120" spans="1:49" x14ac:dyDescent="0.25">
      <c r="A120" s="42"/>
      <c r="B120" s="109"/>
      <c r="C120" s="41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65"/>
      <c r="AB120" s="166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U120" s="109"/>
      <c r="AV120" s="109"/>
      <c r="AW120" s="109"/>
    </row>
    <row r="121" spans="1:49" x14ac:dyDescent="0.25">
      <c r="A121" s="109"/>
      <c r="B121" s="109"/>
      <c r="C121" s="41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41"/>
      <c r="AD121" s="109"/>
      <c r="AE121" s="41"/>
      <c r="AF121" s="109"/>
      <c r="AG121" s="41"/>
      <c r="AH121" s="109"/>
      <c r="AI121" s="41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41"/>
      <c r="AU121" s="109"/>
      <c r="AV121" s="109"/>
      <c r="AW121" s="109"/>
    </row>
    <row r="122" spans="1:49" x14ac:dyDescent="0.25">
      <c r="A122" s="42"/>
      <c r="B122" s="109"/>
      <c r="C122" s="41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109"/>
      <c r="AW122" s="109"/>
    </row>
    <row r="123" spans="1:49" x14ac:dyDescent="0.25">
      <c r="A123" s="42"/>
      <c r="B123" s="109"/>
      <c r="C123" s="41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U123" s="109"/>
      <c r="AV123" s="109"/>
      <c r="AW123" s="109"/>
    </row>
    <row r="124" spans="1:49" x14ac:dyDescent="0.25">
      <c r="A124" s="109"/>
      <c r="B124" s="109"/>
      <c r="C124" s="41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109"/>
      <c r="AQ124" s="30"/>
      <c r="AR124" s="109"/>
      <c r="AS124" s="30"/>
      <c r="AU124" s="30"/>
      <c r="AV124" s="109"/>
      <c r="AW124" s="31"/>
    </row>
    <row r="125" spans="1:49" x14ac:dyDescent="0.25">
      <c r="A125" s="42"/>
      <c r="B125" s="109"/>
      <c r="C125" s="41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44"/>
      <c r="AD125" s="144"/>
      <c r="AE125" s="144"/>
      <c r="AF125" s="144"/>
      <c r="AG125" s="144"/>
      <c r="AH125" s="144"/>
      <c r="AI125" s="144"/>
      <c r="AJ125" s="143"/>
      <c r="AK125" s="144"/>
      <c r="AL125" s="143"/>
      <c r="AM125" s="144"/>
      <c r="AN125" s="143"/>
      <c r="AO125" s="144"/>
      <c r="AP125" s="143"/>
      <c r="AQ125" s="144"/>
      <c r="AR125" s="143"/>
      <c r="AS125" s="144"/>
      <c r="AT125" s="143"/>
      <c r="AU125" s="144"/>
      <c r="AV125" s="109"/>
      <c r="AW125" s="109"/>
    </row>
    <row r="126" spans="1:49" ht="14.5" x14ac:dyDescent="0.35">
      <c r="A126" s="42"/>
      <c r="B126" s="109"/>
      <c r="C126" s="41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U126" s="109"/>
      <c r="AV126" s="109"/>
      <c r="AW126" s="109"/>
    </row>
    <row r="127" spans="1:49" x14ac:dyDescent="0.25">
      <c r="A127" s="109"/>
      <c r="B127" s="109"/>
      <c r="C127" s="41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31"/>
      <c r="AD127" s="31"/>
      <c r="AE127" s="31"/>
      <c r="AF127" s="31"/>
      <c r="AG127" s="31"/>
      <c r="AH127" s="31"/>
      <c r="AI127" s="31"/>
      <c r="AJ127" s="109"/>
      <c r="AK127" s="31"/>
      <c r="AL127" s="109"/>
      <c r="AM127" s="31"/>
      <c r="AN127" s="109"/>
      <c r="AO127" s="31"/>
      <c r="AP127" s="109"/>
      <c r="AQ127" s="31"/>
      <c r="AR127" s="109"/>
      <c r="AS127" s="31"/>
      <c r="AU127" s="31"/>
      <c r="AV127" s="109"/>
      <c r="AW127" s="109"/>
    </row>
    <row r="128" spans="1:49" x14ac:dyDescent="0.25">
      <c r="A128" s="42"/>
      <c r="B128" s="109"/>
      <c r="C128" s="41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67"/>
      <c r="AD128" s="168"/>
      <c r="AE128" s="167"/>
      <c r="AF128" s="168"/>
      <c r="AG128" s="167"/>
      <c r="AH128" s="168"/>
      <c r="AI128" s="167"/>
      <c r="AJ128" s="109"/>
      <c r="AK128" s="167"/>
      <c r="AL128" s="109"/>
      <c r="AM128" s="167"/>
      <c r="AN128" s="109"/>
      <c r="AO128" s="167"/>
      <c r="AP128" s="109"/>
      <c r="AQ128" s="167"/>
      <c r="AR128" s="109"/>
      <c r="AS128" s="167"/>
      <c r="AU128" s="167"/>
      <c r="AV128" s="109"/>
      <c r="AW128" s="109"/>
    </row>
    <row r="129" spans="1:49" x14ac:dyDescent="0.25">
      <c r="A129" s="42"/>
      <c r="B129" s="109"/>
      <c r="C129" s="41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U129" s="109"/>
      <c r="AV129" s="109"/>
      <c r="AW129" s="109"/>
    </row>
    <row r="130" spans="1:49" ht="13" x14ac:dyDescent="0.3">
      <c r="A130" s="109"/>
      <c r="B130" s="109"/>
      <c r="C130" s="41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69"/>
      <c r="AB130" s="170"/>
      <c r="AC130" s="83"/>
      <c r="AD130" s="171"/>
      <c r="AE130" s="83"/>
      <c r="AF130" s="83"/>
      <c r="AG130" s="83"/>
      <c r="AH130" s="83"/>
      <c r="AI130" s="83"/>
      <c r="AJ130" s="170"/>
      <c r="AK130" s="83"/>
      <c r="AL130" s="170"/>
      <c r="AM130" s="83"/>
      <c r="AN130" s="170"/>
      <c r="AO130" s="83"/>
      <c r="AP130" s="170"/>
      <c r="AQ130" s="83"/>
      <c r="AR130" s="170"/>
      <c r="AS130" s="83"/>
      <c r="AT130" s="170"/>
      <c r="AU130" s="83"/>
      <c r="AV130" s="109"/>
      <c r="AW130" s="109"/>
    </row>
    <row r="131" spans="1:49" x14ac:dyDescent="0.25">
      <c r="A131" s="42"/>
      <c r="B131" s="109"/>
      <c r="C131" s="41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U131" s="109"/>
      <c r="AV131" s="109"/>
      <c r="AW131" s="109"/>
    </row>
    <row r="132" spans="1:49" x14ac:dyDescent="0.25">
      <c r="A132" s="42"/>
      <c r="B132" s="109"/>
      <c r="C132" s="41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U132" s="109"/>
      <c r="AV132" s="109"/>
      <c r="AW132" s="109"/>
    </row>
    <row r="133" spans="1:49" x14ac:dyDescent="0.25">
      <c r="A133" s="109"/>
      <c r="B133" s="109"/>
      <c r="C133" s="41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U133" s="109"/>
      <c r="AV133" s="109"/>
      <c r="AW133" s="109"/>
    </row>
    <row r="134" spans="1:49" ht="13" x14ac:dyDescent="0.3">
      <c r="A134" s="42"/>
      <c r="B134" s="109"/>
      <c r="C134" s="41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72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U134" s="109"/>
      <c r="AV134" s="109"/>
      <c r="AW134" s="109"/>
    </row>
    <row r="135" spans="1:49" x14ac:dyDescent="0.25">
      <c r="A135" s="42"/>
      <c r="B135" s="109"/>
      <c r="C135" s="41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U135" s="109"/>
      <c r="AV135" s="109"/>
      <c r="AW135" s="109"/>
    </row>
    <row r="136" spans="1:49" x14ac:dyDescent="0.25">
      <c r="A136" s="109"/>
      <c r="B136" s="109"/>
      <c r="C136" s="41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U136" s="109"/>
      <c r="AV136" s="109"/>
      <c r="AW136" s="109"/>
    </row>
    <row r="137" spans="1:49" x14ac:dyDescent="0.25">
      <c r="A137" s="42"/>
      <c r="B137" s="109"/>
      <c r="C137" s="41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U137" s="109"/>
      <c r="AV137" s="109"/>
      <c r="AW137" s="109"/>
    </row>
    <row r="138" spans="1:49" x14ac:dyDescent="0.25">
      <c r="A138" s="42"/>
      <c r="B138" s="109"/>
      <c r="C138" s="41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U138" s="109"/>
      <c r="AV138" s="109"/>
      <c r="AW138" s="109"/>
    </row>
    <row r="139" spans="1:49" x14ac:dyDescent="0.25">
      <c r="A139" s="109"/>
      <c r="B139" s="109"/>
      <c r="C139" s="41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U139" s="109"/>
      <c r="AV139" s="109"/>
      <c r="AW139" s="109"/>
    </row>
    <row r="140" spans="1:49" x14ac:dyDescent="0.25">
      <c r="A140" s="42"/>
      <c r="B140" s="109"/>
      <c r="C140" s="41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U140" s="109"/>
      <c r="AV140" s="109"/>
      <c r="AW140" s="109"/>
    </row>
    <row r="141" spans="1:49" x14ac:dyDescent="0.25">
      <c r="A141" s="42"/>
      <c r="B141" s="109"/>
      <c r="C141" s="41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U141" s="109"/>
      <c r="AV141" s="109"/>
      <c r="AW141" s="109"/>
    </row>
    <row r="142" spans="1:49" x14ac:dyDescent="0.25">
      <c r="A142" s="109"/>
      <c r="B142" s="109"/>
      <c r="C142" s="41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U142" s="109"/>
      <c r="AV142" s="109"/>
      <c r="AW142" s="109"/>
    </row>
    <row r="143" spans="1:49" x14ac:dyDescent="0.25">
      <c r="A143" s="42"/>
      <c r="B143" s="109"/>
      <c r="C143" s="41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U143" s="109"/>
      <c r="AV143" s="109"/>
      <c r="AW143" s="109"/>
    </row>
    <row r="144" spans="1:49" x14ac:dyDescent="0.25">
      <c r="A144" s="42"/>
      <c r="B144" s="109"/>
      <c r="C144" s="41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U144" s="109"/>
      <c r="AV144" s="109"/>
      <c r="AW144" s="109"/>
    </row>
    <row r="145" spans="1:49" x14ac:dyDescent="0.25">
      <c r="A145" s="109"/>
      <c r="B145" s="41"/>
      <c r="C145" s="41"/>
      <c r="D145" s="143"/>
      <c r="E145" s="109"/>
      <c r="F145" s="144"/>
      <c r="G145" s="109"/>
      <c r="H145" s="144"/>
      <c r="I145" s="109"/>
      <c r="J145" s="144"/>
      <c r="K145" s="109"/>
      <c r="L145" s="144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U145" s="109"/>
      <c r="AV145" s="109"/>
      <c r="AW145" s="109"/>
    </row>
    <row r="146" spans="1:49" x14ac:dyDescent="0.25">
      <c r="A146" s="42"/>
      <c r="B146" s="109"/>
      <c r="C146" s="41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U146" s="109"/>
      <c r="AV146" s="109"/>
      <c r="AW146" s="109"/>
    </row>
    <row r="147" spans="1:49" x14ac:dyDescent="0.25">
      <c r="A147" s="42"/>
      <c r="B147" s="109"/>
      <c r="C147" s="41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U147" s="109"/>
      <c r="AV147" s="109"/>
      <c r="AW147" s="109"/>
    </row>
    <row r="148" spans="1:49" x14ac:dyDescent="0.25">
      <c r="A148" s="109"/>
      <c r="B148" s="109"/>
      <c r="C148" s="41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U148" s="109"/>
      <c r="AV148" s="109"/>
      <c r="AW148" s="109"/>
    </row>
  </sheetData>
  <mergeCells count="4">
    <mergeCell ref="F9:L9"/>
    <mergeCell ref="B6:X6"/>
    <mergeCell ref="B7:X7"/>
    <mergeCell ref="N9:V9"/>
  </mergeCells>
  <conditionalFormatting sqref="Y48">
    <cfRule type="cellIs" dxfId="15" priority="17" operator="equal">
      <formula>"check"</formula>
    </cfRule>
    <cfRule type="cellIs" dxfId="14" priority="18" operator="equal">
      <formula>"ok"</formula>
    </cfRule>
  </conditionalFormatting>
  <conditionalFormatting sqref="Y36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60">
    <cfRule type="cellIs" dxfId="11" priority="13" operator="equal">
      <formula>"check"</formula>
    </cfRule>
    <cfRule type="cellIs" dxfId="10" priority="14" operator="equal">
      <formula>"ok"</formula>
    </cfRule>
  </conditionalFormatting>
  <conditionalFormatting sqref="Y51">
    <cfRule type="cellIs" dxfId="9" priority="11" operator="equal">
      <formula>"check"</formula>
    </cfRule>
    <cfRule type="cellIs" dxfId="8" priority="12" operator="equal">
      <formula>"ok"</formula>
    </cfRule>
  </conditionalFormatting>
  <conditionalFormatting sqref="Y134">
    <cfRule type="cellIs" dxfId="7" priority="9" operator="equal">
      <formula>"check"</formula>
    </cfRule>
    <cfRule type="cellIs" dxfId="6" priority="10" operator="equal">
      <formula>"ok"</formula>
    </cfRule>
  </conditionalFormatting>
  <conditionalFormatting sqref="Y69">
    <cfRule type="cellIs" dxfId="5" priority="7" operator="equal">
      <formula>"check"</formula>
    </cfRule>
    <cfRule type="cellIs" dxfId="4" priority="8" operator="equal">
      <formula>"ok"</formula>
    </cfRule>
  </conditionalFormatting>
  <conditionalFormatting sqref="Y63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54">
    <cfRule type="cellIs" dxfId="1" priority="1" operator="equal">
      <formula>"check"</formula>
    </cfRule>
    <cfRule type="cellIs" dxfId="0" priority="2" operator="equal">
      <formula>"ok"</formula>
    </cfRule>
  </conditionalFormatting>
  <pageMargins left="0.7" right="0.7" top="0.75" bottom="0.75" header="0.3" footer="0.3"/>
  <pageSetup scale="55" fitToHeight="3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L182"/>
  <sheetViews>
    <sheetView topLeftCell="A4" zoomScale="80" zoomScaleNormal="80" workbookViewId="0">
      <pane xSplit="4" ySplit="10" topLeftCell="M35" activePane="bottomRight" state="frozen"/>
      <selection activeCell="AA134" sqref="AA134"/>
      <selection pane="topRight" activeCell="AA134" sqref="AA134"/>
      <selection pane="bottomLeft" activeCell="AA134" sqref="AA134"/>
      <selection pane="bottomRight" activeCell="AA134" sqref="AA134"/>
    </sheetView>
  </sheetViews>
  <sheetFormatPr defaultColWidth="9.1796875" defaultRowHeight="12.5" x14ac:dyDescent="0.25"/>
  <cols>
    <col min="1" max="1" width="1.7265625" style="73" customWidth="1"/>
    <col min="2" max="2" width="6.1796875" style="2" bestFit="1" customWidth="1"/>
    <col min="3" max="3" width="1.7265625" style="73" customWidth="1"/>
    <col min="4" max="4" width="46" style="73" bestFit="1" customWidth="1"/>
    <col min="5" max="5" width="1.7265625" style="73" customWidth="1"/>
    <col min="6" max="6" width="19.26953125" style="94" customWidth="1"/>
    <col min="7" max="7" width="1.7265625" style="94" customWidth="1"/>
    <col min="8" max="8" width="13.26953125" style="94" customWidth="1"/>
    <col min="9" max="9" width="1.7265625" style="94" customWidth="1"/>
    <col min="10" max="10" width="17.26953125" style="94" bestFit="1" customWidth="1"/>
    <col min="11" max="11" width="1.7265625" style="188" customWidth="1"/>
    <col min="12" max="12" width="13.7265625" style="94" bestFit="1" customWidth="1"/>
    <col min="13" max="13" width="1.7265625" style="188" customWidth="1"/>
    <col min="14" max="14" width="22.26953125" style="91" bestFit="1" customWidth="1"/>
    <col min="15" max="15" width="1.7265625" style="188" customWidth="1"/>
    <col min="16" max="16" width="18.1796875" style="94" bestFit="1" customWidth="1"/>
    <col min="17" max="17" width="1.7265625" style="94" customWidth="1"/>
    <col min="18" max="18" width="18.1796875" style="94" bestFit="1" customWidth="1"/>
    <col min="19" max="19" width="1.7265625" style="94" customWidth="1"/>
    <col min="20" max="20" width="13.1796875" style="94" customWidth="1"/>
    <col min="21" max="21" width="1.7265625" style="94" customWidth="1"/>
    <col min="22" max="22" width="13.1796875" style="94" customWidth="1"/>
    <col min="23" max="23" width="1.7265625" style="94" customWidth="1"/>
    <col min="24" max="24" width="17" style="94" customWidth="1"/>
    <col min="25" max="25" width="12.26953125" style="73" bestFit="1" customWidth="1"/>
    <col min="26" max="26" width="0" style="73" hidden="1" customWidth="1"/>
    <col min="27" max="27" width="9.1796875" style="73"/>
    <col min="28" max="28" width="11.26953125" style="73" customWidth="1"/>
    <col min="29" max="29" width="9.26953125" style="73" bestFit="1" customWidth="1"/>
    <col min="30" max="30" width="9.1796875" style="73"/>
    <col min="31" max="31" width="11.26953125" style="73" customWidth="1"/>
    <col min="32" max="32" width="1.26953125" style="73" customWidth="1"/>
    <col min="33" max="33" width="11.26953125" style="73" customWidth="1"/>
    <col min="34" max="34" width="1.1796875" style="73" customWidth="1"/>
    <col min="35" max="35" width="11.26953125" style="73" customWidth="1"/>
    <col min="36" max="36" width="1" style="73" customWidth="1"/>
    <col min="37" max="37" width="11.26953125" style="73" customWidth="1"/>
    <col min="38" max="38" width="1.26953125" style="73" customWidth="1"/>
    <col min="39" max="16384" width="9.1796875" style="73"/>
  </cols>
  <sheetData>
    <row r="5" spans="2:38" ht="15" customHeight="1" x14ac:dyDescent="0.25">
      <c r="B5" s="267" t="s">
        <v>0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</row>
    <row r="6" spans="2:38" ht="15" customHeight="1" x14ac:dyDescent="0.25">
      <c r="B6" s="268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AA6" s="94"/>
      <c r="AB6" s="94"/>
      <c r="AC6" s="94"/>
      <c r="AD6" s="94"/>
      <c r="AE6" s="94"/>
    </row>
    <row r="7" spans="2:38" ht="15" customHeight="1" x14ac:dyDescent="0.25">
      <c r="B7" s="267" t="s">
        <v>314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AA7" s="94"/>
      <c r="AB7" s="94"/>
      <c r="AC7" s="94"/>
      <c r="AD7" s="94"/>
      <c r="AE7" s="94"/>
    </row>
    <row r="9" spans="2:38" x14ac:dyDescent="0.25">
      <c r="P9" s="245"/>
      <c r="Q9" s="245"/>
      <c r="R9" s="245"/>
      <c r="S9" s="245"/>
      <c r="T9" s="245"/>
      <c r="U9" s="245"/>
      <c r="V9" s="245"/>
    </row>
    <row r="10" spans="2:38" x14ac:dyDescent="0.25">
      <c r="H10" s="91" t="s">
        <v>11</v>
      </c>
      <c r="J10" s="91" t="s">
        <v>153</v>
      </c>
      <c r="L10" s="91" t="s">
        <v>160</v>
      </c>
      <c r="N10" s="91" t="s">
        <v>64</v>
      </c>
      <c r="P10" s="91"/>
      <c r="R10" s="91" t="s">
        <v>10</v>
      </c>
      <c r="T10" s="91" t="s">
        <v>386</v>
      </c>
      <c r="V10" s="91"/>
      <c r="W10" s="245"/>
      <c r="Y10" s="94"/>
    </row>
    <row r="11" spans="2:38" x14ac:dyDescent="0.25">
      <c r="B11" s="2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91" t="s">
        <v>164</v>
      </c>
      <c r="P11" s="91" t="s">
        <v>315</v>
      </c>
      <c r="Q11" s="91"/>
      <c r="R11" s="91" t="s">
        <v>68</v>
      </c>
      <c r="S11" s="91"/>
      <c r="T11" s="91" t="s">
        <v>68</v>
      </c>
      <c r="U11" s="91"/>
      <c r="V11" s="91"/>
      <c r="W11" s="91"/>
      <c r="Y11" s="94"/>
    </row>
    <row r="12" spans="2:38" ht="13" x14ac:dyDescent="0.3">
      <c r="B12" s="57" t="s">
        <v>4</v>
      </c>
      <c r="D12" s="201" t="s">
        <v>449</v>
      </c>
      <c r="F12" s="202" t="s">
        <v>5</v>
      </c>
      <c r="H12" s="202" t="s">
        <v>154</v>
      </c>
      <c r="J12" s="202" t="s">
        <v>6</v>
      </c>
      <c r="K12" s="191" t="s">
        <v>286</v>
      </c>
      <c r="L12" s="202" t="s">
        <v>366</v>
      </c>
      <c r="N12" s="202" t="s">
        <v>6</v>
      </c>
      <c r="O12" s="191" t="s">
        <v>286</v>
      </c>
      <c r="P12" s="202" t="s">
        <v>316</v>
      </c>
      <c r="Q12" s="91"/>
      <c r="R12" s="202" t="s">
        <v>385</v>
      </c>
      <c r="S12" s="91"/>
      <c r="T12" s="202" t="s">
        <v>387</v>
      </c>
      <c r="U12" s="91"/>
      <c r="V12" s="202"/>
      <c r="W12" s="91"/>
      <c r="X12" s="202" t="s">
        <v>11</v>
      </c>
      <c r="Y12" s="94"/>
      <c r="Z12" s="246" t="s">
        <v>107</v>
      </c>
    </row>
    <row r="13" spans="2:38" x14ac:dyDescent="0.25">
      <c r="F13" s="91" t="s">
        <v>12</v>
      </c>
      <c r="H13" s="91" t="s">
        <v>13</v>
      </c>
      <c r="J13" s="91" t="s">
        <v>14</v>
      </c>
      <c r="K13" s="192"/>
      <c r="L13" s="91" t="s">
        <v>217</v>
      </c>
      <c r="N13" s="91" t="s">
        <v>15</v>
      </c>
      <c r="O13" s="192"/>
      <c r="P13" s="91" t="s">
        <v>16</v>
      </c>
      <c r="Q13" s="91"/>
      <c r="R13" s="91" t="s">
        <v>59</v>
      </c>
      <c r="S13" s="91"/>
      <c r="T13" s="91" t="s">
        <v>61</v>
      </c>
      <c r="U13" s="91"/>
      <c r="V13" s="91" t="s">
        <v>62</v>
      </c>
      <c r="W13" s="91"/>
      <c r="X13" s="91" t="s">
        <v>367</v>
      </c>
      <c r="Y13" s="94"/>
      <c r="Z13" s="234"/>
    </row>
    <row r="14" spans="2:38" s="187" customFormat="1" x14ac:dyDescent="0.25">
      <c r="B14" s="186"/>
      <c r="F14" s="188"/>
      <c r="G14" s="188"/>
      <c r="H14" s="188"/>
      <c r="I14" s="188"/>
      <c r="J14" s="188"/>
      <c r="K14" s="188"/>
      <c r="L14" s="188"/>
      <c r="M14" s="188"/>
      <c r="N14" s="192"/>
      <c r="O14" s="188"/>
      <c r="P14" s="188">
        <v>4</v>
      </c>
      <c r="Q14" s="188"/>
      <c r="R14" s="188">
        <v>6</v>
      </c>
      <c r="S14" s="188"/>
      <c r="T14" s="188">
        <v>8</v>
      </c>
      <c r="U14" s="188"/>
      <c r="V14" s="188">
        <v>10</v>
      </c>
      <c r="W14" s="188"/>
      <c r="X14" s="188"/>
      <c r="Y14" s="188"/>
      <c r="Z14" s="193"/>
      <c r="AB14" s="195"/>
      <c r="AC14" s="195"/>
      <c r="AD14" s="195"/>
      <c r="AE14" s="191"/>
      <c r="AF14" s="195"/>
      <c r="AG14" s="191"/>
      <c r="AH14" s="195"/>
      <c r="AI14" s="191"/>
      <c r="AJ14" s="195"/>
      <c r="AK14" s="191"/>
      <c r="AL14" s="196"/>
    </row>
    <row r="15" spans="2:38" ht="13" x14ac:dyDescent="0.3">
      <c r="D15" s="197"/>
      <c r="E15" s="197"/>
      <c r="F15" s="219"/>
      <c r="Y15" s="94"/>
      <c r="Z15" s="247"/>
      <c r="AB15" s="170"/>
      <c r="AC15" s="170"/>
      <c r="AD15" s="170"/>
      <c r="AE15" s="42"/>
      <c r="AF15" s="42"/>
      <c r="AG15" s="42"/>
      <c r="AH15" s="42"/>
      <c r="AI15" s="42"/>
      <c r="AJ15" s="42"/>
      <c r="AK15" s="42"/>
      <c r="AL15" s="42"/>
    </row>
    <row r="16" spans="2:38" ht="13" x14ac:dyDescent="0.3">
      <c r="D16" s="198" t="s">
        <v>329</v>
      </c>
      <c r="E16" s="198"/>
      <c r="F16" s="220"/>
      <c r="Y16" s="94"/>
      <c r="Z16" s="234"/>
      <c r="AB16" s="170"/>
      <c r="AC16" s="170"/>
      <c r="AD16" s="170"/>
      <c r="AE16" s="42"/>
      <c r="AF16" s="42"/>
      <c r="AG16" s="42"/>
      <c r="AH16" s="42"/>
      <c r="AI16" s="42"/>
      <c r="AJ16" s="42"/>
      <c r="AK16" s="42"/>
      <c r="AL16" s="42"/>
    </row>
    <row r="17" spans="2:38" ht="13" x14ac:dyDescent="0.3">
      <c r="Y17" s="94"/>
      <c r="Z17" s="247" t="str">
        <f>IF(ROUND(L17,4)=ROUND(X17,4), "", "check")</f>
        <v/>
      </c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</row>
    <row r="18" spans="2:38" ht="13" x14ac:dyDescent="0.3">
      <c r="B18" s="2">
        <v>1</v>
      </c>
      <c r="D18" s="73" t="s">
        <v>75</v>
      </c>
      <c r="F18" s="113">
        <f ca="1">'Distribution Class'!AF18</f>
        <v>0</v>
      </c>
      <c r="H18" s="113"/>
      <c r="J18" s="91"/>
      <c r="K18" s="192">
        <f>_xlfn.IFNA(MATCH(J18,'Dist Cust Factors'!$B$12:$B$447,0),0)</f>
        <v>0</v>
      </c>
      <c r="L18" s="113">
        <f ca="1">F18-H18</f>
        <v>0</v>
      </c>
      <c r="O18" s="192">
        <f>_xlfn.IFNA(MATCH(N18,'Dist Cust Factors'!$B$12:$B$451,0),0)</f>
        <v>0</v>
      </c>
      <c r="P18" s="200">
        <f ca="1">OFFSET('Dist Cust Factors'!$B$12,$O18-1,P$14)*$L18+OFFSET('Dist Cust Factors'!$B$12,$K18-1,P$14)*$H18</f>
        <v>0</v>
      </c>
      <c r="R18" s="200">
        <f ca="1">OFFSET('Dist Cust Factors'!$B$12,$O18-1,R$14)*$L18+OFFSET('Dist Cust Factors'!$B$12,$K18-1,R$14)*$H18</f>
        <v>0</v>
      </c>
      <c r="S18" s="200"/>
      <c r="T18" s="200">
        <f ca="1">OFFSET('Dist Cust Factors'!$B$12,$O18-1,T$14)*$L18+OFFSET('Dist Cust Factors'!$B$12,$K18-1,T$14)*$H18</f>
        <v>0</v>
      </c>
      <c r="U18" s="200"/>
      <c r="V18" s="200">
        <f ca="1">OFFSET('Dist Cust Factors'!$B$12,$O18-1,V$14)*$L18+OFFSET('Dist Cust Factors'!$B$12,$K18-1,V$14)*$H18</f>
        <v>0</v>
      </c>
      <c r="X18" s="200">
        <f ca="1">P18+R18+T18+V18</f>
        <v>0</v>
      </c>
      <c r="Y18" s="94"/>
      <c r="Z18" s="247" t="str">
        <f t="shared" ref="Z18:Z37" ca="1" si="0">IF(ROUND(F18,4)=ROUND(X18,4), "", "check")</f>
        <v/>
      </c>
      <c r="AB18" s="66"/>
      <c r="AC18" s="170"/>
      <c r="AD18" s="170"/>
      <c r="AE18" s="105"/>
      <c r="AF18" s="170"/>
      <c r="AG18" s="105"/>
      <c r="AH18" s="170"/>
      <c r="AI18" s="105"/>
      <c r="AJ18" s="170"/>
      <c r="AK18" s="105"/>
      <c r="AL18" s="170"/>
    </row>
    <row r="19" spans="2:38" ht="13" x14ac:dyDescent="0.3">
      <c r="B19" s="2">
        <f>B18+1</f>
        <v>2</v>
      </c>
      <c r="D19" s="73" t="s">
        <v>76</v>
      </c>
      <c r="F19" s="113">
        <f ca="1">'Distribution Class'!AF19</f>
        <v>0</v>
      </c>
      <c r="H19" s="113"/>
      <c r="J19" s="91"/>
      <c r="K19" s="192">
        <f>_xlfn.IFNA(MATCH(J19,'Dist Cust Factors'!$B$12:$B$447,0),0)</f>
        <v>0</v>
      </c>
      <c r="L19" s="113">
        <f t="shared" ref="L19:L30" ca="1" si="1">F19-H19</f>
        <v>0</v>
      </c>
      <c r="O19" s="192">
        <f>_xlfn.IFNA(MATCH(N19,'Dist Cust Factors'!$B$12:$B$451,0),0)</f>
        <v>0</v>
      </c>
      <c r="P19" s="200">
        <f ca="1">OFFSET('Dist Cust Factors'!$B$12,$O19-1,P$14)*$L19+OFFSET('Dist Cust Factors'!$B$12,$K19-1,P$14)*$H19</f>
        <v>0</v>
      </c>
      <c r="R19" s="200">
        <f ca="1">OFFSET('Dist Cust Factors'!$B$12,$O19-1,R$14)*$L19+OFFSET('Dist Cust Factors'!$B$12,$K19-1,R$14)*$H19</f>
        <v>0</v>
      </c>
      <c r="S19" s="200"/>
      <c r="T19" s="200">
        <f ca="1">OFFSET('Dist Cust Factors'!$B$12,$O19-1,T$14)*$L19+OFFSET('Dist Cust Factors'!$B$12,$K19-1,T$14)*$H19</f>
        <v>0</v>
      </c>
      <c r="U19" s="200"/>
      <c r="V19" s="200">
        <f ca="1">OFFSET('Dist Cust Factors'!$B$12,$O19-1,V$14)*$L19+OFFSET('Dist Cust Factors'!$B$12,$K19-1,V$14)*$H19</f>
        <v>0</v>
      </c>
      <c r="X19" s="200">
        <f t="shared" ref="X19:X30" ca="1" si="2">P19+R19+T19+V19</f>
        <v>0</v>
      </c>
      <c r="Y19" s="94"/>
      <c r="Z19" s="247" t="str">
        <f t="shared" ca="1" si="0"/>
        <v/>
      </c>
      <c r="AB19" s="66"/>
      <c r="AC19" s="170"/>
      <c r="AD19" s="170"/>
      <c r="AE19" s="105"/>
      <c r="AF19" s="170"/>
      <c r="AG19" s="105"/>
      <c r="AH19" s="170"/>
      <c r="AI19" s="105"/>
      <c r="AJ19" s="170"/>
      <c r="AK19" s="105"/>
      <c r="AL19" s="170"/>
    </row>
    <row r="20" spans="2:38" ht="13" x14ac:dyDescent="0.3">
      <c r="B20" s="2">
        <f t="shared" ref="B20:B31" si="3">B19+1</f>
        <v>3</v>
      </c>
      <c r="D20" s="73" t="s">
        <v>19</v>
      </c>
      <c r="F20" s="113">
        <f ca="1">'Distribution Class'!AF20</f>
        <v>0</v>
      </c>
      <c r="H20" s="113"/>
      <c r="J20" s="91"/>
      <c r="K20" s="192">
        <f>_xlfn.IFNA(MATCH(J20,'Dist Cust Factors'!$B$12:$B$447,0),0)</f>
        <v>0</v>
      </c>
      <c r="L20" s="113">
        <f t="shared" ca="1" si="1"/>
        <v>0</v>
      </c>
      <c r="O20" s="192">
        <f>_xlfn.IFNA(MATCH(N20,'Dist Cust Factors'!$B$12:$B$451,0),0)</f>
        <v>0</v>
      </c>
      <c r="P20" s="200">
        <f ca="1">OFFSET('Dist Cust Factors'!$B$12,$O20-1,P$14)*$L20+OFFSET('Dist Cust Factors'!$B$12,$K20-1,P$14)*$H20</f>
        <v>0</v>
      </c>
      <c r="R20" s="200">
        <f ca="1">OFFSET('Dist Cust Factors'!$B$12,$O20-1,R$14)*$L20+OFFSET('Dist Cust Factors'!$B$12,$K20-1,R$14)*$H20</f>
        <v>0</v>
      </c>
      <c r="S20" s="200"/>
      <c r="T20" s="200">
        <f ca="1">OFFSET('Dist Cust Factors'!$B$12,$O20-1,T$14)*$L20+OFFSET('Dist Cust Factors'!$B$12,$K20-1,T$14)*$H20</f>
        <v>0</v>
      </c>
      <c r="U20" s="200"/>
      <c r="V20" s="200">
        <f ca="1">OFFSET('Dist Cust Factors'!$B$12,$O20-1,V$14)*$L20+OFFSET('Dist Cust Factors'!$B$12,$K20-1,V$14)*$H20</f>
        <v>0</v>
      </c>
      <c r="W20" s="200"/>
      <c r="X20" s="200">
        <f t="shared" ca="1" si="2"/>
        <v>0</v>
      </c>
      <c r="Y20" s="94"/>
      <c r="Z20" s="247" t="str">
        <f t="shared" ca="1" si="0"/>
        <v/>
      </c>
      <c r="AB20" s="66"/>
      <c r="AC20" s="170"/>
      <c r="AD20" s="170"/>
      <c r="AE20" s="105"/>
      <c r="AF20" s="170"/>
      <c r="AG20" s="105"/>
      <c r="AH20" s="170"/>
      <c r="AI20" s="105"/>
      <c r="AJ20" s="170"/>
      <c r="AK20" s="105"/>
      <c r="AL20" s="170"/>
    </row>
    <row r="21" spans="2:38" ht="13" x14ac:dyDescent="0.3">
      <c r="B21" s="2">
        <f t="shared" si="3"/>
        <v>4</v>
      </c>
      <c r="D21" s="73" t="s">
        <v>21</v>
      </c>
      <c r="F21" s="113">
        <f ca="1">'Distribution Class'!AF21</f>
        <v>0</v>
      </c>
      <c r="H21" s="113"/>
      <c r="J21" s="91"/>
      <c r="K21" s="192">
        <f>_xlfn.IFNA(MATCH(J21,'Dist Cust Factors'!$B$12:$B$447,0),0)</f>
        <v>0</v>
      </c>
      <c r="L21" s="113">
        <f t="shared" ca="1" si="1"/>
        <v>0</v>
      </c>
      <c r="O21" s="192">
        <f>_xlfn.IFNA(MATCH(N21,'Dist Cust Factors'!$B$12:$B$451,0),0)</f>
        <v>0</v>
      </c>
      <c r="P21" s="200">
        <f ca="1">OFFSET('Dist Cust Factors'!$B$12,$O21-1,P$14)*$L21+OFFSET('Dist Cust Factors'!$B$12,$K21-1,P$14)*$H21</f>
        <v>0</v>
      </c>
      <c r="R21" s="200">
        <f ca="1">OFFSET('Dist Cust Factors'!$B$12,$O21-1,R$14)*$L21+OFFSET('Dist Cust Factors'!$B$12,$K21-1,R$14)*$H21</f>
        <v>0</v>
      </c>
      <c r="S21" s="200"/>
      <c r="T21" s="200">
        <f ca="1">OFFSET('Dist Cust Factors'!$B$12,$O21-1,T$14)*$L21+OFFSET('Dist Cust Factors'!$B$12,$K21-1,T$14)*$H21</f>
        <v>0</v>
      </c>
      <c r="U21" s="200"/>
      <c r="V21" s="200">
        <f ca="1">OFFSET('Dist Cust Factors'!$B$12,$O21-1,V$14)*$L21+OFFSET('Dist Cust Factors'!$B$12,$K21-1,V$14)*$H21</f>
        <v>0</v>
      </c>
      <c r="W21" s="200"/>
      <c r="X21" s="200">
        <f t="shared" ca="1" si="2"/>
        <v>0</v>
      </c>
      <c r="Y21" s="94"/>
      <c r="Z21" s="247" t="str">
        <f t="shared" ca="1" si="0"/>
        <v/>
      </c>
      <c r="AB21" s="66"/>
      <c r="AC21" s="170"/>
      <c r="AD21" s="170"/>
      <c r="AE21" s="105"/>
      <c r="AF21" s="170"/>
      <c r="AG21" s="105"/>
      <c r="AH21" s="170"/>
      <c r="AI21" s="105"/>
      <c r="AJ21" s="170"/>
      <c r="AK21" s="105"/>
      <c r="AL21" s="170"/>
    </row>
    <row r="22" spans="2:38" ht="13" x14ac:dyDescent="0.3">
      <c r="B22" s="2">
        <f t="shared" si="3"/>
        <v>5</v>
      </c>
      <c r="D22" s="73" t="s">
        <v>23</v>
      </c>
      <c r="F22" s="113">
        <f ca="1">'Distribution Class'!AF22</f>
        <v>0</v>
      </c>
      <c r="H22" s="113"/>
      <c r="J22" s="91"/>
      <c r="K22" s="192">
        <f>_xlfn.IFNA(MATCH(J22,'Dist Cust Factors'!$B$12:$B$447,0),0)</f>
        <v>0</v>
      </c>
      <c r="L22" s="113">
        <f t="shared" ca="1" si="1"/>
        <v>0</v>
      </c>
      <c r="O22" s="192">
        <f>_xlfn.IFNA(MATCH(N22,'Dist Cust Factors'!$B$12:$B$451,0),0)</f>
        <v>0</v>
      </c>
      <c r="P22" s="200">
        <f ca="1">OFFSET('Dist Cust Factors'!$B$12,$O22-1,P$14)*$L22+OFFSET('Dist Cust Factors'!$B$12,$K22-1,P$14)*$H22</f>
        <v>0</v>
      </c>
      <c r="R22" s="200">
        <f ca="1">OFFSET('Dist Cust Factors'!$B$12,$O22-1,R$14)*$L22+OFFSET('Dist Cust Factors'!$B$12,$K22-1,R$14)*$H22</f>
        <v>0</v>
      </c>
      <c r="S22" s="200"/>
      <c r="T22" s="200">
        <f ca="1">OFFSET('Dist Cust Factors'!$B$12,$O22-1,T$14)*$L22+OFFSET('Dist Cust Factors'!$B$12,$K22-1,T$14)*$H22</f>
        <v>0</v>
      </c>
      <c r="U22" s="200"/>
      <c r="V22" s="200">
        <f ca="1">OFFSET('Dist Cust Factors'!$B$12,$O22-1,V$14)*$L22+OFFSET('Dist Cust Factors'!$B$12,$K22-1,V$14)*$H22</f>
        <v>0</v>
      </c>
      <c r="W22" s="200"/>
      <c r="X22" s="200">
        <f t="shared" ca="1" si="2"/>
        <v>0</v>
      </c>
      <c r="Y22" s="94"/>
      <c r="Z22" s="247" t="str">
        <f t="shared" ca="1" si="0"/>
        <v/>
      </c>
      <c r="AB22" s="66"/>
      <c r="AC22" s="170"/>
      <c r="AD22" s="170"/>
      <c r="AE22" s="105"/>
      <c r="AF22" s="170"/>
      <c r="AG22" s="105"/>
      <c r="AH22" s="170"/>
      <c r="AI22" s="105"/>
      <c r="AJ22" s="170"/>
      <c r="AK22" s="105"/>
      <c r="AL22" s="170"/>
    </row>
    <row r="23" spans="2:38" ht="13" x14ac:dyDescent="0.3">
      <c r="B23" s="2">
        <f t="shared" si="3"/>
        <v>6</v>
      </c>
      <c r="D23" s="73" t="s">
        <v>25</v>
      </c>
      <c r="F23" s="113">
        <f ca="1">'Distribution Class'!AF23</f>
        <v>0</v>
      </c>
      <c r="H23" s="113"/>
      <c r="K23" s="192">
        <f>_xlfn.IFNA(MATCH(J23,'Dist Cust Factors'!$B$12:$B$447,0),0)</f>
        <v>0</v>
      </c>
      <c r="L23" s="113">
        <f t="shared" ca="1" si="1"/>
        <v>0</v>
      </c>
      <c r="O23" s="192">
        <f>_xlfn.IFNA(MATCH(N23,'Dist Cust Factors'!$B$12:$B$451,0),0)</f>
        <v>0</v>
      </c>
      <c r="P23" s="200">
        <f ca="1">OFFSET('Dist Cust Factors'!$B$12,$O23-1,P$14)*$L23+OFFSET('Dist Cust Factors'!$B$12,$K23-1,P$14)*$H23</f>
        <v>0</v>
      </c>
      <c r="R23" s="200">
        <f ca="1">OFFSET('Dist Cust Factors'!$B$12,$O23-1,R$14)*$L23+OFFSET('Dist Cust Factors'!$B$12,$K23-1,R$14)*$H23</f>
        <v>0</v>
      </c>
      <c r="S23" s="200"/>
      <c r="T23" s="200">
        <f ca="1">OFFSET('Dist Cust Factors'!$B$12,$O23-1,T$14)*$L23+OFFSET('Dist Cust Factors'!$B$12,$K23-1,T$14)*$H23</f>
        <v>0</v>
      </c>
      <c r="U23" s="200"/>
      <c r="V23" s="200">
        <f ca="1">OFFSET('Dist Cust Factors'!$B$12,$O23-1,V$14)*$L23+OFFSET('Dist Cust Factors'!$B$12,$K23-1,V$14)*$H23</f>
        <v>0</v>
      </c>
      <c r="W23" s="200"/>
      <c r="X23" s="200">
        <f t="shared" ca="1" si="2"/>
        <v>0</v>
      </c>
      <c r="Y23" s="94"/>
      <c r="Z23" s="247" t="str">
        <f t="shared" ca="1" si="0"/>
        <v/>
      </c>
      <c r="AB23" s="66"/>
      <c r="AC23" s="170"/>
      <c r="AD23" s="170"/>
      <c r="AE23" s="105"/>
      <c r="AF23" s="170"/>
      <c r="AG23" s="105"/>
      <c r="AH23" s="170"/>
      <c r="AI23" s="105"/>
      <c r="AJ23" s="170"/>
      <c r="AK23" s="105"/>
      <c r="AL23" s="170"/>
    </row>
    <row r="24" spans="2:38" ht="13" x14ac:dyDescent="0.3">
      <c r="B24" s="2">
        <f t="shared" si="3"/>
        <v>7</v>
      </c>
      <c r="D24" s="73" t="s">
        <v>27</v>
      </c>
      <c r="F24" s="113">
        <f ca="1">'Distribution Class'!AF24</f>
        <v>0</v>
      </c>
      <c r="H24" s="113"/>
      <c r="K24" s="192">
        <f>_xlfn.IFNA(MATCH(J24,'Dist Cust Factors'!$B$12:$B$447,0),0)</f>
        <v>0</v>
      </c>
      <c r="L24" s="113">
        <f t="shared" ca="1" si="1"/>
        <v>0</v>
      </c>
      <c r="O24" s="192">
        <f>_xlfn.IFNA(MATCH(N24,'Dist Cust Factors'!$B$12:$B$451,0),0)</f>
        <v>0</v>
      </c>
      <c r="P24" s="200">
        <f ca="1">OFFSET('Dist Cust Factors'!$B$12,$O24-1,P$14)*$L24+OFFSET('Dist Cust Factors'!$B$12,$K24-1,P$14)*$H24</f>
        <v>0</v>
      </c>
      <c r="R24" s="200">
        <f ca="1">OFFSET('Dist Cust Factors'!$B$12,$O24-1,R$14)*$L24+OFFSET('Dist Cust Factors'!$B$12,$K24-1,R$14)*$H24</f>
        <v>0</v>
      </c>
      <c r="S24" s="200"/>
      <c r="T24" s="200">
        <f ca="1">OFFSET('Dist Cust Factors'!$B$12,$O24-1,T$14)*$L24+OFFSET('Dist Cust Factors'!$B$12,$K24-1,T$14)*$H24</f>
        <v>0</v>
      </c>
      <c r="U24" s="200"/>
      <c r="V24" s="200">
        <f ca="1">OFFSET('Dist Cust Factors'!$B$12,$O24-1,V$14)*$L24+OFFSET('Dist Cust Factors'!$B$12,$K24-1,V$14)*$H24</f>
        <v>0</v>
      </c>
      <c r="W24" s="200"/>
      <c r="X24" s="200">
        <f t="shared" ca="1" si="2"/>
        <v>0</v>
      </c>
      <c r="Y24" s="94"/>
      <c r="Z24" s="247" t="str">
        <f t="shared" ca="1" si="0"/>
        <v/>
      </c>
      <c r="AB24" s="66"/>
      <c r="AC24" s="170"/>
      <c r="AD24" s="170"/>
      <c r="AE24" s="105"/>
      <c r="AF24" s="170"/>
      <c r="AG24" s="105"/>
      <c r="AH24" s="170"/>
      <c r="AI24" s="105"/>
      <c r="AJ24" s="170"/>
      <c r="AK24" s="105"/>
      <c r="AL24" s="170"/>
    </row>
    <row r="25" spans="2:38" ht="13" x14ac:dyDescent="0.3">
      <c r="B25" s="2">
        <f t="shared" si="3"/>
        <v>8</v>
      </c>
      <c r="D25" s="73" t="s">
        <v>29</v>
      </c>
      <c r="F25" s="113">
        <f ca="1">'Distribution Class'!AF25</f>
        <v>0</v>
      </c>
      <c r="H25" s="113"/>
      <c r="K25" s="192">
        <f>_xlfn.IFNA(MATCH(J25,'Dist Cust Factors'!$B$12:$B$447,0),0)</f>
        <v>0</v>
      </c>
      <c r="L25" s="113">
        <f t="shared" ca="1" si="1"/>
        <v>0</v>
      </c>
      <c r="O25" s="192">
        <f>_xlfn.IFNA(MATCH(N25,'Dist Cust Factors'!$B$12:$B$451,0),0)</f>
        <v>0</v>
      </c>
      <c r="P25" s="200">
        <f ca="1">OFFSET('Dist Cust Factors'!$B$12,$O25-1,P$14)*$L25+OFFSET('Dist Cust Factors'!$B$12,$K25-1,P$14)*$H25</f>
        <v>0</v>
      </c>
      <c r="R25" s="200">
        <f ca="1">OFFSET('Dist Cust Factors'!$B$12,$O25-1,R$14)*$L25+OFFSET('Dist Cust Factors'!$B$12,$K25-1,R$14)*$H25</f>
        <v>0</v>
      </c>
      <c r="S25" s="200"/>
      <c r="T25" s="200">
        <f ca="1">OFFSET('Dist Cust Factors'!$B$12,$O25-1,T$14)*$L25+OFFSET('Dist Cust Factors'!$B$12,$K25-1,T$14)*$H25</f>
        <v>0</v>
      </c>
      <c r="U25" s="200"/>
      <c r="V25" s="200">
        <f ca="1">OFFSET('Dist Cust Factors'!$B$12,$O25-1,V$14)*$L25+OFFSET('Dist Cust Factors'!$B$12,$K25-1,V$14)*$H25</f>
        <v>0</v>
      </c>
      <c r="W25" s="200"/>
      <c r="X25" s="200">
        <f t="shared" ca="1" si="2"/>
        <v>0</v>
      </c>
      <c r="Y25" s="94"/>
      <c r="Z25" s="247" t="str">
        <f t="shared" ca="1" si="0"/>
        <v/>
      </c>
      <c r="AB25" s="66"/>
      <c r="AC25" s="170"/>
      <c r="AD25" s="170"/>
      <c r="AE25" s="105"/>
      <c r="AF25" s="170"/>
      <c r="AG25" s="105"/>
      <c r="AH25" s="170"/>
      <c r="AI25" s="105"/>
      <c r="AJ25" s="170"/>
      <c r="AK25" s="105"/>
      <c r="AL25" s="170"/>
    </row>
    <row r="26" spans="2:38" ht="13" x14ac:dyDescent="0.3">
      <c r="B26" s="2">
        <f t="shared" si="3"/>
        <v>9</v>
      </c>
      <c r="D26" s="94" t="s">
        <v>30</v>
      </c>
      <c r="F26" s="113">
        <f ca="1">'Distribution Class'!AF26</f>
        <v>0</v>
      </c>
      <c r="H26" s="113"/>
      <c r="K26" s="192">
        <f>_xlfn.IFNA(MATCH(J26,'Dist Cust Factors'!$B$12:$B$447,0),0)</f>
        <v>0</v>
      </c>
      <c r="L26" s="113">
        <f t="shared" ca="1" si="1"/>
        <v>0</v>
      </c>
      <c r="O26" s="192">
        <f>_xlfn.IFNA(MATCH(N26,'Dist Cust Factors'!$B$12:$B$451,0),0)</f>
        <v>0</v>
      </c>
      <c r="P26" s="200">
        <f ca="1">OFFSET('Dist Cust Factors'!$B$12,$O26-1,P$14)*$L26+OFFSET('Dist Cust Factors'!$B$12,$K26-1,P$14)*$H26</f>
        <v>0</v>
      </c>
      <c r="R26" s="200">
        <f ca="1">OFFSET('Dist Cust Factors'!$B$12,$O26-1,R$14)*$L26+OFFSET('Dist Cust Factors'!$B$12,$K26-1,R$14)*$H26</f>
        <v>0</v>
      </c>
      <c r="S26" s="200"/>
      <c r="T26" s="200">
        <f ca="1">OFFSET('Dist Cust Factors'!$B$12,$O26-1,T$14)*$L26+OFFSET('Dist Cust Factors'!$B$12,$K26-1,T$14)*$H26</f>
        <v>0</v>
      </c>
      <c r="U26" s="200"/>
      <c r="V26" s="200">
        <f ca="1">OFFSET('Dist Cust Factors'!$B$12,$O26-1,V$14)*$L26+OFFSET('Dist Cust Factors'!$B$12,$K26-1,V$14)*$H26</f>
        <v>0</v>
      </c>
      <c r="W26" s="200"/>
      <c r="X26" s="200">
        <f t="shared" ca="1" si="2"/>
        <v>0</v>
      </c>
      <c r="Y26" s="94"/>
      <c r="Z26" s="247" t="str">
        <f t="shared" ca="1" si="0"/>
        <v/>
      </c>
      <c r="AB26" s="66"/>
      <c r="AC26" s="170"/>
      <c r="AD26" s="170"/>
      <c r="AE26" s="105"/>
      <c r="AF26" s="170"/>
      <c r="AG26" s="105"/>
      <c r="AH26" s="170"/>
      <c r="AI26" s="105"/>
      <c r="AJ26" s="170"/>
      <c r="AK26" s="105"/>
      <c r="AL26" s="170"/>
    </row>
    <row r="27" spans="2:38" ht="13" x14ac:dyDescent="0.3">
      <c r="B27" s="2">
        <f t="shared" si="3"/>
        <v>10</v>
      </c>
      <c r="D27" s="73" t="s">
        <v>31</v>
      </c>
      <c r="F27" s="113">
        <f ca="1">'Distribution Class'!AF27</f>
        <v>0</v>
      </c>
      <c r="H27" s="113"/>
      <c r="K27" s="192">
        <f>_xlfn.IFNA(MATCH(J27,'Dist Cust Factors'!$B$12:$B$447,0),0)</f>
        <v>0</v>
      </c>
      <c r="L27" s="113">
        <f t="shared" ca="1" si="1"/>
        <v>0</v>
      </c>
      <c r="O27" s="192">
        <f>_xlfn.IFNA(MATCH(N27,'Dist Cust Factors'!$B$12:$B$451,0),0)</f>
        <v>0</v>
      </c>
      <c r="P27" s="200">
        <f ca="1">OFFSET('Dist Cust Factors'!$B$12,$O27-1,P$14)*$L27+OFFSET('Dist Cust Factors'!$B$12,$K27-1,P$14)*$H27</f>
        <v>0</v>
      </c>
      <c r="R27" s="200">
        <f ca="1">OFFSET('Dist Cust Factors'!$B$12,$O27-1,R$14)*$L27+OFFSET('Dist Cust Factors'!$B$12,$K27-1,R$14)*$H27</f>
        <v>0</v>
      </c>
      <c r="S27" s="200"/>
      <c r="T27" s="200">
        <f ca="1">OFFSET('Dist Cust Factors'!$B$12,$O27-1,T$14)*$L27+OFFSET('Dist Cust Factors'!$B$12,$K27-1,T$14)*$H27</f>
        <v>0</v>
      </c>
      <c r="U27" s="200"/>
      <c r="V27" s="200">
        <f ca="1">OFFSET('Dist Cust Factors'!$B$12,$O27-1,V$14)*$L27+OFFSET('Dist Cust Factors'!$B$12,$K27-1,V$14)*$H27</f>
        <v>0</v>
      </c>
      <c r="W27" s="200"/>
      <c r="X27" s="200">
        <f t="shared" ca="1" si="2"/>
        <v>0</v>
      </c>
      <c r="Y27" s="94"/>
      <c r="Z27" s="247" t="str">
        <f t="shared" ca="1" si="0"/>
        <v/>
      </c>
      <c r="AB27" s="66"/>
      <c r="AC27" s="170"/>
      <c r="AD27" s="170"/>
      <c r="AE27" s="105"/>
      <c r="AF27" s="170"/>
      <c r="AG27" s="105"/>
      <c r="AH27" s="170"/>
      <c r="AI27" s="105"/>
      <c r="AJ27" s="170"/>
      <c r="AK27" s="105"/>
      <c r="AL27" s="170"/>
    </row>
    <row r="28" spans="2:38" ht="13" x14ac:dyDescent="0.3">
      <c r="B28" s="2">
        <f t="shared" si="3"/>
        <v>11</v>
      </c>
      <c r="D28" s="73" t="s">
        <v>327</v>
      </c>
      <c r="F28" s="113">
        <f ca="1">'Distribution Class'!AF28</f>
        <v>0</v>
      </c>
      <c r="H28" s="113"/>
      <c r="K28" s="192">
        <f>_xlfn.IFNA(MATCH(J28,'Dist Cust Factors'!$B$12:$B$447,0),0)</f>
        <v>0</v>
      </c>
      <c r="L28" s="113">
        <f t="shared" ca="1" si="1"/>
        <v>0</v>
      </c>
      <c r="O28" s="192">
        <f>_xlfn.IFNA(MATCH(N28,'Dist Cust Factors'!$B$12:$B$451,0),0)</f>
        <v>0</v>
      </c>
      <c r="P28" s="200">
        <f ca="1">OFFSET('Dist Cust Factors'!$B$12,$O28-1,P$14)*$L28+OFFSET('Dist Cust Factors'!$B$12,$K28-1,P$14)*$H28</f>
        <v>0</v>
      </c>
      <c r="R28" s="200">
        <f ca="1">OFFSET('Dist Cust Factors'!$B$12,$O28-1,R$14)*$L28+OFFSET('Dist Cust Factors'!$B$12,$K28-1,R$14)*$H28</f>
        <v>0</v>
      </c>
      <c r="S28" s="200"/>
      <c r="T28" s="200">
        <f ca="1">OFFSET('Dist Cust Factors'!$B$12,$O28-1,T$14)*$L28+OFFSET('Dist Cust Factors'!$B$12,$K28-1,T$14)*$H28</f>
        <v>0</v>
      </c>
      <c r="U28" s="200"/>
      <c r="V28" s="200">
        <f ca="1">OFFSET('Dist Cust Factors'!$B$12,$O28-1,V$14)*$L28+OFFSET('Dist Cust Factors'!$B$12,$K28-1,V$14)*$H28</f>
        <v>0</v>
      </c>
      <c r="W28" s="200"/>
      <c r="X28" s="200">
        <f t="shared" ca="1" si="2"/>
        <v>0</v>
      </c>
      <c r="Y28" s="94"/>
      <c r="Z28" s="247" t="str">
        <f t="shared" ca="1" si="0"/>
        <v/>
      </c>
      <c r="AB28" s="66"/>
      <c r="AC28" s="170"/>
      <c r="AD28" s="170"/>
      <c r="AE28" s="105"/>
      <c r="AF28" s="170"/>
      <c r="AG28" s="105"/>
      <c r="AH28" s="170"/>
      <c r="AI28" s="105"/>
      <c r="AJ28" s="170"/>
      <c r="AK28" s="105"/>
      <c r="AL28" s="170"/>
    </row>
    <row r="29" spans="2:38" ht="13" x14ac:dyDescent="0.3">
      <c r="B29" s="2">
        <f t="shared" si="3"/>
        <v>12</v>
      </c>
      <c r="D29" s="73" t="s">
        <v>34</v>
      </c>
      <c r="F29" s="113">
        <f ca="1">'Distribution Class'!AF29</f>
        <v>0</v>
      </c>
      <c r="H29" s="113"/>
      <c r="K29" s="192">
        <f>_xlfn.IFNA(MATCH(J29,'Dist Cust Factors'!$B$12:$B$447,0),0)</f>
        <v>0</v>
      </c>
      <c r="L29" s="113">
        <f t="shared" ca="1" si="1"/>
        <v>0</v>
      </c>
      <c r="O29" s="192">
        <f>_xlfn.IFNA(MATCH(N29,'Dist Cust Factors'!$B$12:$B$451,0),0)</f>
        <v>0</v>
      </c>
      <c r="P29" s="200">
        <f ca="1">OFFSET('Dist Cust Factors'!$B$12,$O29-1,P$14)*$L29+OFFSET('Dist Cust Factors'!$B$12,$K29-1,P$14)*$H29</f>
        <v>0</v>
      </c>
      <c r="R29" s="200">
        <f ca="1">OFFSET('Dist Cust Factors'!$B$12,$O29-1,R$14)*$L29+OFFSET('Dist Cust Factors'!$B$12,$K29-1,R$14)*$H29</f>
        <v>0</v>
      </c>
      <c r="S29" s="200"/>
      <c r="T29" s="200">
        <f ca="1">OFFSET('Dist Cust Factors'!$B$12,$O29-1,T$14)*$L29+OFFSET('Dist Cust Factors'!$B$12,$K29-1,T$14)*$H29</f>
        <v>0</v>
      </c>
      <c r="U29" s="200"/>
      <c r="V29" s="200">
        <f ca="1">OFFSET('Dist Cust Factors'!$B$12,$O29-1,V$14)*$L29+OFFSET('Dist Cust Factors'!$B$12,$K29-1,V$14)*$H29</f>
        <v>0</v>
      </c>
      <c r="W29" s="200"/>
      <c r="X29" s="200">
        <f t="shared" ca="1" si="2"/>
        <v>0</v>
      </c>
      <c r="Y29" s="94"/>
      <c r="Z29" s="247" t="str">
        <f t="shared" ca="1" si="0"/>
        <v/>
      </c>
      <c r="AB29" s="66"/>
      <c r="AC29" s="170"/>
      <c r="AD29" s="170"/>
      <c r="AE29" s="105"/>
      <c r="AF29" s="170"/>
      <c r="AG29" s="105"/>
      <c r="AH29" s="170"/>
      <c r="AI29" s="105"/>
      <c r="AJ29" s="170"/>
      <c r="AK29" s="105"/>
      <c r="AL29" s="170"/>
    </row>
    <row r="30" spans="2:38" ht="13" x14ac:dyDescent="0.3">
      <c r="B30" s="2">
        <f t="shared" si="3"/>
        <v>13</v>
      </c>
      <c r="D30" s="73" t="s">
        <v>78</v>
      </c>
      <c r="F30" s="113">
        <f ca="1">'Distribution Class'!AF30</f>
        <v>0</v>
      </c>
      <c r="H30" s="113"/>
      <c r="K30" s="192">
        <f>_xlfn.IFNA(MATCH(J30,'Dist Cust Factors'!$B$12:$B$447,0),0)</f>
        <v>0</v>
      </c>
      <c r="L30" s="113">
        <f t="shared" ca="1" si="1"/>
        <v>0</v>
      </c>
      <c r="O30" s="192">
        <f>_xlfn.IFNA(MATCH(N30,'Dist Cust Factors'!$B$12:$B$451,0),0)</f>
        <v>0</v>
      </c>
      <c r="P30" s="200">
        <f ca="1">OFFSET('Dist Cust Factors'!$B$12,$O30-1,P$14)*$L30+OFFSET('Dist Cust Factors'!$B$12,$K30-1,P$14)*$H30</f>
        <v>0</v>
      </c>
      <c r="R30" s="200">
        <f ca="1">OFFSET('Dist Cust Factors'!$B$12,$O30-1,R$14)*$L30+OFFSET('Dist Cust Factors'!$B$12,$K30-1,R$14)*$H30</f>
        <v>0</v>
      </c>
      <c r="S30" s="200"/>
      <c r="T30" s="200">
        <f ca="1">OFFSET('Dist Cust Factors'!$B$12,$O30-1,T$14)*$L30+OFFSET('Dist Cust Factors'!$B$12,$K30-1,T$14)*$H30</f>
        <v>0</v>
      </c>
      <c r="U30" s="200"/>
      <c r="V30" s="200">
        <f ca="1">OFFSET('Dist Cust Factors'!$B$12,$O30-1,V$14)*$L30+OFFSET('Dist Cust Factors'!$B$12,$K30-1,V$14)*$H30</f>
        <v>0</v>
      </c>
      <c r="W30" s="200"/>
      <c r="X30" s="200">
        <f t="shared" ca="1" si="2"/>
        <v>0</v>
      </c>
      <c r="Y30" s="94"/>
      <c r="Z30" s="247" t="str">
        <f t="shared" ca="1" si="0"/>
        <v/>
      </c>
      <c r="AB30" s="66"/>
      <c r="AC30" s="170"/>
      <c r="AD30" s="170"/>
      <c r="AE30" s="105"/>
      <c r="AF30" s="170"/>
      <c r="AG30" s="105"/>
      <c r="AH30" s="170"/>
      <c r="AI30" s="105"/>
      <c r="AJ30" s="170"/>
      <c r="AK30" s="105"/>
      <c r="AL30" s="170"/>
    </row>
    <row r="31" spans="2:38" ht="13" x14ac:dyDescent="0.3">
      <c r="B31" s="2">
        <f t="shared" si="3"/>
        <v>14</v>
      </c>
      <c r="D31" s="73" t="s">
        <v>333</v>
      </c>
      <c r="F31" s="79">
        <f ca="1">SUM(F18:F30)</f>
        <v>0</v>
      </c>
      <c r="H31" s="79"/>
      <c r="L31" s="79"/>
      <c r="P31" s="204">
        <f ca="1">SUM(P18:P30)</f>
        <v>0</v>
      </c>
      <c r="Q31" s="160"/>
      <c r="R31" s="204">
        <f ca="1">SUM(R18:R30)</f>
        <v>0</v>
      </c>
      <c r="S31" s="66"/>
      <c r="T31" s="204">
        <f ca="1">SUM(T18:T30)</f>
        <v>0</v>
      </c>
      <c r="U31" s="66"/>
      <c r="V31" s="204">
        <f ca="1">SUM(V18:V30)</f>
        <v>0</v>
      </c>
      <c r="W31" s="66"/>
      <c r="X31" s="204">
        <f ca="1">SUM(X18:X30)</f>
        <v>0</v>
      </c>
      <c r="Y31" s="113"/>
      <c r="Z31" s="247" t="str">
        <f t="shared" ca="1" si="0"/>
        <v/>
      </c>
      <c r="AB31" s="66"/>
      <c r="AC31" s="170"/>
      <c r="AD31" s="170"/>
      <c r="AE31" s="66"/>
      <c r="AF31" s="170"/>
      <c r="AG31" s="66"/>
      <c r="AH31" s="170"/>
      <c r="AI31" s="66"/>
      <c r="AJ31" s="170"/>
      <c r="AK31" s="66"/>
      <c r="AL31" s="170"/>
    </row>
    <row r="32" spans="2:38" ht="13" x14ac:dyDescent="0.3">
      <c r="X32" s="113"/>
      <c r="Y32" s="94"/>
      <c r="Z32" s="247" t="str">
        <f t="shared" si="0"/>
        <v/>
      </c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</row>
    <row r="33" spans="2:38" ht="13" x14ac:dyDescent="0.3">
      <c r="B33" s="2">
        <f>B31+1</f>
        <v>15</v>
      </c>
      <c r="D33" s="73" t="s">
        <v>221</v>
      </c>
      <c r="F33" s="113">
        <f ca="1">'Distribution Class'!AF33</f>
        <v>130671.57956793503</v>
      </c>
      <c r="H33" s="113"/>
      <c r="K33" s="192">
        <f>_xlfn.IFNA(MATCH(J33,'Dist Cust Factors'!$B$12:$B$447,0),0)</f>
        <v>0</v>
      </c>
      <c r="L33" s="113">
        <f ca="1">F33-H33</f>
        <v>130671.57956793503</v>
      </c>
      <c r="N33" s="91" t="s">
        <v>355</v>
      </c>
      <c r="O33" s="192">
        <f>_xlfn.IFNA(MATCH(N33,'Dist Cust Factors'!$B$12:$B$451,0),0)</f>
        <v>11</v>
      </c>
      <c r="P33" s="200">
        <f ca="1">OFFSET('Dist Cust Factors'!$B$12,$O33-1,P$14)*$L33+OFFSET('Dist Cust Factors'!$B$12,$K33-1,P$14)*$H33</f>
        <v>427.91432981731657</v>
      </c>
      <c r="R33" s="200">
        <f ca="1">OFFSET('Dist Cust Factors'!$B$12,$O33-1,R$14)*$L33+OFFSET('Dist Cust Factors'!$B$12,$K33-1,R$14)*$H33</f>
        <v>123650.90734313469</v>
      </c>
      <c r="S33" s="200"/>
      <c r="T33" s="200">
        <f ca="1">OFFSET('Dist Cust Factors'!$B$12,$O33-1,T$14)*$L33+OFFSET('Dist Cust Factors'!$B$12,$K33-1,T$14)*$H33</f>
        <v>6592.7578949830258</v>
      </c>
      <c r="U33" s="200"/>
      <c r="V33" s="200">
        <f ca="1">OFFSET('Dist Cust Factors'!$B$12,$O33-1,V$14)*$L33+OFFSET('Dist Cust Factors'!$B$12,$K33-1,V$14)*$H33</f>
        <v>0</v>
      </c>
      <c r="W33" s="200"/>
      <c r="X33" s="200">
        <f t="shared" ref="X33" ca="1" si="4">P33+R33+T33+V33</f>
        <v>130671.57956793503</v>
      </c>
      <c r="Y33" s="94"/>
      <c r="Z33" s="247" t="str">
        <f t="shared" ca="1" si="0"/>
        <v/>
      </c>
      <c r="AA33" s="94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</row>
    <row r="34" spans="2:38" ht="13" x14ac:dyDescent="0.3">
      <c r="X34" s="113"/>
      <c r="Y34" s="94"/>
      <c r="Z34" s="247" t="str">
        <f t="shared" si="0"/>
        <v/>
      </c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</row>
    <row r="35" spans="2:38" ht="13" x14ac:dyDescent="0.3">
      <c r="B35" s="2">
        <f>B33+1</f>
        <v>16</v>
      </c>
      <c r="D35" s="73" t="s">
        <v>332</v>
      </c>
      <c r="F35" s="79">
        <f ca="1">F31+F33</f>
        <v>130671.57956793503</v>
      </c>
      <c r="H35" s="79">
        <f>H31+H33</f>
        <v>0</v>
      </c>
      <c r="L35" s="79">
        <f ca="1">L31+L33</f>
        <v>130671.57956793503</v>
      </c>
      <c r="P35" s="79">
        <f ca="1">P31+P33</f>
        <v>427.91432981731657</v>
      </c>
      <c r="Q35" s="229"/>
      <c r="R35" s="79">
        <f ca="1">R31+R33</f>
        <v>123650.90734313469</v>
      </c>
      <c r="S35" s="113"/>
      <c r="T35" s="79">
        <f ca="1">T31+T33</f>
        <v>6592.7578949830258</v>
      </c>
      <c r="U35" s="113"/>
      <c r="V35" s="79">
        <f ca="1">V31+V33</f>
        <v>0</v>
      </c>
      <c r="W35" s="113"/>
      <c r="X35" s="79">
        <f ca="1">X31+X33</f>
        <v>130671.57956793503</v>
      </c>
      <c r="Y35" s="94"/>
      <c r="Z35" s="247" t="str">
        <f t="shared" ca="1" si="0"/>
        <v/>
      </c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</row>
    <row r="36" spans="2:38" ht="13" x14ac:dyDescent="0.3">
      <c r="D36" s="197"/>
      <c r="E36" s="197"/>
      <c r="F36" s="219"/>
      <c r="H36" s="219"/>
      <c r="L36" s="219"/>
      <c r="Y36" s="94"/>
      <c r="Z36" s="247" t="str">
        <f t="shared" si="0"/>
        <v/>
      </c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</row>
    <row r="37" spans="2:38" ht="13" x14ac:dyDescent="0.3">
      <c r="Y37" s="94"/>
      <c r="Z37" s="247" t="str">
        <f t="shared" si="0"/>
        <v/>
      </c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</row>
    <row r="38" spans="2:38" ht="13" x14ac:dyDescent="0.3">
      <c r="D38" s="198" t="s">
        <v>331</v>
      </c>
      <c r="E38" s="198"/>
      <c r="F38" s="220"/>
      <c r="Y38" s="94"/>
      <c r="Z38" s="234"/>
      <c r="AB38" s="170"/>
      <c r="AC38" s="170"/>
      <c r="AD38" s="170"/>
      <c r="AE38" s="42"/>
      <c r="AF38" s="42"/>
      <c r="AG38" s="42"/>
      <c r="AH38" s="42"/>
      <c r="AI38" s="42"/>
      <c r="AJ38" s="42"/>
      <c r="AK38" s="42"/>
      <c r="AL38" s="42"/>
    </row>
    <row r="39" spans="2:38" ht="13" x14ac:dyDescent="0.3">
      <c r="Y39" s="94"/>
      <c r="Z39" s="247" t="str">
        <f>IF(ROUND(L39,4)=ROUND(X39,4), "", "check")</f>
        <v/>
      </c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</row>
    <row r="40" spans="2:38" ht="13" x14ac:dyDescent="0.3">
      <c r="B40" s="2">
        <f>B35+1</f>
        <v>17</v>
      </c>
      <c r="D40" s="73" t="s">
        <v>75</v>
      </c>
      <c r="F40" s="113">
        <f ca="1">'Distribution Class'!AF40</f>
        <v>0</v>
      </c>
      <c r="H40" s="113"/>
      <c r="J40" s="91"/>
      <c r="K40" s="192">
        <f>_xlfn.IFNA(MATCH(J40,'Dist Cust Factors'!$B$12:$B$447,0),0)</f>
        <v>0</v>
      </c>
      <c r="L40" s="113">
        <f ca="1">F40-H40</f>
        <v>0</v>
      </c>
      <c r="O40" s="192">
        <f>_xlfn.IFNA(MATCH(N40,'Dist Cust Factors'!$B$12:$B$451,0),0)</f>
        <v>0</v>
      </c>
      <c r="P40" s="200">
        <f ca="1">OFFSET('Dist Cust Factors'!$B$12,$O40-1,P$14)*$L40+OFFSET('Dist Cust Factors'!$B$12,$K40-1,P$14)*$H40</f>
        <v>0</v>
      </c>
      <c r="R40" s="200">
        <f ca="1">OFFSET('Dist Cust Factors'!$B$12,$O40-1,R$14)*$L40+OFFSET('Dist Cust Factors'!$B$12,$K40-1,R$14)*$H40</f>
        <v>0</v>
      </c>
      <c r="S40" s="200"/>
      <c r="T40" s="200">
        <f ca="1">OFFSET('Dist Cust Factors'!$B$12,$O40-1,T$14)*$L40+OFFSET('Dist Cust Factors'!$B$12,$K40-1,T$14)*$H40</f>
        <v>0</v>
      </c>
      <c r="U40" s="200"/>
      <c r="V40" s="200">
        <f ca="1">OFFSET('Dist Cust Factors'!$B$12,$O40-1,V$14)*$L40+OFFSET('Dist Cust Factors'!$B$12,$K40-1,V$14)*$H40</f>
        <v>0</v>
      </c>
      <c r="X40" s="200">
        <f t="shared" ref="X40:X52" ca="1" si="5">P40+R40+T40+V40</f>
        <v>0</v>
      </c>
      <c r="Y40" s="94"/>
      <c r="Z40" s="247" t="str">
        <f t="shared" ref="Z40:Z59" ca="1" si="6">IF(ROUND(F40,4)=ROUND(X40,4), "", "check")</f>
        <v/>
      </c>
      <c r="AB40" s="66"/>
      <c r="AC40" s="170"/>
      <c r="AD40" s="170"/>
      <c r="AE40" s="105"/>
      <c r="AF40" s="170"/>
      <c r="AG40" s="105"/>
      <c r="AH40" s="170"/>
      <c r="AI40" s="105"/>
      <c r="AJ40" s="170"/>
      <c r="AK40" s="105"/>
      <c r="AL40" s="170"/>
    </row>
    <row r="41" spans="2:38" ht="13" x14ac:dyDescent="0.3">
      <c r="B41" s="2">
        <f>B40+1</f>
        <v>18</v>
      </c>
      <c r="D41" s="73" t="s">
        <v>76</v>
      </c>
      <c r="F41" s="113">
        <f ca="1">'Distribution Class'!AF41</f>
        <v>0</v>
      </c>
      <c r="H41" s="113"/>
      <c r="J41" s="91"/>
      <c r="K41" s="192">
        <f>_xlfn.IFNA(MATCH(J41,'Dist Cust Factors'!$B$12:$B$447,0),0)</f>
        <v>0</v>
      </c>
      <c r="L41" s="113">
        <f t="shared" ref="L41:L52" ca="1" si="7">F41-H41</f>
        <v>0</v>
      </c>
      <c r="O41" s="192">
        <f>_xlfn.IFNA(MATCH(N41,'Dist Cust Factors'!$B$12:$B$451,0),0)</f>
        <v>0</v>
      </c>
      <c r="P41" s="200">
        <f ca="1">OFFSET('Dist Cust Factors'!$B$12,$O41-1,P$14)*$L41+OFFSET('Dist Cust Factors'!$B$12,$K41-1,P$14)*$H41</f>
        <v>0</v>
      </c>
      <c r="R41" s="200">
        <f ca="1">OFFSET('Dist Cust Factors'!$B$12,$O41-1,R$14)*$L41+OFFSET('Dist Cust Factors'!$B$12,$K41-1,R$14)*$H41</f>
        <v>0</v>
      </c>
      <c r="S41" s="200"/>
      <c r="T41" s="200">
        <f ca="1">OFFSET('Dist Cust Factors'!$B$12,$O41-1,T$14)*$L41+OFFSET('Dist Cust Factors'!$B$12,$K41-1,T$14)*$H41</f>
        <v>0</v>
      </c>
      <c r="U41" s="200"/>
      <c r="V41" s="200">
        <f ca="1">OFFSET('Dist Cust Factors'!$B$12,$O41-1,V$14)*$L41+OFFSET('Dist Cust Factors'!$B$12,$K41-1,V$14)*$H41</f>
        <v>0</v>
      </c>
      <c r="X41" s="200">
        <f t="shared" ca="1" si="5"/>
        <v>0</v>
      </c>
      <c r="Y41" s="94"/>
      <c r="Z41" s="247" t="str">
        <f t="shared" ca="1" si="6"/>
        <v/>
      </c>
      <c r="AB41" s="66"/>
      <c r="AC41" s="170"/>
      <c r="AD41" s="170"/>
      <c r="AE41" s="105"/>
      <c r="AF41" s="170"/>
      <c r="AG41" s="105"/>
      <c r="AH41" s="170"/>
      <c r="AI41" s="105"/>
      <c r="AJ41" s="170"/>
      <c r="AK41" s="105"/>
      <c r="AL41" s="170"/>
    </row>
    <row r="42" spans="2:38" ht="13" x14ac:dyDescent="0.3">
      <c r="B42" s="2">
        <f t="shared" ref="B42:B53" si="8">B41+1</f>
        <v>19</v>
      </c>
      <c r="D42" s="73" t="s">
        <v>19</v>
      </c>
      <c r="F42" s="113">
        <f ca="1">'Distribution Class'!AF42</f>
        <v>0</v>
      </c>
      <c r="H42" s="113"/>
      <c r="J42" s="91"/>
      <c r="K42" s="192">
        <f>_xlfn.IFNA(MATCH(J42,'Dist Cust Factors'!$B$12:$B$447,0),0)</f>
        <v>0</v>
      </c>
      <c r="L42" s="113">
        <f t="shared" ca="1" si="7"/>
        <v>0</v>
      </c>
      <c r="O42" s="192">
        <f>_xlfn.IFNA(MATCH(N42,'Dist Cust Factors'!$B$12:$B$451,0),0)</f>
        <v>0</v>
      </c>
      <c r="P42" s="200">
        <f ca="1">OFFSET('Dist Cust Factors'!$B$12,$O42-1,P$14)*$L42+OFFSET('Dist Cust Factors'!$B$12,$K42-1,P$14)*$H42</f>
        <v>0</v>
      </c>
      <c r="R42" s="200">
        <f ca="1">OFFSET('Dist Cust Factors'!$B$12,$O42-1,R$14)*$L42+OFFSET('Dist Cust Factors'!$B$12,$K42-1,R$14)*$H42</f>
        <v>0</v>
      </c>
      <c r="S42" s="200"/>
      <c r="T42" s="200">
        <f ca="1">OFFSET('Dist Cust Factors'!$B$12,$O42-1,T$14)*$L42+OFFSET('Dist Cust Factors'!$B$12,$K42-1,T$14)*$H42</f>
        <v>0</v>
      </c>
      <c r="U42" s="200"/>
      <c r="V42" s="200">
        <f ca="1">OFFSET('Dist Cust Factors'!$B$12,$O42-1,V$14)*$L42+OFFSET('Dist Cust Factors'!$B$12,$K42-1,V$14)*$H42</f>
        <v>0</v>
      </c>
      <c r="W42" s="200"/>
      <c r="X42" s="200">
        <f t="shared" ca="1" si="5"/>
        <v>0</v>
      </c>
      <c r="Y42" s="94"/>
      <c r="Z42" s="247" t="str">
        <f t="shared" ca="1" si="6"/>
        <v/>
      </c>
      <c r="AB42" s="66"/>
      <c r="AC42" s="170"/>
      <c r="AD42" s="170"/>
      <c r="AE42" s="105"/>
      <c r="AF42" s="170"/>
      <c r="AG42" s="105"/>
      <c r="AH42" s="170"/>
      <c r="AI42" s="105"/>
      <c r="AJ42" s="170"/>
      <c r="AK42" s="105"/>
      <c r="AL42" s="170"/>
    </row>
    <row r="43" spans="2:38" ht="13" x14ac:dyDescent="0.3">
      <c r="B43" s="2">
        <f t="shared" si="8"/>
        <v>20</v>
      </c>
      <c r="D43" s="73" t="s">
        <v>21</v>
      </c>
      <c r="F43" s="113">
        <f ca="1">'Distribution Class'!AF43</f>
        <v>0</v>
      </c>
      <c r="H43" s="113"/>
      <c r="J43" s="91"/>
      <c r="K43" s="192">
        <f>_xlfn.IFNA(MATCH(J43,'Dist Cust Factors'!$B$12:$B$447,0),0)</f>
        <v>0</v>
      </c>
      <c r="L43" s="113">
        <f t="shared" ca="1" si="7"/>
        <v>0</v>
      </c>
      <c r="O43" s="192">
        <f>_xlfn.IFNA(MATCH(N43,'Dist Cust Factors'!$B$12:$B$451,0),0)</f>
        <v>0</v>
      </c>
      <c r="P43" s="200">
        <f ca="1">OFFSET('Dist Cust Factors'!$B$12,$O43-1,P$14)*$L43+OFFSET('Dist Cust Factors'!$B$12,$K43-1,P$14)*$H43</f>
        <v>0</v>
      </c>
      <c r="R43" s="200">
        <f ca="1">OFFSET('Dist Cust Factors'!$B$12,$O43-1,R$14)*$L43+OFFSET('Dist Cust Factors'!$B$12,$K43-1,R$14)*$H43</f>
        <v>0</v>
      </c>
      <c r="S43" s="200"/>
      <c r="T43" s="200">
        <f ca="1">OFFSET('Dist Cust Factors'!$B$12,$O43-1,T$14)*$L43+OFFSET('Dist Cust Factors'!$B$12,$K43-1,T$14)*$H43</f>
        <v>0</v>
      </c>
      <c r="U43" s="200"/>
      <c r="V43" s="200">
        <f ca="1">OFFSET('Dist Cust Factors'!$B$12,$O43-1,V$14)*$L43+OFFSET('Dist Cust Factors'!$B$12,$K43-1,V$14)*$H43</f>
        <v>0</v>
      </c>
      <c r="W43" s="200"/>
      <c r="X43" s="200">
        <f t="shared" ca="1" si="5"/>
        <v>0</v>
      </c>
      <c r="Y43" s="94"/>
      <c r="Z43" s="247" t="str">
        <f t="shared" ca="1" si="6"/>
        <v/>
      </c>
      <c r="AB43" s="66"/>
      <c r="AC43" s="170"/>
      <c r="AD43" s="170"/>
      <c r="AE43" s="105"/>
      <c r="AF43" s="170"/>
      <c r="AG43" s="105"/>
      <c r="AH43" s="170"/>
      <c r="AI43" s="105"/>
      <c r="AJ43" s="170"/>
      <c r="AK43" s="105"/>
      <c r="AL43" s="170"/>
    </row>
    <row r="44" spans="2:38" ht="13" x14ac:dyDescent="0.3">
      <c r="B44" s="2">
        <f t="shared" si="8"/>
        <v>21</v>
      </c>
      <c r="D44" s="73" t="s">
        <v>23</v>
      </c>
      <c r="F44" s="113">
        <f ca="1">'Distribution Class'!AF44</f>
        <v>0</v>
      </c>
      <c r="H44" s="113"/>
      <c r="J44" s="91"/>
      <c r="K44" s="192">
        <f>_xlfn.IFNA(MATCH(J44,'Dist Cust Factors'!$B$12:$B$447,0),0)</f>
        <v>0</v>
      </c>
      <c r="L44" s="113">
        <f t="shared" ca="1" si="7"/>
        <v>0</v>
      </c>
      <c r="O44" s="192">
        <f>_xlfn.IFNA(MATCH(N44,'Dist Cust Factors'!$B$12:$B$451,0),0)</f>
        <v>0</v>
      </c>
      <c r="P44" s="200">
        <f ca="1">OFFSET('Dist Cust Factors'!$B$12,$O44-1,P$14)*$L44+OFFSET('Dist Cust Factors'!$B$12,$K44-1,P$14)*$H44</f>
        <v>0</v>
      </c>
      <c r="R44" s="200">
        <f ca="1">OFFSET('Dist Cust Factors'!$B$12,$O44-1,R$14)*$L44+OFFSET('Dist Cust Factors'!$B$12,$K44-1,R$14)*$H44</f>
        <v>0</v>
      </c>
      <c r="S44" s="200"/>
      <c r="T44" s="200">
        <f ca="1">OFFSET('Dist Cust Factors'!$B$12,$O44-1,T$14)*$L44+OFFSET('Dist Cust Factors'!$B$12,$K44-1,T$14)*$H44</f>
        <v>0</v>
      </c>
      <c r="U44" s="200"/>
      <c r="V44" s="200">
        <f ca="1">OFFSET('Dist Cust Factors'!$B$12,$O44-1,V$14)*$L44+OFFSET('Dist Cust Factors'!$B$12,$K44-1,V$14)*$H44</f>
        <v>0</v>
      </c>
      <c r="W44" s="200"/>
      <c r="X44" s="200">
        <f t="shared" ca="1" si="5"/>
        <v>0</v>
      </c>
      <c r="Y44" s="94"/>
      <c r="Z44" s="247" t="str">
        <f t="shared" ca="1" si="6"/>
        <v/>
      </c>
      <c r="AB44" s="66"/>
      <c r="AC44" s="170"/>
      <c r="AD44" s="170"/>
      <c r="AE44" s="105"/>
      <c r="AF44" s="170"/>
      <c r="AG44" s="105"/>
      <c r="AH44" s="170"/>
      <c r="AI44" s="105"/>
      <c r="AJ44" s="170"/>
      <c r="AK44" s="105"/>
      <c r="AL44" s="170"/>
    </row>
    <row r="45" spans="2:38" ht="13" x14ac:dyDescent="0.3">
      <c r="B45" s="2">
        <f t="shared" si="8"/>
        <v>22</v>
      </c>
      <c r="D45" s="73" t="s">
        <v>25</v>
      </c>
      <c r="F45" s="113">
        <f ca="1">'Distribution Class'!AF45</f>
        <v>0</v>
      </c>
      <c r="H45" s="113"/>
      <c r="K45" s="192">
        <f>_xlfn.IFNA(MATCH(J45,'Dist Cust Factors'!$B$12:$B$447,0),0)</f>
        <v>0</v>
      </c>
      <c r="L45" s="113">
        <f t="shared" ca="1" si="7"/>
        <v>0</v>
      </c>
      <c r="O45" s="192">
        <f>_xlfn.IFNA(MATCH(N45,'Dist Cust Factors'!$B$12:$B$451,0),0)</f>
        <v>0</v>
      </c>
      <c r="P45" s="200">
        <f ca="1">OFFSET('Dist Cust Factors'!$B$12,$O45-1,P$14)*$L45+OFFSET('Dist Cust Factors'!$B$12,$K45-1,P$14)*$H45</f>
        <v>0</v>
      </c>
      <c r="R45" s="200">
        <f ca="1">OFFSET('Dist Cust Factors'!$B$12,$O45-1,R$14)*$L45+OFFSET('Dist Cust Factors'!$B$12,$K45-1,R$14)*$H45</f>
        <v>0</v>
      </c>
      <c r="S45" s="200"/>
      <c r="T45" s="200">
        <f ca="1">OFFSET('Dist Cust Factors'!$B$12,$O45-1,T$14)*$L45+OFFSET('Dist Cust Factors'!$B$12,$K45-1,T$14)*$H45</f>
        <v>0</v>
      </c>
      <c r="U45" s="200"/>
      <c r="V45" s="200">
        <f ca="1">OFFSET('Dist Cust Factors'!$B$12,$O45-1,V$14)*$L45+OFFSET('Dist Cust Factors'!$B$12,$K45-1,V$14)*$H45</f>
        <v>0</v>
      </c>
      <c r="W45" s="200"/>
      <c r="X45" s="200">
        <f t="shared" ca="1" si="5"/>
        <v>0</v>
      </c>
      <c r="Y45" s="94"/>
      <c r="Z45" s="247" t="str">
        <f t="shared" ca="1" si="6"/>
        <v/>
      </c>
      <c r="AB45" s="66"/>
      <c r="AC45" s="170"/>
      <c r="AD45" s="170"/>
      <c r="AE45" s="105"/>
      <c r="AF45" s="170"/>
      <c r="AG45" s="105"/>
      <c r="AH45" s="170"/>
      <c r="AI45" s="105"/>
      <c r="AJ45" s="170"/>
      <c r="AK45" s="105"/>
      <c r="AL45" s="170"/>
    </row>
    <row r="46" spans="2:38" ht="13" x14ac:dyDescent="0.3">
      <c r="B46" s="2">
        <f t="shared" si="8"/>
        <v>23</v>
      </c>
      <c r="D46" s="73" t="s">
        <v>27</v>
      </c>
      <c r="F46" s="113">
        <f ca="1">'Distribution Class'!AF46</f>
        <v>0</v>
      </c>
      <c r="H46" s="113"/>
      <c r="K46" s="192">
        <f>_xlfn.IFNA(MATCH(J46,'Dist Cust Factors'!$B$12:$B$447,0),0)</f>
        <v>0</v>
      </c>
      <c r="L46" s="113">
        <f t="shared" ca="1" si="7"/>
        <v>0</v>
      </c>
      <c r="O46" s="192">
        <f>_xlfn.IFNA(MATCH(N46,'Dist Cust Factors'!$B$12:$B$451,0),0)</f>
        <v>0</v>
      </c>
      <c r="P46" s="200">
        <f ca="1">OFFSET('Dist Cust Factors'!$B$12,$O46-1,P$14)*$L46+OFFSET('Dist Cust Factors'!$B$12,$K46-1,P$14)*$H46</f>
        <v>0</v>
      </c>
      <c r="R46" s="200">
        <f ca="1">OFFSET('Dist Cust Factors'!$B$12,$O46-1,R$14)*$L46+OFFSET('Dist Cust Factors'!$B$12,$K46-1,R$14)*$H46</f>
        <v>0</v>
      </c>
      <c r="S46" s="200"/>
      <c r="T46" s="200">
        <f ca="1">OFFSET('Dist Cust Factors'!$B$12,$O46-1,T$14)*$L46+OFFSET('Dist Cust Factors'!$B$12,$K46-1,T$14)*$H46</f>
        <v>0</v>
      </c>
      <c r="U46" s="200"/>
      <c r="V46" s="200">
        <f ca="1">OFFSET('Dist Cust Factors'!$B$12,$O46-1,V$14)*$L46+OFFSET('Dist Cust Factors'!$B$12,$K46-1,V$14)*$H46</f>
        <v>0</v>
      </c>
      <c r="W46" s="200"/>
      <c r="X46" s="200">
        <f t="shared" ca="1" si="5"/>
        <v>0</v>
      </c>
      <c r="Y46" s="94"/>
      <c r="Z46" s="247" t="str">
        <f t="shared" ca="1" si="6"/>
        <v/>
      </c>
      <c r="AB46" s="66"/>
      <c r="AC46" s="170"/>
      <c r="AD46" s="170"/>
      <c r="AE46" s="105"/>
      <c r="AF46" s="170"/>
      <c r="AG46" s="105"/>
      <c r="AH46" s="170"/>
      <c r="AI46" s="105"/>
      <c r="AJ46" s="170"/>
      <c r="AK46" s="105"/>
      <c r="AL46" s="170"/>
    </row>
    <row r="47" spans="2:38" ht="13" x14ac:dyDescent="0.3">
      <c r="B47" s="2">
        <f t="shared" si="8"/>
        <v>24</v>
      </c>
      <c r="D47" s="73" t="s">
        <v>29</v>
      </c>
      <c r="F47" s="113">
        <f ca="1">'Distribution Class'!AF47</f>
        <v>0</v>
      </c>
      <c r="H47" s="113"/>
      <c r="K47" s="192">
        <f>_xlfn.IFNA(MATCH(J47,'Dist Cust Factors'!$B$12:$B$447,0),0)</f>
        <v>0</v>
      </c>
      <c r="L47" s="113">
        <f t="shared" ca="1" si="7"/>
        <v>0</v>
      </c>
      <c r="O47" s="192">
        <f>_xlfn.IFNA(MATCH(N47,'Dist Cust Factors'!$B$12:$B$451,0),0)</f>
        <v>0</v>
      </c>
      <c r="P47" s="200">
        <f ca="1">OFFSET('Dist Cust Factors'!$B$12,$O47-1,P$14)*$L47+OFFSET('Dist Cust Factors'!$B$12,$K47-1,P$14)*$H47</f>
        <v>0</v>
      </c>
      <c r="R47" s="200">
        <f ca="1">OFFSET('Dist Cust Factors'!$B$12,$O47-1,R$14)*$L47+OFFSET('Dist Cust Factors'!$B$12,$K47-1,R$14)*$H47</f>
        <v>0</v>
      </c>
      <c r="S47" s="200"/>
      <c r="T47" s="200">
        <f ca="1">OFFSET('Dist Cust Factors'!$B$12,$O47-1,T$14)*$L47+OFFSET('Dist Cust Factors'!$B$12,$K47-1,T$14)*$H47</f>
        <v>0</v>
      </c>
      <c r="U47" s="200"/>
      <c r="V47" s="200">
        <f ca="1">OFFSET('Dist Cust Factors'!$B$12,$O47-1,V$14)*$L47+OFFSET('Dist Cust Factors'!$B$12,$K47-1,V$14)*$H47</f>
        <v>0</v>
      </c>
      <c r="W47" s="200"/>
      <c r="X47" s="200">
        <f t="shared" ca="1" si="5"/>
        <v>0</v>
      </c>
      <c r="Y47" s="94"/>
      <c r="Z47" s="247" t="str">
        <f t="shared" ca="1" si="6"/>
        <v/>
      </c>
      <c r="AB47" s="66"/>
      <c r="AC47" s="170"/>
      <c r="AD47" s="170"/>
      <c r="AE47" s="105"/>
      <c r="AF47" s="170"/>
      <c r="AG47" s="105"/>
      <c r="AH47" s="170"/>
      <c r="AI47" s="105"/>
      <c r="AJ47" s="170"/>
      <c r="AK47" s="105"/>
      <c r="AL47" s="170"/>
    </row>
    <row r="48" spans="2:38" ht="13" x14ac:dyDescent="0.3">
      <c r="B48" s="2">
        <f t="shared" si="8"/>
        <v>25</v>
      </c>
      <c r="D48" s="94" t="s">
        <v>30</v>
      </c>
      <c r="F48" s="113">
        <f ca="1">'Distribution Class'!AF48</f>
        <v>0</v>
      </c>
      <c r="H48" s="113"/>
      <c r="K48" s="192">
        <f>_xlfn.IFNA(MATCH(J48,'Dist Cust Factors'!$B$12:$B$447,0),0)</f>
        <v>0</v>
      </c>
      <c r="L48" s="113">
        <f t="shared" ca="1" si="7"/>
        <v>0</v>
      </c>
      <c r="O48" s="192">
        <f>_xlfn.IFNA(MATCH(N48,'Dist Cust Factors'!$B$12:$B$451,0),0)</f>
        <v>0</v>
      </c>
      <c r="P48" s="200">
        <f ca="1">OFFSET('Dist Cust Factors'!$B$12,$O48-1,P$14)*$L48+OFFSET('Dist Cust Factors'!$B$12,$K48-1,P$14)*$H48</f>
        <v>0</v>
      </c>
      <c r="R48" s="200">
        <f ca="1">OFFSET('Dist Cust Factors'!$B$12,$O48-1,R$14)*$L48+OFFSET('Dist Cust Factors'!$B$12,$K48-1,R$14)*$H48</f>
        <v>0</v>
      </c>
      <c r="S48" s="200"/>
      <c r="T48" s="200">
        <f ca="1">OFFSET('Dist Cust Factors'!$B$12,$O48-1,T$14)*$L48+OFFSET('Dist Cust Factors'!$B$12,$K48-1,T$14)*$H48</f>
        <v>0</v>
      </c>
      <c r="U48" s="200"/>
      <c r="V48" s="200">
        <f ca="1">OFFSET('Dist Cust Factors'!$B$12,$O48-1,V$14)*$L48+OFFSET('Dist Cust Factors'!$B$12,$K48-1,V$14)*$H48</f>
        <v>0</v>
      </c>
      <c r="W48" s="200"/>
      <c r="X48" s="200">
        <f t="shared" ca="1" si="5"/>
        <v>0</v>
      </c>
      <c r="Y48" s="94"/>
      <c r="Z48" s="247" t="str">
        <f t="shared" ca="1" si="6"/>
        <v/>
      </c>
      <c r="AB48" s="66"/>
      <c r="AC48" s="170"/>
      <c r="AD48" s="170"/>
      <c r="AE48" s="105"/>
      <c r="AF48" s="170"/>
      <c r="AG48" s="105"/>
      <c r="AH48" s="170"/>
      <c r="AI48" s="105"/>
      <c r="AJ48" s="170"/>
      <c r="AK48" s="105"/>
      <c r="AL48" s="170"/>
    </row>
    <row r="49" spans="2:38" ht="13" x14ac:dyDescent="0.3">
      <c r="B49" s="2">
        <f t="shared" si="8"/>
        <v>26</v>
      </c>
      <c r="D49" s="73" t="s">
        <v>31</v>
      </c>
      <c r="F49" s="113">
        <f ca="1">'Distribution Class'!AF49</f>
        <v>0</v>
      </c>
      <c r="H49" s="113"/>
      <c r="K49" s="192">
        <f>_xlfn.IFNA(MATCH(J49,'Dist Cust Factors'!$B$12:$B$447,0),0)</f>
        <v>0</v>
      </c>
      <c r="L49" s="113">
        <f t="shared" ca="1" si="7"/>
        <v>0</v>
      </c>
      <c r="O49" s="192">
        <f>_xlfn.IFNA(MATCH(N49,'Dist Cust Factors'!$B$12:$B$451,0),0)</f>
        <v>0</v>
      </c>
      <c r="P49" s="200">
        <f ca="1">OFFSET('Dist Cust Factors'!$B$12,$O49-1,P$14)*$L49+OFFSET('Dist Cust Factors'!$B$12,$K49-1,P$14)*$H49</f>
        <v>0</v>
      </c>
      <c r="R49" s="200">
        <f ca="1">OFFSET('Dist Cust Factors'!$B$12,$O49-1,R$14)*$L49+OFFSET('Dist Cust Factors'!$B$12,$K49-1,R$14)*$H49</f>
        <v>0</v>
      </c>
      <c r="S49" s="200"/>
      <c r="T49" s="200">
        <f ca="1">OFFSET('Dist Cust Factors'!$B$12,$O49-1,T$14)*$L49+OFFSET('Dist Cust Factors'!$B$12,$K49-1,T$14)*$H49</f>
        <v>0</v>
      </c>
      <c r="U49" s="200"/>
      <c r="V49" s="200">
        <f ca="1">OFFSET('Dist Cust Factors'!$B$12,$O49-1,V$14)*$L49+OFFSET('Dist Cust Factors'!$B$12,$K49-1,V$14)*$H49</f>
        <v>0</v>
      </c>
      <c r="W49" s="200"/>
      <c r="X49" s="200">
        <f t="shared" ca="1" si="5"/>
        <v>0</v>
      </c>
      <c r="Y49" s="94"/>
      <c r="Z49" s="247" t="str">
        <f t="shared" ca="1" si="6"/>
        <v/>
      </c>
      <c r="AB49" s="66"/>
      <c r="AC49" s="170"/>
      <c r="AD49" s="170"/>
      <c r="AE49" s="105"/>
      <c r="AF49" s="170"/>
      <c r="AG49" s="105"/>
      <c r="AH49" s="170"/>
      <c r="AI49" s="105"/>
      <c r="AJ49" s="170"/>
      <c r="AK49" s="105"/>
      <c r="AL49" s="170"/>
    </row>
    <row r="50" spans="2:38" ht="13" x14ac:dyDescent="0.3">
      <c r="B50" s="2">
        <f t="shared" si="8"/>
        <v>27</v>
      </c>
      <c r="D50" s="73" t="s">
        <v>327</v>
      </c>
      <c r="F50" s="113">
        <f ca="1">'Distribution Class'!AF50</f>
        <v>0</v>
      </c>
      <c r="H50" s="113"/>
      <c r="K50" s="192">
        <f>_xlfn.IFNA(MATCH(J50,'Dist Cust Factors'!$B$12:$B$447,0),0)</f>
        <v>0</v>
      </c>
      <c r="L50" s="113">
        <f t="shared" ca="1" si="7"/>
        <v>0</v>
      </c>
      <c r="O50" s="192">
        <f>_xlfn.IFNA(MATCH(N50,'Dist Cust Factors'!$B$12:$B$451,0),0)</f>
        <v>0</v>
      </c>
      <c r="P50" s="200">
        <f ca="1">OFFSET('Dist Cust Factors'!$B$12,$O50-1,P$14)*$L50+OFFSET('Dist Cust Factors'!$B$12,$K50-1,P$14)*$H50</f>
        <v>0</v>
      </c>
      <c r="R50" s="200">
        <f ca="1">OFFSET('Dist Cust Factors'!$B$12,$O50-1,R$14)*$L50+OFFSET('Dist Cust Factors'!$B$12,$K50-1,R$14)*$H50</f>
        <v>0</v>
      </c>
      <c r="S50" s="200"/>
      <c r="T50" s="200">
        <f ca="1">OFFSET('Dist Cust Factors'!$B$12,$O50-1,T$14)*$L50+OFFSET('Dist Cust Factors'!$B$12,$K50-1,T$14)*$H50</f>
        <v>0</v>
      </c>
      <c r="U50" s="200"/>
      <c r="V50" s="200">
        <f ca="1">OFFSET('Dist Cust Factors'!$B$12,$O50-1,V$14)*$L50+OFFSET('Dist Cust Factors'!$B$12,$K50-1,V$14)*$H50</f>
        <v>0</v>
      </c>
      <c r="W50" s="200"/>
      <c r="X50" s="200">
        <f t="shared" ca="1" si="5"/>
        <v>0</v>
      </c>
      <c r="Y50" s="94"/>
      <c r="Z50" s="247" t="str">
        <f t="shared" ca="1" si="6"/>
        <v/>
      </c>
      <c r="AB50" s="66"/>
      <c r="AC50" s="170"/>
      <c r="AD50" s="170"/>
      <c r="AE50" s="105"/>
      <c r="AF50" s="170"/>
      <c r="AG50" s="105"/>
      <c r="AH50" s="170"/>
      <c r="AI50" s="105"/>
      <c r="AJ50" s="170"/>
      <c r="AK50" s="105"/>
      <c r="AL50" s="170"/>
    </row>
    <row r="51" spans="2:38" ht="13" x14ac:dyDescent="0.3">
      <c r="B51" s="2">
        <f t="shared" si="8"/>
        <v>28</v>
      </c>
      <c r="D51" s="73" t="s">
        <v>34</v>
      </c>
      <c r="F51" s="113">
        <f ca="1">'Distribution Class'!AF51</f>
        <v>0</v>
      </c>
      <c r="H51" s="113"/>
      <c r="K51" s="192">
        <f>_xlfn.IFNA(MATCH(J51,'Dist Cust Factors'!$B$12:$B$447,0),0)</f>
        <v>0</v>
      </c>
      <c r="L51" s="113">
        <f t="shared" ca="1" si="7"/>
        <v>0</v>
      </c>
      <c r="O51" s="192">
        <f>_xlfn.IFNA(MATCH(N51,'Dist Cust Factors'!$B$12:$B$451,0),0)</f>
        <v>0</v>
      </c>
      <c r="P51" s="200">
        <f ca="1">OFFSET('Dist Cust Factors'!$B$12,$O51-1,P$14)*$L51+OFFSET('Dist Cust Factors'!$B$12,$K51-1,P$14)*$H51</f>
        <v>0</v>
      </c>
      <c r="R51" s="200">
        <f ca="1">OFFSET('Dist Cust Factors'!$B$12,$O51-1,R$14)*$L51+OFFSET('Dist Cust Factors'!$B$12,$K51-1,R$14)*$H51</f>
        <v>0</v>
      </c>
      <c r="S51" s="200"/>
      <c r="T51" s="200">
        <f ca="1">OFFSET('Dist Cust Factors'!$B$12,$O51-1,T$14)*$L51+OFFSET('Dist Cust Factors'!$B$12,$K51-1,T$14)*$H51</f>
        <v>0</v>
      </c>
      <c r="U51" s="200"/>
      <c r="V51" s="200">
        <f ca="1">OFFSET('Dist Cust Factors'!$B$12,$O51-1,V$14)*$L51+OFFSET('Dist Cust Factors'!$B$12,$K51-1,V$14)*$H51</f>
        <v>0</v>
      </c>
      <c r="W51" s="200"/>
      <c r="X51" s="200">
        <f t="shared" ca="1" si="5"/>
        <v>0</v>
      </c>
      <c r="Y51" s="94"/>
      <c r="Z51" s="247" t="str">
        <f t="shared" ca="1" si="6"/>
        <v/>
      </c>
      <c r="AB51" s="66"/>
      <c r="AC51" s="170"/>
      <c r="AD51" s="170"/>
      <c r="AE51" s="105"/>
      <c r="AF51" s="170"/>
      <c r="AG51" s="105"/>
      <c r="AH51" s="170"/>
      <c r="AI51" s="105"/>
      <c r="AJ51" s="170"/>
      <c r="AK51" s="105"/>
      <c r="AL51" s="170"/>
    </row>
    <row r="52" spans="2:38" ht="13" x14ac:dyDescent="0.3">
      <c r="B52" s="2">
        <f t="shared" si="8"/>
        <v>29</v>
      </c>
      <c r="D52" s="73" t="s">
        <v>78</v>
      </c>
      <c r="F52" s="113">
        <f ca="1">'Distribution Class'!AF52</f>
        <v>0</v>
      </c>
      <c r="H52" s="113"/>
      <c r="K52" s="192">
        <f>_xlfn.IFNA(MATCH(J52,'Dist Cust Factors'!$B$12:$B$447,0),0)</f>
        <v>0</v>
      </c>
      <c r="L52" s="113">
        <f t="shared" ca="1" si="7"/>
        <v>0</v>
      </c>
      <c r="O52" s="192">
        <f>_xlfn.IFNA(MATCH(N52,'Dist Cust Factors'!$B$12:$B$451,0),0)</f>
        <v>0</v>
      </c>
      <c r="P52" s="200">
        <f ca="1">OFFSET('Dist Cust Factors'!$B$12,$O52-1,P$14)*$L52+OFFSET('Dist Cust Factors'!$B$12,$K52-1,P$14)*$H52</f>
        <v>0</v>
      </c>
      <c r="R52" s="200">
        <f ca="1">OFFSET('Dist Cust Factors'!$B$12,$O52-1,R$14)*$L52+OFFSET('Dist Cust Factors'!$B$12,$K52-1,R$14)*$H52</f>
        <v>0</v>
      </c>
      <c r="S52" s="200"/>
      <c r="T52" s="200">
        <f ca="1">OFFSET('Dist Cust Factors'!$B$12,$O52-1,T$14)*$L52+OFFSET('Dist Cust Factors'!$B$12,$K52-1,T$14)*$H52</f>
        <v>0</v>
      </c>
      <c r="U52" s="200"/>
      <c r="V52" s="200">
        <f ca="1">OFFSET('Dist Cust Factors'!$B$12,$O52-1,V$14)*$L52+OFFSET('Dist Cust Factors'!$B$12,$K52-1,V$14)*$H52</f>
        <v>0</v>
      </c>
      <c r="W52" s="200"/>
      <c r="X52" s="200">
        <f t="shared" ca="1" si="5"/>
        <v>0</v>
      </c>
      <c r="Y52" s="94"/>
      <c r="Z52" s="247" t="str">
        <f t="shared" ca="1" si="6"/>
        <v/>
      </c>
      <c r="AB52" s="66"/>
      <c r="AC52" s="170"/>
      <c r="AD52" s="170"/>
      <c r="AE52" s="105"/>
      <c r="AF52" s="170"/>
      <c r="AG52" s="105"/>
      <c r="AH52" s="170"/>
      <c r="AI52" s="105"/>
      <c r="AJ52" s="170"/>
      <c r="AK52" s="105"/>
      <c r="AL52" s="170"/>
    </row>
    <row r="53" spans="2:38" ht="13" x14ac:dyDescent="0.3">
      <c r="B53" s="2">
        <f t="shared" si="8"/>
        <v>30</v>
      </c>
      <c r="D53" s="73" t="s">
        <v>334</v>
      </c>
      <c r="F53" s="79">
        <f ca="1">SUM(F40:F52)</f>
        <v>0</v>
      </c>
      <c r="H53" s="79"/>
      <c r="L53" s="79"/>
      <c r="P53" s="204">
        <f ca="1">SUM(P40:P52)</f>
        <v>0</v>
      </c>
      <c r="Q53" s="160"/>
      <c r="R53" s="204">
        <f ca="1">SUM(R40:R52)</f>
        <v>0</v>
      </c>
      <c r="S53" s="66"/>
      <c r="T53" s="204">
        <f ca="1">SUM(T40:T52)</f>
        <v>0</v>
      </c>
      <c r="U53" s="66"/>
      <c r="V53" s="204">
        <f ca="1">SUM(V40:V52)</f>
        <v>0</v>
      </c>
      <c r="W53" s="66"/>
      <c r="X53" s="204">
        <f ca="1">SUM(X40:X52)</f>
        <v>0</v>
      </c>
      <c r="Y53" s="113"/>
      <c r="Z53" s="247" t="str">
        <f t="shared" ca="1" si="6"/>
        <v/>
      </c>
      <c r="AB53" s="66"/>
      <c r="AC53" s="170"/>
      <c r="AD53" s="170"/>
      <c r="AE53" s="66"/>
      <c r="AF53" s="170"/>
      <c r="AG53" s="66"/>
      <c r="AH53" s="170"/>
      <c r="AI53" s="66"/>
      <c r="AJ53" s="170"/>
      <c r="AK53" s="66"/>
      <c r="AL53" s="170"/>
    </row>
    <row r="54" spans="2:38" ht="13" x14ac:dyDescent="0.3">
      <c r="X54" s="113"/>
      <c r="Y54" s="94"/>
      <c r="Z54" s="247" t="str">
        <f t="shared" si="6"/>
        <v/>
      </c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</row>
    <row r="55" spans="2:38" ht="13" x14ac:dyDescent="0.3">
      <c r="B55" s="2">
        <f>B53+1</f>
        <v>31</v>
      </c>
      <c r="D55" s="73" t="s">
        <v>221</v>
      </c>
      <c r="F55" s="113">
        <f ca="1">'Distribution Class'!AF55</f>
        <v>-68567.655918426186</v>
      </c>
      <c r="H55" s="113"/>
      <c r="K55" s="192">
        <f>_xlfn.IFNA(MATCH(J55,'Dist Cust Factors'!$B$12:$B$447,0),0)</f>
        <v>0</v>
      </c>
      <c r="L55" s="113">
        <f ca="1">F55-H55</f>
        <v>-68567.655918426186</v>
      </c>
      <c r="N55" s="91" t="s">
        <v>355</v>
      </c>
      <c r="O55" s="192">
        <f>_xlfn.IFNA(MATCH(N55,'Dist Cust Factors'!$B$12:$B$451,0),0)</f>
        <v>11</v>
      </c>
      <c r="P55" s="200">
        <f ca="1">OFFSET('Dist Cust Factors'!$B$12,$O55-1,P$14)*$L55+OFFSET('Dist Cust Factors'!$B$12,$K55-1,P$14)*$H55</f>
        <v>-224.54065854636374</v>
      </c>
      <c r="R55" s="200">
        <f ca="1">OFFSET('Dist Cust Factors'!$B$12,$O55-1,R$14)*$L55+OFFSET('Dist Cust Factors'!$B$12,$K55-1,R$14)*$H55</f>
        <v>-64883.679348938938</v>
      </c>
      <c r="S55" s="200"/>
      <c r="T55" s="200">
        <f ca="1">OFFSET('Dist Cust Factors'!$B$12,$O55-1,T$14)*$L55+OFFSET('Dist Cust Factors'!$B$12,$K55-1,T$14)*$H55</f>
        <v>-3459.4359109408865</v>
      </c>
      <c r="U55" s="200"/>
      <c r="V55" s="200">
        <f ca="1">OFFSET('Dist Cust Factors'!$B$12,$O55-1,V$14)*$L55+OFFSET('Dist Cust Factors'!$B$12,$K55-1,V$14)*$H55</f>
        <v>0</v>
      </c>
      <c r="W55" s="200"/>
      <c r="X55" s="200">
        <f t="shared" ref="X55" ca="1" si="9">P55+R55+T55+V55</f>
        <v>-68567.655918426186</v>
      </c>
      <c r="Y55" s="94"/>
      <c r="Z55" s="247" t="str">
        <f t="shared" ca="1" si="6"/>
        <v/>
      </c>
      <c r="AA55" s="94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</row>
    <row r="56" spans="2:38" ht="13" x14ac:dyDescent="0.3">
      <c r="X56" s="113"/>
      <c r="Y56" s="94"/>
      <c r="Z56" s="247" t="str">
        <f t="shared" si="6"/>
        <v/>
      </c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</row>
    <row r="57" spans="2:38" ht="13" x14ac:dyDescent="0.3">
      <c r="B57" s="2">
        <f>B55+1</f>
        <v>32</v>
      </c>
      <c r="D57" s="73" t="s">
        <v>335</v>
      </c>
      <c r="F57" s="79">
        <f ca="1">F53+F55</f>
        <v>-68567.655918426186</v>
      </c>
      <c r="H57" s="79">
        <f>H53+H55</f>
        <v>0</v>
      </c>
      <c r="L57" s="79">
        <f ca="1">L53+L55</f>
        <v>-68567.655918426186</v>
      </c>
      <c r="P57" s="79">
        <f ca="1">P53+P55</f>
        <v>-224.54065854636374</v>
      </c>
      <c r="Q57" s="229"/>
      <c r="R57" s="79">
        <f ca="1">R53+R55</f>
        <v>-64883.679348938938</v>
      </c>
      <c r="S57" s="113"/>
      <c r="T57" s="79">
        <f ca="1">T53+T55</f>
        <v>-3459.4359109408865</v>
      </c>
      <c r="U57" s="113"/>
      <c r="V57" s="79">
        <f ca="1">V53+V55</f>
        <v>0</v>
      </c>
      <c r="W57" s="113"/>
      <c r="X57" s="79">
        <f ca="1">X53+X55</f>
        <v>-68567.655918426186</v>
      </c>
      <c r="Y57" s="94"/>
      <c r="Z57" s="247" t="str">
        <f t="shared" ca="1" si="6"/>
        <v/>
      </c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</row>
    <row r="58" spans="2:38" ht="13" x14ac:dyDescent="0.3">
      <c r="D58" s="197"/>
      <c r="E58" s="197"/>
      <c r="F58" s="219"/>
      <c r="H58" s="219"/>
      <c r="L58" s="219"/>
      <c r="Y58" s="94"/>
      <c r="Z58" s="247" t="str">
        <f t="shared" si="6"/>
        <v/>
      </c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</row>
    <row r="59" spans="2:38" ht="13" x14ac:dyDescent="0.3">
      <c r="Y59" s="94"/>
      <c r="Z59" s="247" t="str">
        <f t="shared" si="6"/>
        <v/>
      </c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</row>
    <row r="60" spans="2:38" ht="13" x14ac:dyDescent="0.3">
      <c r="D60" s="198" t="s">
        <v>17</v>
      </c>
      <c r="E60" s="198"/>
      <c r="F60" s="220"/>
      <c r="Y60" s="94"/>
      <c r="Z60" s="234"/>
      <c r="AB60" s="170"/>
      <c r="AC60" s="170"/>
      <c r="AD60" s="170"/>
      <c r="AE60" s="42"/>
      <c r="AF60" s="42"/>
      <c r="AG60" s="42"/>
      <c r="AH60" s="42"/>
      <c r="AI60" s="42"/>
      <c r="AJ60" s="42"/>
      <c r="AK60" s="42"/>
      <c r="AL60" s="42"/>
    </row>
    <row r="61" spans="2:38" ht="13" x14ac:dyDescent="0.3">
      <c r="Y61" s="94"/>
      <c r="Z61" s="247" t="str">
        <f>IF(ROUND(L61,4)=ROUND(X61,4), "", "check")</f>
        <v/>
      </c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</row>
    <row r="62" spans="2:38" ht="13" x14ac:dyDescent="0.3">
      <c r="B62" s="2">
        <f>B57+1</f>
        <v>33</v>
      </c>
      <c r="D62" s="73" t="s">
        <v>75</v>
      </c>
      <c r="F62" s="113">
        <f ca="1">'Distribution Class'!AF62</f>
        <v>0</v>
      </c>
      <c r="H62" s="113"/>
      <c r="J62" s="91"/>
      <c r="K62" s="192">
        <f>_xlfn.IFNA(MATCH(J62,'Dist Cust Factors'!$B$12:$B$447,0),0)</f>
        <v>0</v>
      </c>
      <c r="L62" s="113">
        <f ca="1">F62-H62</f>
        <v>0</v>
      </c>
      <c r="O62" s="192">
        <f>_xlfn.IFNA(MATCH(N62,'Dist Cust Factors'!$B$12:$B$451,0),0)</f>
        <v>0</v>
      </c>
      <c r="P62" s="200">
        <f ca="1">P18+P40</f>
        <v>0</v>
      </c>
      <c r="R62" s="200">
        <f ca="1">R18+R40</f>
        <v>0</v>
      </c>
      <c r="S62" s="200"/>
      <c r="T62" s="200">
        <f ca="1">T18+T40</f>
        <v>0</v>
      </c>
      <c r="U62" s="200"/>
      <c r="V62" s="200">
        <f ca="1">V18+V40</f>
        <v>0</v>
      </c>
      <c r="X62" s="200">
        <f t="shared" ref="X62:X74" ca="1" si="10">P62+R62+T62+V62</f>
        <v>0</v>
      </c>
      <c r="Y62" s="94"/>
      <c r="Z62" s="247" t="str">
        <f t="shared" ref="Z62:Z94" ca="1" si="11">IF(ROUND(F62,4)=ROUND(X62,4), "", "check")</f>
        <v/>
      </c>
      <c r="AB62" s="66"/>
      <c r="AC62" s="170"/>
      <c r="AD62" s="170"/>
      <c r="AE62" s="105"/>
      <c r="AF62" s="170"/>
      <c r="AG62" s="105"/>
      <c r="AH62" s="170"/>
      <c r="AI62" s="105"/>
      <c r="AJ62" s="170"/>
      <c r="AK62" s="105"/>
      <c r="AL62" s="170"/>
    </row>
    <row r="63" spans="2:38" ht="13" x14ac:dyDescent="0.3">
      <c r="B63" s="2">
        <f>B62+1</f>
        <v>34</v>
      </c>
      <c r="D63" s="73" t="s">
        <v>76</v>
      </c>
      <c r="F63" s="113">
        <f ca="1">'Distribution Class'!AF63</f>
        <v>0</v>
      </c>
      <c r="H63" s="113"/>
      <c r="J63" s="91"/>
      <c r="K63" s="192">
        <f>_xlfn.IFNA(MATCH(J63,'Dist Cust Factors'!$B$12:$B$447,0),0)</f>
        <v>0</v>
      </c>
      <c r="L63" s="113">
        <f t="shared" ref="L63:L74" ca="1" si="12">F63-H63</f>
        <v>0</v>
      </c>
      <c r="O63" s="192">
        <f>_xlfn.IFNA(MATCH(N63,'Dist Cust Factors'!$B$12:$B$451,0),0)</f>
        <v>0</v>
      </c>
      <c r="P63" s="200">
        <f t="shared" ref="P63:R74" ca="1" si="13">P19+P41</f>
        <v>0</v>
      </c>
      <c r="R63" s="200">
        <f t="shared" ca="1" si="13"/>
        <v>0</v>
      </c>
      <c r="S63" s="200"/>
      <c r="T63" s="200">
        <f t="shared" ref="T63:V63" ca="1" si="14">T19+T41</f>
        <v>0</v>
      </c>
      <c r="U63" s="200"/>
      <c r="V63" s="200">
        <f t="shared" ca="1" si="14"/>
        <v>0</v>
      </c>
      <c r="X63" s="200">
        <f t="shared" ca="1" si="10"/>
        <v>0</v>
      </c>
      <c r="Y63" s="94"/>
      <c r="Z63" s="247" t="str">
        <f t="shared" ca="1" si="11"/>
        <v/>
      </c>
      <c r="AB63" s="66"/>
      <c r="AC63" s="170"/>
      <c r="AD63" s="170"/>
      <c r="AE63" s="105"/>
      <c r="AF63" s="170"/>
      <c r="AG63" s="105"/>
      <c r="AH63" s="170"/>
      <c r="AI63" s="105"/>
      <c r="AJ63" s="170"/>
      <c r="AK63" s="105"/>
      <c r="AL63" s="170"/>
    </row>
    <row r="64" spans="2:38" ht="13" x14ac:dyDescent="0.3">
      <c r="B64" s="2">
        <f t="shared" ref="B64:B75" si="15">B63+1</f>
        <v>35</v>
      </c>
      <c r="D64" s="73" t="s">
        <v>19</v>
      </c>
      <c r="F64" s="113">
        <f ca="1">'Distribution Class'!AF64</f>
        <v>0</v>
      </c>
      <c r="H64" s="113"/>
      <c r="J64" s="91"/>
      <c r="K64" s="192">
        <f>_xlfn.IFNA(MATCH(J64,'Dist Cust Factors'!$B$12:$B$447,0),0)</f>
        <v>0</v>
      </c>
      <c r="L64" s="113">
        <f t="shared" ca="1" si="12"/>
        <v>0</v>
      </c>
      <c r="O64" s="192">
        <f>_xlfn.IFNA(MATCH(N64,'Dist Cust Factors'!$B$12:$B$451,0),0)</f>
        <v>0</v>
      </c>
      <c r="P64" s="200">
        <f t="shared" ca="1" si="13"/>
        <v>0</v>
      </c>
      <c r="R64" s="200">
        <f t="shared" ca="1" si="13"/>
        <v>0</v>
      </c>
      <c r="S64" s="200"/>
      <c r="T64" s="200">
        <f t="shared" ref="T64:V64" ca="1" si="16">T20+T42</f>
        <v>0</v>
      </c>
      <c r="U64" s="200"/>
      <c r="V64" s="200">
        <f t="shared" ca="1" si="16"/>
        <v>0</v>
      </c>
      <c r="W64" s="200"/>
      <c r="X64" s="200">
        <f t="shared" ca="1" si="10"/>
        <v>0</v>
      </c>
      <c r="Y64" s="94"/>
      <c r="Z64" s="247" t="str">
        <f t="shared" ca="1" si="11"/>
        <v/>
      </c>
      <c r="AB64" s="66"/>
      <c r="AC64" s="170"/>
      <c r="AD64" s="170"/>
      <c r="AE64" s="105"/>
      <c r="AF64" s="170"/>
      <c r="AG64" s="105"/>
      <c r="AH64" s="170"/>
      <c r="AI64" s="105"/>
      <c r="AJ64" s="170"/>
      <c r="AK64" s="105"/>
      <c r="AL64" s="170"/>
    </row>
    <row r="65" spans="2:38" ht="13" x14ac:dyDescent="0.3">
      <c r="B65" s="2">
        <f t="shared" si="15"/>
        <v>36</v>
      </c>
      <c r="D65" s="73" t="s">
        <v>21</v>
      </c>
      <c r="F65" s="113">
        <f ca="1">'Distribution Class'!AF65</f>
        <v>0</v>
      </c>
      <c r="H65" s="113"/>
      <c r="J65" s="91"/>
      <c r="K65" s="192">
        <f>_xlfn.IFNA(MATCH(J65,'Dist Cust Factors'!$B$12:$B$447,0),0)</f>
        <v>0</v>
      </c>
      <c r="L65" s="113">
        <f t="shared" ca="1" si="12"/>
        <v>0</v>
      </c>
      <c r="O65" s="192">
        <f>_xlfn.IFNA(MATCH(N65,'Dist Cust Factors'!$B$12:$B$451,0),0)</f>
        <v>0</v>
      </c>
      <c r="P65" s="200">
        <f t="shared" ca="1" si="13"/>
        <v>0</v>
      </c>
      <c r="R65" s="200">
        <f t="shared" ca="1" si="13"/>
        <v>0</v>
      </c>
      <c r="S65" s="200"/>
      <c r="T65" s="200">
        <f t="shared" ref="T65:V65" ca="1" si="17">T21+T43</f>
        <v>0</v>
      </c>
      <c r="U65" s="200"/>
      <c r="V65" s="200">
        <f t="shared" ca="1" si="17"/>
        <v>0</v>
      </c>
      <c r="W65" s="200"/>
      <c r="X65" s="200">
        <f t="shared" ca="1" si="10"/>
        <v>0</v>
      </c>
      <c r="Y65" s="94"/>
      <c r="Z65" s="247" t="str">
        <f t="shared" ca="1" si="11"/>
        <v/>
      </c>
      <c r="AB65" s="66"/>
      <c r="AC65" s="170"/>
      <c r="AD65" s="170"/>
      <c r="AE65" s="105"/>
      <c r="AF65" s="170"/>
      <c r="AG65" s="105"/>
      <c r="AH65" s="170"/>
      <c r="AI65" s="105"/>
      <c r="AJ65" s="170"/>
      <c r="AK65" s="105"/>
      <c r="AL65" s="170"/>
    </row>
    <row r="66" spans="2:38" ht="13" x14ac:dyDescent="0.3">
      <c r="B66" s="2">
        <f t="shared" si="15"/>
        <v>37</v>
      </c>
      <c r="D66" s="73" t="s">
        <v>23</v>
      </c>
      <c r="F66" s="113">
        <f ca="1">'Distribution Class'!AF66</f>
        <v>0</v>
      </c>
      <c r="H66" s="113"/>
      <c r="J66" s="91"/>
      <c r="K66" s="192">
        <f>_xlfn.IFNA(MATCH(J66,'Dist Cust Factors'!$B$12:$B$447,0),0)</f>
        <v>0</v>
      </c>
      <c r="L66" s="113">
        <f t="shared" ca="1" si="12"/>
        <v>0</v>
      </c>
      <c r="O66" s="192">
        <f>_xlfn.IFNA(MATCH(N66,'Dist Cust Factors'!$B$12:$B$451,0),0)</f>
        <v>0</v>
      </c>
      <c r="P66" s="200">
        <f t="shared" ca="1" si="13"/>
        <v>0</v>
      </c>
      <c r="R66" s="200">
        <f t="shared" ca="1" si="13"/>
        <v>0</v>
      </c>
      <c r="S66" s="200"/>
      <c r="T66" s="200">
        <f t="shared" ref="T66:V66" ca="1" si="18">T22+T44</f>
        <v>0</v>
      </c>
      <c r="U66" s="200"/>
      <c r="V66" s="200">
        <f t="shared" ca="1" si="18"/>
        <v>0</v>
      </c>
      <c r="W66" s="200"/>
      <c r="X66" s="200">
        <f t="shared" ca="1" si="10"/>
        <v>0</v>
      </c>
      <c r="Y66" s="94"/>
      <c r="Z66" s="247" t="str">
        <f t="shared" ca="1" si="11"/>
        <v/>
      </c>
      <c r="AB66" s="66"/>
      <c r="AC66" s="170"/>
      <c r="AD66" s="170"/>
      <c r="AE66" s="105"/>
      <c r="AF66" s="170"/>
      <c r="AG66" s="105"/>
      <c r="AH66" s="170"/>
      <c r="AI66" s="105"/>
      <c r="AJ66" s="170"/>
      <c r="AK66" s="105"/>
      <c r="AL66" s="170"/>
    </row>
    <row r="67" spans="2:38" ht="13" x14ac:dyDescent="0.3">
      <c r="B67" s="2">
        <f t="shared" si="15"/>
        <v>38</v>
      </c>
      <c r="D67" s="73" t="s">
        <v>25</v>
      </c>
      <c r="F67" s="113">
        <f ca="1">'Distribution Class'!AF67</f>
        <v>0</v>
      </c>
      <c r="H67" s="113"/>
      <c r="K67" s="192">
        <f>_xlfn.IFNA(MATCH(J67,'Dist Cust Factors'!$B$12:$B$447,0),0)</f>
        <v>0</v>
      </c>
      <c r="L67" s="113">
        <f t="shared" ca="1" si="12"/>
        <v>0</v>
      </c>
      <c r="O67" s="192">
        <f>_xlfn.IFNA(MATCH(N67,'Dist Cust Factors'!$B$12:$B$451,0),0)</f>
        <v>0</v>
      </c>
      <c r="P67" s="200">
        <f t="shared" ca="1" si="13"/>
        <v>0</v>
      </c>
      <c r="R67" s="200">
        <f t="shared" ca="1" si="13"/>
        <v>0</v>
      </c>
      <c r="S67" s="200"/>
      <c r="T67" s="200">
        <f t="shared" ref="T67:V67" ca="1" si="19">T23+T45</f>
        <v>0</v>
      </c>
      <c r="U67" s="200"/>
      <c r="V67" s="200">
        <f t="shared" ca="1" si="19"/>
        <v>0</v>
      </c>
      <c r="W67" s="200"/>
      <c r="X67" s="200">
        <f t="shared" ca="1" si="10"/>
        <v>0</v>
      </c>
      <c r="Y67" s="94"/>
      <c r="Z67" s="247" t="str">
        <f t="shared" ca="1" si="11"/>
        <v/>
      </c>
      <c r="AB67" s="66"/>
      <c r="AC67" s="170"/>
      <c r="AD67" s="170"/>
      <c r="AE67" s="105"/>
      <c r="AF67" s="170"/>
      <c r="AG67" s="105"/>
      <c r="AH67" s="170"/>
      <c r="AI67" s="105"/>
      <c r="AJ67" s="170"/>
      <c r="AK67" s="105"/>
      <c r="AL67" s="170"/>
    </row>
    <row r="68" spans="2:38" ht="13" x14ac:dyDescent="0.3">
      <c r="B68" s="2">
        <f t="shared" si="15"/>
        <v>39</v>
      </c>
      <c r="D68" s="73" t="s">
        <v>27</v>
      </c>
      <c r="F68" s="113">
        <f ca="1">'Distribution Class'!AF68</f>
        <v>0</v>
      </c>
      <c r="H68" s="113"/>
      <c r="K68" s="192">
        <f>_xlfn.IFNA(MATCH(J68,'Dist Cust Factors'!$B$12:$B$447,0),0)</f>
        <v>0</v>
      </c>
      <c r="L68" s="113">
        <f t="shared" ca="1" si="12"/>
        <v>0</v>
      </c>
      <c r="O68" s="192">
        <f>_xlfn.IFNA(MATCH(N68,'Dist Cust Factors'!$B$12:$B$451,0),0)</f>
        <v>0</v>
      </c>
      <c r="P68" s="200">
        <f t="shared" ca="1" si="13"/>
        <v>0</v>
      </c>
      <c r="R68" s="200">
        <f t="shared" ca="1" si="13"/>
        <v>0</v>
      </c>
      <c r="S68" s="200"/>
      <c r="T68" s="200">
        <f t="shared" ref="T68:V68" ca="1" si="20">T24+T46</f>
        <v>0</v>
      </c>
      <c r="U68" s="200"/>
      <c r="V68" s="200">
        <f t="shared" ca="1" si="20"/>
        <v>0</v>
      </c>
      <c r="W68" s="200"/>
      <c r="X68" s="200">
        <f t="shared" ca="1" si="10"/>
        <v>0</v>
      </c>
      <c r="Y68" s="94"/>
      <c r="Z68" s="247" t="str">
        <f t="shared" ca="1" si="11"/>
        <v/>
      </c>
      <c r="AB68" s="66"/>
      <c r="AC68" s="170"/>
      <c r="AD68" s="170"/>
      <c r="AE68" s="105"/>
      <c r="AF68" s="170"/>
      <c r="AG68" s="105"/>
      <c r="AH68" s="170"/>
      <c r="AI68" s="105"/>
      <c r="AJ68" s="170"/>
      <c r="AK68" s="105"/>
      <c r="AL68" s="170"/>
    </row>
    <row r="69" spans="2:38" ht="13" x14ac:dyDescent="0.3">
      <c r="B69" s="2">
        <f t="shared" si="15"/>
        <v>40</v>
      </c>
      <c r="D69" s="73" t="s">
        <v>29</v>
      </c>
      <c r="F69" s="113">
        <f ca="1">'Distribution Class'!AF69</f>
        <v>0</v>
      </c>
      <c r="H69" s="113"/>
      <c r="K69" s="192">
        <f>_xlfn.IFNA(MATCH(J69,'Dist Cust Factors'!$B$12:$B$447,0),0)</f>
        <v>0</v>
      </c>
      <c r="L69" s="113">
        <f t="shared" ca="1" si="12"/>
        <v>0</v>
      </c>
      <c r="O69" s="192">
        <f>_xlfn.IFNA(MATCH(N69,'Dist Cust Factors'!$B$12:$B$451,0),0)</f>
        <v>0</v>
      </c>
      <c r="P69" s="200">
        <f t="shared" ca="1" si="13"/>
        <v>0</v>
      </c>
      <c r="R69" s="200">
        <f t="shared" ca="1" si="13"/>
        <v>0</v>
      </c>
      <c r="S69" s="200"/>
      <c r="T69" s="200">
        <f t="shared" ref="T69:V69" ca="1" si="21">T25+T47</f>
        <v>0</v>
      </c>
      <c r="U69" s="200"/>
      <c r="V69" s="200">
        <f t="shared" ca="1" si="21"/>
        <v>0</v>
      </c>
      <c r="W69" s="200"/>
      <c r="X69" s="200">
        <f t="shared" ca="1" si="10"/>
        <v>0</v>
      </c>
      <c r="Y69" s="94"/>
      <c r="Z69" s="247" t="str">
        <f t="shared" ca="1" si="11"/>
        <v/>
      </c>
      <c r="AB69" s="66"/>
      <c r="AC69" s="170"/>
      <c r="AD69" s="170"/>
      <c r="AE69" s="105"/>
      <c r="AF69" s="170"/>
      <c r="AG69" s="105"/>
      <c r="AH69" s="170"/>
      <c r="AI69" s="105"/>
      <c r="AJ69" s="170"/>
      <c r="AK69" s="105"/>
      <c r="AL69" s="170"/>
    </row>
    <row r="70" spans="2:38" ht="13" x14ac:dyDescent="0.3">
      <c r="B70" s="2">
        <f t="shared" si="15"/>
        <v>41</v>
      </c>
      <c r="D70" s="94" t="s">
        <v>30</v>
      </c>
      <c r="F70" s="113">
        <f ca="1">'Distribution Class'!AF70</f>
        <v>0</v>
      </c>
      <c r="H70" s="113"/>
      <c r="K70" s="192">
        <f>_xlfn.IFNA(MATCH(J70,'Dist Cust Factors'!$B$12:$B$447,0),0)</f>
        <v>0</v>
      </c>
      <c r="L70" s="113">
        <f t="shared" ca="1" si="12"/>
        <v>0</v>
      </c>
      <c r="O70" s="192">
        <f>_xlfn.IFNA(MATCH(N70,'Dist Cust Factors'!$B$12:$B$451,0),0)</f>
        <v>0</v>
      </c>
      <c r="P70" s="200">
        <f t="shared" ca="1" si="13"/>
        <v>0</v>
      </c>
      <c r="R70" s="200">
        <f t="shared" ca="1" si="13"/>
        <v>0</v>
      </c>
      <c r="S70" s="200"/>
      <c r="T70" s="200">
        <f t="shared" ref="T70:V70" ca="1" si="22">T26+T48</f>
        <v>0</v>
      </c>
      <c r="U70" s="200"/>
      <c r="V70" s="200">
        <f t="shared" ca="1" si="22"/>
        <v>0</v>
      </c>
      <c r="W70" s="200"/>
      <c r="X70" s="200">
        <f t="shared" ca="1" si="10"/>
        <v>0</v>
      </c>
      <c r="Y70" s="94"/>
      <c r="Z70" s="247" t="str">
        <f t="shared" ca="1" si="11"/>
        <v/>
      </c>
      <c r="AB70" s="66"/>
      <c r="AC70" s="170"/>
      <c r="AD70" s="170"/>
      <c r="AE70" s="105"/>
      <c r="AF70" s="170"/>
      <c r="AG70" s="105"/>
      <c r="AH70" s="170"/>
      <c r="AI70" s="105"/>
      <c r="AJ70" s="170"/>
      <c r="AK70" s="105"/>
      <c r="AL70" s="170"/>
    </row>
    <row r="71" spans="2:38" ht="13" x14ac:dyDescent="0.3">
      <c r="B71" s="2">
        <f t="shared" si="15"/>
        <v>42</v>
      </c>
      <c r="D71" s="73" t="s">
        <v>31</v>
      </c>
      <c r="F71" s="113">
        <f ca="1">'Distribution Class'!AF71</f>
        <v>0</v>
      </c>
      <c r="H71" s="113"/>
      <c r="K71" s="192">
        <f>_xlfn.IFNA(MATCH(J71,'Dist Cust Factors'!$B$12:$B$447,0),0)</f>
        <v>0</v>
      </c>
      <c r="L71" s="113">
        <f t="shared" ca="1" si="12"/>
        <v>0</v>
      </c>
      <c r="O71" s="192">
        <f>_xlfn.IFNA(MATCH(N71,'Dist Cust Factors'!$B$12:$B$451,0),0)</f>
        <v>0</v>
      </c>
      <c r="P71" s="200">
        <f t="shared" ca="1" si="13"/>
        <v>0</v>
      </c>
      <c r="R71" s="200">
        <f t="shared" ca="1" si="13"/>
        <v>0</v>
      </c>
      <c r="S71" s="200"/>
      <c r="T71" s="200">
        <f t="shared" ref="T71:V71" ca="1" si="23">T27+T49</f>
        <v>0</v>
      </c>
      <c r="U71" s="200"/>
      <c r="V71" s="200">
        <f t="shared" ca="1" si="23"/>
        <v>0</v>
      </c>
      <c r="W71" s="200"/>
      <c r="X71" s="200">
        <f t="shared" ca="1" si="10"/>
        <v>0</v>
      </c>
      <c r="Y71" s="94"/>
      <c r="Z71" s="247" t="str">
        <f t="shared" ca="1" si="11"/>
        <v/>
      </c>
      <c r="AB71" s="66"/>
      <c r="AC71" s="170"/>
      <c r="AD71" s="170"/>
      <c r="AE71" s="105"/>
      <c r="AF71" s="170"/>
      <c r="AG71" s="105"/>
      <c r="AH71" s="170"/>
      <c r="AI71" s="105"/>
      <c r="AJ71" s="170"/>
      <c r="AK71" s="105"/>
      <c r="AL71" s="170"/>
    </row>
    <row r="72" spans="2:38" ht="13" x14ac:dyDescent="0.3">
      <c r="B72" s="2">
        <f t="shared" si="15"/>
        <v>43</v>
      </c>
      <c r="D72" s="73" t="s">
        <v>327</v>
      </c>
      <c r="F72" s="113">
        <f ca="1">'Distribution Class'!AF72</f>
        <v>0</v>
      </c>
      <c r="H72" s="113"/>
      <c r="K72" s="192">
        <f>_xlfn.IFNA(MATCH(J72,'Dist Cust Factors'!$B$12:$B$447,0),0)</f>
        <v>0</v>
      </c>
      <c r="L72" s="113">
        <f t="shared" ca="1" si="12"/>
        <v>0</v>
      </c>
      <c r="O72" s="192">
        <f>_xlfn.IFNA(MATCH(N72,'Dist Cust Factors'!$B$12:$B$451,0),0)</f>
        <v>0</v>
      </c>
      <c r="P72" s="200">
        <f t="shared" ca="1" si="13"/>
        <v>0</v>
      </c>
      <c r="R72" s="200">
        <f t="shared" ca="1" si="13"/>
        <v>0</v>
      </c>
      <c r="S72" s="200"/>
      <c r="T72" s="200">
        <f t="shared" ref="T72:V72" ca="1" si="24">T28+T50</f>
        <v>0</v>
      </c>
      <c r="U72" s="200"/>
      <c r="V72" s="200">
        <f t="shared" ca="1" si="24"/>
        <v>0</v>
      </c>
      <c r="W72" s="200"/>
      <c r="X72" s="200">
        <f t="shared" ca="1" si="10"/>
        <v>0</v>
      </c>
      <c r="Y72" s="94"/>
      <c r="Z72" s="247" t="str">
        <f t="shared" ca="1" si="11"/>
        <v/>
      </c>
      <c r="AB72" s="66"/>
      <c r="AC72" s="170"/>
      <c r="AD72" s="170"/>
      <c r="AE72" s="105"/>
      <c r="AF72" s="170"/>
      <c r="AG72" s="105"/>
      <c r="AH72" s="170"/>
      <c r="AI72" s="105"/>
      <c r="AJ72" s="170"/>
      <c r="AK72" s="105"/>
      <c r="AL72" s="170"/>
    </row>
    <row r="73" spans="2:38" ht="13" x14ac:dyDescent="0.3">
      <c r="B73" s="2">
        <f t="shared" si="15"/>
        <v>44</v>
      </c>
      <c r="D73" s="73" t="s">
        <v>34</v>
      </c>
      <c r="F73" s="113">
        <f ca="1">'Distribution Class'!AF73</f>
        <v>0</v>
      </c>
      <c r="H73" s="113"/>
      <c r="K73" s="192">
        <f>_xlfn.IFNA(MATCH(J73,'Dist Cust Factors'!$B$12:$B$447,0),0)</f>
        <v>0</v>
      </c>
      <c r="L73" s="113">
        <f t="shared" ca="1" si="12"/>
        <v>0</v>
      </c>
      <c r="O73" s="192">
        <f>_xlfn.IFNA(MATCH(N73,'Dist Cust Factors'!$B$12:$B$451,0),0)</f>
        <v>0</v>
      </c>
      <c r="P73" s="200">
        <f t="shared" ca="1" si="13"/>
        <v>0</v>
      </c>
      <c r="R73" s="200">
        <f t="shared" ca="1" si="13"/>
        <v>0</v>
      </c>
      <c r="S73" s="200"/>
      <c r="T73" s="200">
        <f t="shared" ref="T73:V73" ca="1" si="25">T29+T51</f>
        <v>0</v>
      </c>
      <c r="U73" s="200"/>
      <c r="V73" s="200">
        <f t="shared" ca="1" si="25"/>
        <v>0</v>
      </c>
      <c r="W73" s="200"/>
      <c r="X73" s="200">
        <f t="shared" ca="1" si="10"/>
        <v>0</v>
      </c>
      <c r="Y73" s="94"/>
      <c r="Z73" s="247" t="str">
        <f t="shared" ca="1" si="11"/>
        <v/>
      </c>
      <c r="AB73" s="66"/>
      <c r="AC73" s="170"/>
      <c r="AD73" s="170"/>
      <c r="AE73" s="105"/>
      <c r="AF73" s="170"/>
      <c r="AG73" s="105"/>
      <c r="AH73" s="170"/>
      <c r="AI73" s="105"/>
      <c r="AJ73" s="170"/>
      <c r="AK73" s="105"/>
      <c r="AL73" s="170"/>
    </row>
    <row r="74" spans="2:38" ht="13" x14ac:dyDescent="0.3">
      <c r="B74" s="2">
        <f t="shared" si="15"/>
        <v>45</v>
      </c>
      <c r="D74" s="73" t="s">
        <v>78</v>
      </c>
      <c r="F74" s="113">
        <f ca="1">'Distribution Class'!AF74</f>
        <v>0</v>
      </c>
      <c r="H74" s="113"/>
      <c r="K74" s="192">
        <f>_xlfn.IFNA(MATCH(J74,'Dist Cust Factors'!$B$12:$B$447,0),0)</f>
        <v>0</v>
      </c>
      <c r="L74" s="113">
        <f t="shared" ca="1" si="12"/>
        <v>0</v>
      </c>
      <c r="O74" s="192">
        <f>_xlfn.IFNA(MATCH(N74,'Dist Cust Factors'!$B$12:$B$451,0),0)</f>
        <v>0</v>
      </c>
      <c r="P74" s="200">
        <f t="shared" ca="1" si="13"/>
        <v>0</v>
      </c>
      <c r="R74" s="200">
        <f t="shared" ca="1" si="13"/>
        <v>0</v>
      </c>
      <c r="S74" s="200"/>
      <c r="T74" s="200">
        <f t="shared" ref="T74:V74" ca="1" si="26">T30+T52</f>
        <v>0</v>
      </c>
      <c r="U74" s="200"/>
      <c r="V74" s="200">
        <f t="shared" ca="1" si="26"/>
        <v>0</v>
      </c>
      <c r="W74" s="200"/>
      <c r="X74" s="200">
        <f t="shared" ca="1" si="10"/>
        <v>0</v>
      </c>
      <c r="Y74" s="94"/>
      <c r="Z74" s="247" t="str">
        <f t="shared" ca="1" si="11"/>
        <v/>
      </c>
      <c r="AB74" s="66"/>
      <c r="AC74" s="170"/>
      <c r="AD74" s="170"/>
      <c r="AE74" s="105"/>
      <c r="AF74" s="170"/>
      <c r="AG74" s="105"/>
      <c r="AH74" s="170"/>
      <c r="AI74" s="105"/>
      <c r="AJ74" s="170"/>
      <c r="AK74" s="105"/>
      <c r="AL74" s="170"/>
    </row>
    <row r="75" spans="2:38" ht="13" x14ac:dyDescent="0.3">
      <c r="B75" s="2">
        <f t="shared" si="15"/>
        <v>46</v>
      </c>
      <c r="D75" s="73" t="s">
        <v>336</v>
      </c>
      <c r="F75" s="79">
        <f ca="1">SUM(F62:F74)</f>
        <v>0</v>
      </c>
      <c r="H75" s="79"/>
      <c r="L75" s="79"/>
      <c r="P75" s="204">
        <f ca="1">SUM(P62:P74)</f>
        <v>0</v>
      </c>
      <c r="Q75" s="160"/>
      <c r="R75" s="204">
        <f ca="1">SUM(R62:R74)</f>
        <v>0</v>
      </c>
      <c r="S75" s="66"/>
      <c r="T75" s="204">
        <f ca="1">SUM(T62:T74)</f>
        <v>0</v>
      </c>
      <c r="U75" s="66"/>
      <c r="V75" s="204">
        <f ca="1">SUM(V62:V74)</f>
        <v>0</v>
      </c>
      <c r="W75" s="66"/>
      <c r="X75" s="204">
        <f ca="1">SUM(X62:X74)</f>
        <v>0</v>
      </c>
      <c r="Y75" s="113"/>
      <c r="Z75" s="247" t="str">
        <f t="shared" ca="1" si="11"/>
        <v/>
      </c>
      <c r="AB75" s="66"/>
      <c r="AC75" s="170"/>
      <c r="AD75" s="170"/>
      <c r="AE75" s="66"/>
      <c r="AF75" s="170"/>
      <c r="AG75" s="66"/>
      <c r="AH75" s="170"/>
      <c r="AI75" s="66"/>
      <c r="AJ75" s="170"/>
      <c r="AK75" s="66"/>
      <c r="AL75" s="170"/>
    </row>
    <row r="76" spans="2:38" ht="13" x14ac:dyDescent="0.3">
      <c r="X76" s="113"/>
      <c r="Y76" s="94"/>
      <c r="Z76" s="247" t="str">
        <f t="shared" si="11"/>
        <v/>
      </c>
    </row>
    <row r="77" spans="2:38" ht="13" x14ac:dyDescent="0.3">
      <c r="B77" s="2">
        <f>B75+1</f>
        <v>47</v>
      </c>
      <c r="D77" s="73" t="s">
        <v>221</v>
      </c>
      <c r="F77" s="113">
        <f ca="1">'Distribution Class'!AF77</f>
        <v>62103.923649508841</v>
      </c>
      <c r="H77" s="113"/>
      <c r="K77" s="192">
        <f>_xlfn.IFNA(MATCH(J77,'Dist Cust Factors'!$B$12:$B$447,0),0)</f>
        <v>0</v>
      </c>
      <c r="L77" s="113">
        <f ca="1">F77-H77</f>
        <v>62103.923649508841</v>
      </c>
      <c r="O77" s="192">
        <f>_xlfn.IFNA(MATCH(N77,'Dist Cust Factors'!$B$12:$B$451,0),0)</f>
        <v>0</v>
      </c>
      <c r="P77" s="200">
        <f t="shared" ref="P77" ca="1" si="27">P33+P55</f>
        <v>203.37367127095283</v>
      </c>
      <c r="R77" s="200">
        <f t="shared" ref="R77" ca="1" si="28">R33+R55</f>
        <v>58767.227994195753</v>
      </c>
      <c r="S77" s="200"/>
      <c r="T77" s="200">
        <f t="shared" ref="T77:V77" ca="1" si="29">T33+T55</f>
        <v>3133.3219840421393</v>
      </c>
      <c r="U77" s="200"/>
      <c r="V77" s="200">
        <f t="shared" ca="1" si="29"/>
        <v>0</v>
      </c>
      <c r="W77" s="200"/>
      <c r="X77" s="200">
        <f t="shared" ref="X77" ca="1" si="30">X33+X55</f>
        <v>62103.923649508841</v>
      </c>
      <c r="Y77" s="94"/>
      <c r="Z77" s="247" t="str">
        <f t="shared" ca="1" si="11"/>
        <v/>
      </c>
      <c r="AA77" s="94"/>
      <c r="AB77" s="94"/>
      <c r="AC77" s="94"/>
      <c r="AD77" s="94"/>
      <c r="AE77" s="94"/>
      <c r="AF77" s="94"/>
      <c r="AG77" s="94"/>
      <c r="AI77" s="94"/>
    </row>
    <row r="78" spans="2:38" ht="13" x14ac:dyDescent="0.3">
      <c r="Y78" s="94"/>
      <c r="Z78" s="247" t="str">
        <f t="shared" si="11"/>
        <v/>
      </c>
    </row>
    <row r="79" spans="2:38" ht="13" x14ac:dyDescent="0.3">
      <c r="B79" s="2">
        <f>B77+1</f>
        <v>48</v>
      </c>
      <c r="D79" s="73" t="s">
        <v>337</v>
      </c>
      <c r="F79" s="79">
        <f ca="1">F75+F77</f>
        <v>62103.923649508841</v>
      </c>
      <c r="H79" s="79">
        <f>H75+H77</f>
        <v>0</v>
      </c>
      <c r="L79" s="79">
        <f ca="1">L75+L77</f>
        <v>62103.923649508841</v>
      </c>
      <c r="P79" s="79">
        <f ca="1">P75+P77</f>
        <v>203.37367127095283</v>
      </c>
      <c r="Q79" s="229"/>
      <c r="R79" s="79">
        <f ca="1">R75+R77</f>
        <v>58767.227994195753</v>
      </c>
      <c r="S79" s="113"/>
      <c r="T79" s="79">
        <f ca="1">T75+T77</f>
        <v>3133.3219840421393</v>
      </c>
      <c r="U79" s="113"/>
      <c r="V79" s="79">
        <f ca="1">V75+V77</f>
        <v>0</v>
      </c>
      <c r="W79" s="113"/>
      <c r="X79" s="79">
        <f ca="1">X75+X77</f>
        <v>62103.923649508841</v>
      </c>
      <c r="Y79" s="94"/>
      <c r="Z79" s="247" t="str">
        <f t="shared" ca="1" si="11"/>
        <v/>
      </c>
    </row>
    <row r="80" spans="2:38" ht="13" x14ac:dyDescent="0.3">
      <c r="D80" s="197"/>
      <c r="E80" s="197"/>
      <c r="F80" s="219"/>
      <c r="H80" s="219"/>
      <c r="L80" s="219"/>
      <c r="Y80" s="94"/>
      <c r="Z80" s="247" t="str">
        <f t="shared" si="11"/>
        <v/>
      </c>
    </row>
    <row r="81" spans="2:33" ht="13" x14ac:dyDescent="0.3">
      <c r="Y81" s="94"/>
      <c r="Z81" s="247" t="str">
        <f t="shared" si="11"/>
        <v/>
      </c>
    </row>
    <row r="82" spans="2:33" ht="13" x14ac:dyDescent="0.3">
      <c r="D82" s="198" t="s">
        <v>36</v>
      </c>
      <c r="Y82" s="94"/>
      <c r="Z82" s="247" t="str">
        <f t="shared" ref="Z82:Z83" si="31">IF(ROUND(F82,4)=ROUND(X82,4), "", "check")</f>
        <v/>
      </c>
      <c r="AA82" s="94"/>
      <c r="AB82" s="94"/>
      <c r="AC82" s="94"/>
      <c r="AD82" s="94"/>
      <c r="AE82" s="94"/>
      <c r="AF82" s="94"/>
    </row>
    <row r="83" spans="2:33" ht="13" x14ac:dyDescent="0.3">
      <c r="D83" s="94"/>
      <c r="Y83" s="94"/>
      <c r="Z83" s="247" t="str">
        <f t="shared" si="31"/>
        <v/>
      </c>
      <c r="AA83" s="94"/>
      <c r="AB83" s="94"/>
      <c r="AC83" s="94"/>
      <c r="AD83" s="94"/>
      <c r="AE83" s="94"/>
      <c r="AF83" s="94"/>
    </row>
    <row r="84" spans="2:33" ht="13" x14ac:dyDescent="0.3">
      <c r="B84" s="2">
        <f>B79+1</f>
        <v>49</v>
      </c>
      <c r="D84" s="94" t="s">
        <v>41</v>
      </c>
      <c r="F84" s="113">
        <f ca="1">'Distribution Class'!AF84</f>
        <v>0</v>
      </c>
      <c r="H84" s="113"/>
      <c r="K84" s="192">
        <f>_xlfn.IFNA(MATCH(J84,'Dist Cust Factors'!$B$12:$B$447,0),0)</f>
        <v>0</v>
      </c>
      <c r="L84" s="113">
        <f t="shared" ref="L84:L88" ca="1" si="32">F84-H84</f>
        <v>0</v>
      </c>
      <c r="O84" s="192">
        <f>_xlfn.IFNA(MATCH(N84,'Dist Cust Factors'!$B$12:$B$451,0),0)</f>
        <v>0</v>
      </c>
      <c r="P84" s="200">
        <f ca="1">OFFSET('Dist Cust Factors'!$B$12,$O84-1,P$14)*$L84+OFFSET('Dist Cust Factors'!$B$12,$K84-1,P$14)*$H84</f>
        <v>0</v>
      </c>
      <c r="R84" s="200">
        <f ca="1">OFFSET('Dist Cust Factors'!$B$12,$O84-1,R$14)*$L84+OFFSET('Dist Cust Factors'!$B$12,$K84-1,R$14)*$H84</f>
        <v>0</v>
      </c>
      <c r="S84" s="200"/>
      <c r="T84" s="200">
        <f ca="1">OFFSET('Dist Cust Factors'!$B$12,$O84-1,T$14)*$L84+OFFSET('Dist Cust Factors'!$B$12,$K84-1,T$14)*$H84</f>
        <v>0</v>
      </c>
      <c r="U84" s="200"/>
      <c r="V84" s="200">
        <f ca="1">OFFSET('Dist Cust Factors'!$B$12,$O84-1,V$14)*$L84+OFFSET('Dist Cust Factors'!$B$12,$K84-1,V$14)*$H84</f>
        <v>0</v>
      </c>
      <c r="W84" s="200"/>
      <c r="X84" s="200">
        <f t="shared" ref="X84:X88" ca="1" si="33">P84+R84+T84+V84</f>
        <v>0</v>
      </c>
      <c r="Y84" s="94"/>
      <c r="Z84" s="247" t="str">
        <f t="shared" ca="1" si="11"/>
        <v/>
      </c>
      <c r="AA84" s="94"/>
      <c r="AB84" s="94"/>
      <c r="AC84" s="94"/>
      <c r="AD84" s="94"/>
      <c r="AE84" s="94"/>
      <c r="AF84" s="94"/>
    </row>
    <row r="85" spans="2:33" ht="13" x14ac:dyDescent="0.3">
      <c r="B85" s="2">
        <f>B84+1</f>
        <v>50</v>
      </c>
      <c r="D85" s="94" t="s">
        <v>457</v>
      </c>
      <c r="F85" s="113">
        <f ca="1">'Distribution Class'!AF85</f>
        <v>0</v>
      </c>
      <c r="H85" s="113"/>
      <c r="K85" s="192">
        <f>_xlfn.IFNA(MATCH(J85,'Dist Cust Factors'!$B$12:$B$447,0),0)</f>
        <v>0</v>
      </c>
      <c r="L85" s="113">
        <f t="shared" ca="1" si="32"/>
        <v>0</v>
      </c>
      <c r="O85" s="192">
        <f>_xlfn.IFNA(MATCH(N85,'Dist Cust Factors'!$B$12:$B$451,0),0)</f>
        <v>0</v>
      </c>
      <c r="P85" s="200">
        <f ca="1">OFFSET('Dist Cust Factors'!$B$12,$O85-1,P$14)*$L85+OFFSET('Dist Cust Factors'!$B$12,$K85-1,P$14)*$H85</f>
        <v>0</v>
      </c>
      <c r="R85" s="200">
        <f ca="1">OFFSET('Dist Cust Factors'!$B$12,$O85-1,R$14)*$L85+OFFSET('Dist Cust Factors'!$B$12,$K85-1,R$14)*$H85</f>
        <v>0</v>
      </c>
      <c r="S85" s="200"/>
      <c r="T85" s="200">
        <f ca="1">OFFSET('Dist Cust Factors'!$B$12,$O85-1,T$14)*$L85+OFFSET('Dist Cust Factors'!$B$12,$K85-1,T$14)*$H85</f>
        <v>0</v>
      </c>
      <c r="U85" s="200"/>
      <c r="V85" s="200">
        <f ca="1">OFFSET('Dist Cust Factors'!$B$12,$O85-1,V$14)*$L85+OFFSET('Dist Cust Factors'!$B$12,$K85-1,V$14)*$H85</f>
        <v>0</v>
      </c>
      <c r="W85" s="200"/>
      <c r="X85" s="200">
        <f t="shared" ca="1" si="33"/>
        <v>0</v>
      </c>
      <c r="Y85" s="94"/>
      <c r="Z85" s="247" t="str">
        <f t="shared" ca="1" si="11"/>
        <v/>
      </c>
      <c r="AA85" s="94"/>
      <c r="AB85" s="94"/>
      <c r="AC85" s="94"/>
      <c r="AD85" s="94"/>
      <c r="AE85" s="94"/>
      <c r="AF85" s="94"/>
    </row>
    <row r="86" spans="2:33" ht="13" x14ac:dyDescent="0.3">
      <c r="B86" s="2">
        <f t="shared" ref="B86:B89" si="34">B85+1</f>
        <v>51</v>
      </c>
      <c r="D86" s="94" t="s">
        <v>42</v>
      </c>
      <c r="F86" s="113">
        <f ca="1">'Distribution Class'!AF86</f>
        <v>0</v>
      </c>
      <c r="H86" s="113"/>
      <c r="K86" s="192">
        <f>_xlfn.IFNA(MATCH(J86,'Dist Cust Factors'!$B$12:$B$447,0),0)</f>
        <v>0</v>
      </c>
      <c r="L86" s="113">
        <f t="shared" ca="1" si="32"/>
        <v>0</v>
      </c>
      <c r="O86" s="192">
        <f>_xlfn.IFNA(MATCH(N86,'Dist Cust Factors'!$B$12:$B$451,0),0)</f>
        <v>0</v>
      </c>
      <c r="P86" s="200">
        <f ca="1">OFFSET('Dist Cust Factors'!$B$12,$O86-1,P$14)*$L86+OFFSET('Dist Cust Factors'!$B$12,$K86-1,P$14)*$H86</f>
        <v>0</v>
      </c>
      <c r="R86" s="200">
        <f ca="1">OFFSET('Dist Cust Factors'!$B$12,$O86-1,R$14)*$L86+OFFSET('Dist Cust Factors'!$B$12,$K86-1,R$14)*$H86</f>
        <v>0</v>
      </c>
      <c r="S86" s="200"/>
      <c r="T86" s="200">
        <f ca="1">OFFSET('Dist Cust Factors'!$B$12,$O86-1,T$14)*$L86+OFFSET('Dist Cust Factors'!$B$12,$K86-1,T$14)*$H86</f>
        <v>0</v>
      </c>
      <c r="U86" s="200"/>
      <c r="V86" s="200">
        <f ca="1">OFFSET('Dist Cust Factors'!$B$12,$O86-1,V$14)*$L86+OFFSET('Dist Cust Factors'!$B$12,$K86-1,V$14)*$H86</f>
        <v>0</v>
      </c>
      <c r="W86" s="200"/>
      <c r="X86" s="200">
        <f t="shared" ca="1" si="33"/>
        <v>0</v>
      </c>
      <c r="Y86" s="94"/>
      <c r="Z86" s="247" t="str">
        <f t="shared" ca="1" si="11"/>
        <v/>
      </c>
      <c r="AA86" s="94"/>
      <c r="AB86" s="94"/>
      <c r="AC86" s="94"/>
      <c r="AD86" s="94"/>
      <c r="AE86" s="94"/>
      <c r="AF86" s="94"/>
      <c r="AG86" s="94"/>
    </row>
    <row r="87" spans="2:33" ht="13" x14ac:dyDescent="0.3">
      <c r="B87" s="2">
        <f t="shared" si="34"/>
        <v>52</v>
      </c>
      <c r="D87" s="94" t="s">
        <v>458</v>
      </c>
      <c r="F87" s="113">
        <f ca="1">'Distribution Class'!AF87</f>
        <v>0</v>
      </c>
      <c r="H87" s="113"/>
      <c r="K87" s="192">
        <f>_xlfn.IFNA(MATCH(J87,'Dist Cust Factors'!$B$12:$B$447,0),0)</f>
        <v>0</v>
      </c>
      <c r="L87" s="113">
        <f t="shared" ca="1" si="32"/>
        <v>0</v>
      </c>
      <c r="O87" s="192">
        <f>_xlfn.IFNA(MATCH(N87,'Dist Cust Factors'!$B$12:$B$451,0),0)</f>
        <v>0</v>
      </c>
      <c r="P87" s="200">
        <f ca="1">OFFSET('Dist Cust Factors'!$B$12,$O87-1,P$14)*$L87+OFFSET('Dist Cust Factors'!$B$12,$K87-1,P$14)*$H87</f>
        <v>0</v>
      </c>
      <c r="R87" s="200">
        <f ca="1">OFFSET('Dist Cust Factors'!$B$12,$O87-1,R$14)*$L87+OFFSET('Dist Cust Factors'!$B$12,$K87-1,R$14)*$H87</f>
        <v>0</v>
      </c>
      <c r="S87" s="200"/>
      <c r="T87" s="200">
        <f ca="1">OFFSET('Dist Cust Factors'!$B$12,$O87-1,T$14)*$L87+OFFSET('Dist Cust Factors'!$B$12,$K87-1,T$14)*$H87</f>
        <v>0</v>
      </c>
      <c r="U87" s="200"/>
      <c r="V87" s="200">
        <f ca="1">OFFSET('Dist Cust Factors'!$B$12,$O87-1,V$14)*$L87+OFFSET('Dist Cust Factors'!$B$12,$K87-1,V$14)*$H87</f>
        <v>0</v>
      </c>
      <c r="W87" s="200"/>
      <c r="X87" s="200">
        <f t="shared" ca="1" si="33"/>
        <v>0</v>
      </c>
      <c r="Y87" s="94"/>
      <c r="Z87" s="247" t="str">
        <f t="shared" ca="1" si="11"/>
        <v/>
      </c>
      <c r="AA87" s="94"/>
      <c r="AB87" s="94"/>
      <c r="AC87" s="94"/>
      <c r="AD87" s="94"/>
      <c r="AE87" s="94"/>
      <c r="AF87" s="94"/>
      <c r="AG87" s="94"/>
    </row>
    <row r="88" spans="2:33" ht="13" x14ac:dyDescent="0.3">
      <c r="B88" s="2">
        <f t="shared" si="34"/>
        <v>53</v>
      </c>
      <c r="D88" s="94" t="s">
        <v>459</v>
      </c>
      <c r="F88" s="113">
        <f ca="1">'Distribution Class'!AF88</f>
        <v>0</v>
      </c>
      <c r="H88" s="113"/>
      <c r="K88" s="192">
        <f>_xlfn.IFNA(MATCH(J88,'Dist Cust Factors'!$B$12:$B$447,0),0)</f>
        <v>0</v>
      </c>
      <c r="L88" s="113">
        <f t="shared" ca="1" si="32"/>
        <v>0</v>
      </c>
      <c r="O88" s="192">
        <f>_xlfn.IFNA(MATCH(N88,'Dist Cust Factors'!$B$12:$B$451,0),0)</f>
        <v>0</v>
      </c>
      <c r="P88" s="200">
        <f ca="1">OFFSET('Dist Cust Factors'!$B$12,$O88-1,P$14)*$L88+OFFSET('Dist Cust Factors'!$B$12,$K88-1,P$14)*$H88</f>
        <v>0</v>
      </c>
      <c r="R88" s="200">
        <f ca="1">OFFSET('Dist Cust Factors'!$B$12,$O88-1,R$14)*$L88+OFFSET('Dist Cust Factors'!$B$12,$K88-1,R$14)*$H88</f>
        <v>0</v>
      </c>
      <c r="S88" s="200"/>
      <c r="T88" s="200">
        <f ca="1">OFFSET('Dist Cust Factors'!$B$12,$O88-1,T$14)*$L88+OFFSET('Dist Cust Factors'!$B$12,$K88-1,T$14)*$H88</f>
        <v>0</v>
      </c>
      <c r="U88" s="200"/>
      <c r="V88" s="200">
        <f ca="1">OFFSET('Dist Cust Factors'!$B$12,$O88-1,V$14)*$L88+OFFSET('Dist Cust Factors'!$B$12,$K88-1,V$14)*$H88</f>
        <v>0</v>
      </c>
      <c r="W88" s="200"/>
      <c r="X88" s="200">
        <f t="shared" ca="1" si="33"/>
        <v>0</v>
      </c>
      <c r="Y88" s="94"/>
      <c r="Z88" s="247" t="str">
        <f t="shared" ca="1" si="11"/>
        <v/>
      </c>
    </row>
    <row r="89" spans="2:33" ht="13" x14ac:dyDescent="0.3">
      <c r="B89" s="2">
        <f t="shared" si="34"/>
        <v>54</v>
      </c>
      <c r="D89" s="94" t="s">
        <v>338</v>
      </c>
      <c r="F89" s="79">
        <f ca="1">SUM(F82:F88)</f>
        <v>0</v>
      </c>
      <c r="H89" s="79">
        <f>SUM(H82:H88)</f>
        <v>0</v>
      </c>
      <c r="L89" s="79">
        <f ca="1">SUM(L82:L88)</f>
        <v>0</v>
      </c>
      <c r="P89" s="204">
        <f ca="1">SUM(P82:P88)</f>
        <v>0</v>
      </c>
      <c r="Q89" s="66"/>
      <c r="R89" s="204">
        <f ca="1">SUM(R82:R88)</f>
        <v>0</v>
      </c>
      <c r="S89" s="66"/>
      <c r="T89" s="204">
        <f ca="1">SUM(T82:T88)</f>
        <v>0</v>
      </c>
      <c r="U89" s="66"/>
      <c r="V89" s="204">
        <f ca="1">SUM(V82:V88)</f>
        <v>0</v>
      </c>
      <c r="W89" s="66"/>
      <c r="X89" s="204">
        <f ca="1">SUM(X82:X88)</f>
        <v>0</v>
      </c>
      <c r="Y89" s="94"/>
      <c r="Z89" s="247" t="str">
        <f t="shared" ca="1" si="11"/>
        <v/>
      </c>
    </row>
    <row r="90" spans="2:33" ht="13" x14ac:dyDescent="0.3">
      <c r="Y90" s="94"/>
      <c r="Z90" s="247" t="str">
        <f t="shared" si="11"/>
        <v/>
      </c>
    </row>
    <row r="91" spans="2:33" ht="13" x14ac:dyDescent="0.3">
      <c r="Y91" s="94"/>
      <c r="Z91" s="247" t="str">
        <f t="shared" si="11"/>
        <v/>
      </c>
    </row>
    <row r="92" spans="2:33" ht="13.5" thickBot="1" x14ac:dyDescent="0.35">
      <c r="B92" s="2">
        <f>B89+1</f>
        <v>55</v>
      </c>
      <c r="D92" s="94" t="s">
        <v>339</v>
      </c>
      <c r="F92" s="221">
        <f ca="1">F79+F89</f>
        <v>62103.923649508841</v>
      </c>
      <c r="H92" s="221">
        <f>H79+H89</f>
        <v>0</v>
      </c>
      <c r="L92" s="221">
        <f ca="1">L79+L89</f>
        <v>62103.923649508841</v>
      </c>
      <c r="P92" s="221">
        <f ca="1">P79+P89</f>
        <v>203.37367127095283</v>
      </c>
      <c r="Q92" s="229"/>
      <c r="R92" s="221">
        <f ca="1">R79+R89</f>
        <v>58767.227994195753</v>
      </c>
      <c r="S92" s="113"/>
      <c r="T92" s="221">
        <f ca="1">T79+T89</f>
        <v>3133.3219840421393</v>
      </c>
      <c r="U92" s="113"/>
      <c r="V92" s="221">
        <f ca="1">V79+V89</f>
        <v>0</v>
      </c>
      <c r="W92" s="113"/>
      <c r="X92" s="221">
        <f ca="1">X79+X89</f>
        <v>62103.923649508841</v>
      </c>
      <c r="Y92" s="94"/>
      <c r="Z92" s="247" t="str">
        <f t="shared" ca="1" si="11"/>
        <v/>
      </c>
    </row>
    <row r="93" spans="2:33" ht="13.5" thickTop="1" x14ac:dyDescent="0.3">
      <c r="Y93" s="94"/>
      <c r="Z93" s="247" t="str">
        <f t="shared" si="11"/>
        <v/>
      </c>
    </row>
    <row r="94" spans="2:33" ht="13" x14ac:dyDescent="0.3">
      <c r="Y94" s="94"/>
      <c r="Z94" s="247" t="str">
        <f t="shared" si="11"/>
        <v/>
      </c>
    </row>
    <row r="95" spans="2:33" ht="13" x14ac:dyDescent="0.3">
      <c r="B95" s="2">
        <f>B92+1</f>
        <v>56</v>
      </c>
      <c r="D95" s="73" t="s">
        <v>38</v>
      </c>
      <c r="F95" s="226">
        <f>Function!$F$95</f>
        <v>5.8701360377304071E-2</v>
      </c>
      <c r="H95" s="226">
        <f>Function!$F$95</f>
        <v>5.8701360377304071E-2</v>
      </c>
      <c r="L95" s="226">
        <f>Function!$F$95</f>
        <v>5.8701360377304071E-2</v>
      </c>
      <c r="P95" s="228">
        <f>$F$95</f>
        <v>5.8701360377304071E-2</v>
      </c>
      <c r="R95" s="228">
        <f>$F$95</f>
        <v>5.8701360377304071E-2</v>
      </c>
      <c r="T95" s="228">
        <f>$F$95</f>
        <v>5.8701360377304071E-2</v>
      </c>
      <c r="V95" s="228">
        <f>$F$95</f>
        <v>5.8701360377304071E-2</v>
      </c>
      <c r="X95" s="228">
        <f>V95</f>
        <v>5.8701360377304071E-2</v>
      </c>
      <c r="Y95" s="94"/>
      <c r="Z95" s="247"/>
    </row>
    <row r="96" spans="2:33" ht="13" x14ac:dyDescent="0.3">
      <c r="Y96" s="94"/>
      <c r="Z96" s="247" t="str">
        <f t="shared" ref="Z96:Z118" si="35">IF(ROUND(F96,4)=ROUND(X96,4), "", "check")</f>
        <v/>
      </c>
    </row>
    <row r="97" spans="2:38" ht="13" x14ac:dyDescent="0.3">
      <c r="B97" s="2">
        <f>B95+1</f>
        <v>57</v>
      </c>
      <c r="D97" s="73" t="s">
        <v>340</v>
      </c>
      <c r="F97" s="113">
        <f ca="1">F92*F95</f>
        <v>3645.5848029943954</v>
      </c>
      <c r="H97" s="113">
        <f>H92*H95</f>
        <v>0</v>
      </c>
      <c r="L97" s="113">
        <f ca="1">L92*L95</f>
        <v>3645.5848029943954</v>
      </c>
      <c r="P97" s="113">
        <f ca="1">P92*P95</f>
        <v>11.938311168531573</v>
      </c>
      <c r="R97" s="113">
        <f ca="1">R92*R95</f>
        <v>3449.7162288624772</v>
      </c>
      <c r="S97" s="200"/>
      <c r="T97" s="113">
        <f ca="1">T92*T95</f>
        <v>183.93026296338701</v>
      </c>
      <c r="U97" s="200"/>
      <c r="V97" s="113">
        <f ca="1">V92*V95</f>
        <v>0</v>
      </c>
      <c r="W97" s="200"/>
      <c r="X97" s="200">
        <f t="shared" ref="X97" ca="1" si="36">P97+R97+T97+V97</f>
        <v>3645.5848029943959</v>
      </c>
      <c r="Y97" s="94"/>
      <c r="Z97" s="247" t="str">
        <f t="shared" ca="1" si="35"/>
        <v/>
      </c>
    </row>
    <row r="98" spans="2:38" ht="13" x14ac:dyDescent="0.3">
      <c r="F98" s="113"/>
      <c r="H98" s="113"/>
      <c r="L98" s="113"/>
      <c r="X98" s="200"/>
      <c r="Y98" s="94"/>
      <c r="Z98" s="247" t="str">
        <f t="shared" si="35"/>
        <v/>
      </c>
      <c r="AA98" s="94"/>
      <c r="AB98" s="94"/>
      <c r="AC98" s="94"/>
      <c r="AD98" s="94"/>
      <c r="AE98" s="94"/>
      <c r="AF98" s="94"/>
    </row>
    <row r="99" spans="2:38" ht="13" x14ac:dyDescent="0.3">
      <c r="F99" s="113"/>
      <c r="H99" s="113"/>
      <c r="L99" s="113"/>
      <c r="X99" s="200"/>
      <c r="Y99" s="94"/>
      <c r="Z99" s="247" t="str">
        <f t="shared" si="35"/>
        <v/>
      </c>
    </row>
    <row r="100" spans="2:38" ht="13" x14ac:dyDescent="0.3">
      <c r="D100" s="198" t="s">
        <v>70</v>
      </c>
      <c r="Y100" s="94"/>
      <c r="Z100" s="247" t="str">
        <f t="shared" si="35"/>
        <v/>
      </c>
    </row>
    <row r="101" spans="2:38" ht="13" x14ac:dyDescent="0.3">
      <c r="Y101" s="94"/>
      <c r="Z101" s="247" t="str">
        <f t="shared" si="35"/>
        <v/>
      </c>
    </row>
    <row r="102" spans="2:38" ht="13" x14ac:dyDescent="0.3">
      <c r="B102" s="2">
        <f>B97+1</f>
        <v>58</v>
      </c>
      <c r="D102" s="73" t="s">
        <v>220</v>
      </c>
      <c r="F102" s="113">
        <f ca="1">'Distribution Class'!AF102</f>
        <v>0</v>
      </c>
      <c r="H102" s="113"/>
      <c r="K102" s="192">
        <f>_xlfn.IFNA(MATCH(J102,'Dist Cust Factors'!$B$12:$B$447,0),0)</f>
        <v>0</v>
      </c>
      <c r="L102" s="113">
        <f t="shared" ref="L102:L103" ca="1" si="37">F102-H102</f>
        <v>0</v>
      </c>
      <c r="O102" s="192">
        <f>_xlfn.IFNA(MATCH(N102,'Dist Cust Factors'!$B$12:$B$451,0),0)</f>
        <v>0</v>
      </c>
      <c r="P102" s="200">
        <f ca="1">OFFSET('Dist Cust Factors'!$B$12,$O102-1,P$14)*$L102+OFFSET('Dist Cust Factors'!$B$12,$K102-1,P$14)*$H102</f>
        <v>0</v>
      </c>
      <c r="R102" s="200">
        <f ca="1">OFFSET('Dist Cust Factors'!$B$12,$O102-1,R$14)*$L102+OFFSET('Dist Cust Factors'!$B$12,$K102-1,R$14)*$H102</f>
        <v>0</v>
      </c>
      <c r="S102" s="200"/>
      <c r="T102" s="200">
        <f ca="1">OFFSET('Dist Cust Factors'!$B$12,$O102-1,T$14)*$L102+OFFSET('Dist Cust Factors'!$B$12,$K102-1,T$14)*$H102</f>
        <v>0</v>
      </c>
      <c r="U102" s="200"/>
      <c r="V102" s="200">
        <f ca="1">OFFSET('Dist Cust Factors'!$B$12,$O102-1,V$14)*$L102+OFFSET('Dist Cust Factors'!$B$12,$K102-1,V$14)*$H102</f>
        <v>0</v>
      </c>
      <c r="W102" s="200"/>
      <c r="X102" s="200">
        <f t="shared" ref="X102:X103" ca="1" si="38">P102+R102+T102+V102</f>
        <v>0</v>
      </c>
      <c r="Y102" s="94"/>
      <c r="Z102" s="247" t="str">
        <f t="shared" ca="1" si="35"/>
        <v/>
      </c>
    </row>
    <row r="103" spans="2:38" ht="13" x14ac:dyDescent="0.3">
      <c r="B103" s="2">
        <f>B102+1</f>
        <v>59</v>
      </c>
      <c r="D103" s="73" t="s">
        <v>221</v>
      </c>
      <c r="F103" s="113">
        <f ca="1">'Distribution Class'!AF103</f>
        <v>10289.897521088586</v>
      </c>
      <c r="H103" s="105"/>
      <c r="K103" s="192">
        <f>_xlfn.IFNA(MATCH(J103,'Dist Cust Factors'!$B$12:$B$447,0),0)</f>
        <v>0</v>
      </c>
      <c r="L103" s="113">
        <f t="shared" ca="1" si="37"/>
        <v>10289.897521088586</v>
      </c>
      <c r="N103" s="91" t="s">
        <v>355</v>
      </c>
      <c r="O103" s="192">
        <f>_xlfn.IFNA(MATCH(N103,'Dist Cust Factors'!$B$12:$B$451,0),0)</f>
        <v>11</v>
      </c>
      <c r="P103" s="200">
        <f ca="1">OFFSET('Dist Cust Factors'!$B$12,$O103-1,P$14)*$L103+OFFSET('Dist Cust Factors'!$B$12,$K103-1,P$14)*$H103</f>
        <v>33.696650918161637</v>
      </c>
      <c r="R103" s="200">
        <f ca="1">OFFSET('Dist Cust Factors'!$B$12,$O103-1,R$14)*$L103+OFFSET('Dist Cust Factors'!$B$12,$K103-1,R$14)*$H103</f>
        <v>9737.0458760620513</v>
      </c>
      <c r="S103" s="200"/>
      <c r="T103" s="200">
        <f ca="1">OFFSET('Dist Cust Factors'!$B$12,$O103-1,T$14)*$L103+OFFSET('Dist Cust Factors'!$B$12,$K103-1,T$14)*$H103</f>
        <v>519.15499410837253</v>
      </c>
      <c r="U103" s="200"/>
      <c r="V103" s="200">
        <f ca="1">OFFSET('Dist Cust Factors'!$B$12,$O103-1,V$14)*$L103+OFFSET('Dist Cust Factors'!$B$12,$K103-1,V$14)*$H103</f>
        <v>0</v>
      </c>
      <c r="W103" s="200"/>
      <c r="X103" s="200">
        <f t="shared" ca="1" si="38"/>
        <v>10289.897521088586</v>
      </c>
      <c r="Y103" s="94"/>
      <c r="Z103" s="247" t="str">
        <f t="shared" ca="1" si="35"/>
        <v/>
      </c>
    </row>
    <row r="104" spans="2:38" ht="13" x14ac:dyDescent="0.3">
      <c r="B104" s="2">
        <f>B103+1</f>
        <v>60</v>
      </c>
      <c r="D104" s="73" t="s">
        <v>222</v>
      </c>
      <c r="F104" s="79">
        <f ca="1">F102+F103</f>
        <v>10289.897521088586</v>
      </c>
      <c r="H104" s="79">
        <f>H102+H103</f>
        <v>0</v>
      </c>
      <c r="L104" s="79">
        <f ca="1">L102+L103</f>
        <v>10289.897521088586</v>
      </c>
      <c r="P104" s="79">
        <f ca="1">P102+P103</f>
        <v>33.696650918161637</v>
      </c>
      <c r="R104" s="79">
        <f ca="1">R102+R103</f>
        <v>9737.0458760620513</v>
      </c>
      <c r="T104" s="79">
        <f ca="1">T102+T103</f>
        <v>519.15499410837253</v>
      </c>
      <c r="V104" s="79">
        <f ca="1">V102+V103</f>
        <v>0</v>
      </c>
      <c r="X104" s="79">
        <f ca="1">X102+X103</f>
        <v>10289.897521088586</v>
      </c>
      <c r="Y104" s="94"/>
      <c r="Z104" s="247" t="str">
        <f t="shared" ca="1" si="35"/>
        <v/>
      </c>
    </row>
    <row r="105" spans="2:38" ht="13" x14ac:dyDescent="0.3">
      <c r="Y105" s="94"/>
      <c r="Z105" s="247" t="str">
        <f t="shared" si="35"/>
        <v/>
      </c>
    </row>
    <row r="106" spans="2:38" ht="13" x14ac:dyDescent="0.3">
      <c r="D106" s="198" t="s">
        <v>69</v>
      </c>
      <c r="F106" s="113"/>
      <c r="H106" s="113"/>
      <c r="L106" s="113"/>
      <c r="Y106" s="94"/>
      <c r="Z106" s="247" t="str">
        <f t="shared" si="35"/>
        <v/>
      </c>
    </row>
    <row r="107" spans="2:38" ht="13" x14ac:dyDescent="0.3">
      <c r="F107" s="113"/>
      <c r="H107" s="113"/>
      <c r="L107" s="113"/>
      <c r="Y107" s="94"/>
      <c r="Z107" s="247" t="str">
        <f t="shared" si="35"/>
        <v/>
      </c>
    </row>
    <row r="108" spans="2:38" ht="13" x14ac:dyDescent="0.3">
      <c r="B108" s="2">
        <f>B104+1</f>
        <v>61</v>
      </c>
      <c r="D108" s="73" t="s">
        <v>39</v>
      </c>
      <c r="F108" s="113">
        <f ca="1">'Distribution Class'!AF108</f>
        <v>464.42773088687704</v>
      </c>
      <c r="H108" s="113"/>
      <c r="K108" s="192">
        <f>_xlfn.IFNA(MATCH(J108,'Dist Cust Factors'!$B$12:$B$447,0),0)</f>
        <v>0</v>
      </c>
      <c r="L108" s="113">
        <f t="shared" ref="L108:L109" ca="1" si="39">F108-H108</f>
        <v>464.42773088687704</v>
      </c>
      <c r="N108" s="91" t="s">
        <v>355</v>
      </c>
      <c r="O108" s="192">
        <f>_xlfn.IFNA(MATCH(N108,'Dist Cust Factors'!$B$12:$B$451,0),0)</f>
        <v>11</v>
      </c>
      <c r="P108" s="200">
        <f ca="1">OFFSET('Dist Cust Factors'!$B$12,$O108-1,P$14)*$L108+OFFSET('Dist Cust Factors'!$B$12,$K108-1,P$14)*$H108</f>
        <v>1.5208760915583353</v>
      </c>
      <c r="R108" s="200">
        <f ca="1">OFFSET('Dist Cust Factors'!$B$12,$O108-1,R$14)*$L108+OFFSET('Dist Cust Factors'!$B$12,$K108-1,R$14)*$H108</f>
        <v>439.47513689937279</v>
      </c>
      <c r="S108" s="200"/>
      <c r="T108" s="200">
        <f ca="1">OFFSET('Dist Cust Factors'!$B$12,$O108-1,T$14)*$L108+OFFSET('Dist Cust Factors'!$B$12,$K108-1,T$14)*$H108</f>
        <v>23.431717895945969</v>
      </c>
      <c r="U108" s="200"/>
      <c r="V108" s="200">
        <f ca="1">OFFSET('Dist Cust Factors'!$B$12,$O108-1,V$14)*$L108+OFFSET('Dist Cust Factors'!$B$12,$K108-1,V$14)*$H108</f>
        <v>0</v>
      </c>
      <c r="W108" s="200"/>
      <c r="X108" s="200">
        <f t="shared" ref="X108:X109" ca="1" si="40">P108+R108+T108+V108</f>
        <v>464.42773088687704</v>
      </c>
      <c r="Y108" s="94"/>
      <c r="Z108" s="247" t="str">
        <f t="shared" ca="1" si="35"/>
        <v/>
      </c>
    </row>
    <row r="109" spans="2:38" ht="13" x14ac:dyDescent="0.3">
      <c r="B109" s="2">
        <f>B108+1</f>
        <v>62</v>
      </c>
      <c r="D109" s="73" t="s">
        <v>40</v>
      </c>
      <c r="F109" s="113">
        <f ca="1">'Distribution Class'!AF109</f>
        <v>0</v>
      </c>
      <c r="H109" s="113"/>
      <c r="K109" s="192">
        <f>_xlfn.IFNA(MATCH(J109,'Dist Cust Factors'!$B$12:$B$447,0),0)</f>
        <v>0</v>
      </c>
      <c r="L109" s="113">
        <f t="shared" ca="1" si="39"/>
        <v>0</v>
      </c>
      <c r="O109" s="192">
        <f>_xlfn.IFNA(MATCH(N109,'Dist Cust Factors'!$B$12:$B$451,0),0)</f>
        <v>0</v>
      </c>
      <c r="P109" s="200">
        <f ca="1">OFFSET('Dist Cust Factors'!$B$12,$O109-1,P$14)*$L109+OFFSET('Dist Cust Factors'!$B$12,$K109-1,P$14)*$H109</f>
        <v>0</v>
      </c>
      <c r="R109" s="200">
        <f ca="1">OFFSET('Dist Cust Factors'!$B$12,$O109-1,R$14)*$L109+OFFSET('Dist Cust Factors'!$B$12,$K109-1,R$14)*$H109</f>
        <v>0</v>
      </c>
      <c r="S109" s="200"/>
      <c r="T109" s="200">
        <f ca="1">OFFSET('Dist Cust Factors'!$B$12,$O109-1,T$14)*$L109+OFFSET('Dist Cust Factors'!$B$12,$K109-1,T$14)*$H109</f>
        <v>0</v>
      </c>
      <c r="U109" s="200"/>
      <c r="V109" s="200">
        <f ca="1">OFFSET('Dist Cust Factors'!$B$12,$O109-1,V$14)*$L109+OFFSET('Dist Cust Factors'!$B$12,$K109-1,V$14)*$H109</f>
        <v>0</v>
      </c>
      <c r="W109" s="200"/>
      <c r="X109" s="200">
        <f t="shared" ca="1" si="40"/>
        <v>0</v>
      </c>
      <c r="Y109" s="94"/>
      <c r="Z109" s="247" t="str">
        <f t="shared" ca="1" si="35"/>
        <v/>
      </c>
    </row>
    <row r="110" spans="2:38" ht="13" x14ac:dyDescent="0.3">
      <c r="B110" s="2">
        <f>B109+1</f>
        <v>63</v>
      </c>
      <c r="D110" s="73" t="s">
        <v>328</v>
      </c>
      <c r="F110" s="79">
        <f ca="1">F108+F109</f>
        <v>464.42773088687704</v>
      </c>
      <c r="H110" s="79">
        <f>H108+H109</f>
        <v>0</v>
      </c>
      <c r="L110" s="79">
        <f ca="1">L108+L109</f>
        <v>464.42773088687704</v>
      </c>
      <c r="P110" s="79">
        <f ca="1">P108+P109</f>
        <v>1.5208760915583353</v>
      </c>
      <c r="R110" s="79">
        <f ca="1">R108+R109</f>
        <v>439.47513689937279</v>
      </c>
      <c r="T110" s="79">
        <f ca="1">T108+T109</f>
        <v>23.431717895945969</v>
      </c>
      <c r="V110" s="79">
        <f ca="1">V108+V109</f>
        <v>0</v>
      </c>
      <c r="X110" s="79">
        <f ca="1">X108+X109</f>
        <v>464.42773088687704</v>
      </c>
      <c r="Y110" s="94"/>
      <c r="Z110" s="247" t="str">
        <f t="shared" ca="1" si="35"/>
        <v/>
      </c>
    </row>
    <row r="111" spans="2:38" ht="13" x14ac:dyDescent="0.3">
      <c r="Y111" s="94"/>
      <c r="Z111" s="247" t="str">
        <f t="shared" si="35"/>
        <v/>
      </c>
    </row>
    <row r="112" spans="2:38" ht="13" x14ac:dyDescent="0.3">
      <c r="Y112" s="94"/>
      <c r="Z112" s="247" t="str">
        <f t="shared" si="35"/>
        <v/>
      </c>
      <c r="AE112" s="2"/>
      <c r="AG112" s="2"/>
      <c r="AI112" s="2"/>
      <c r="AK112" s="2"/>
      <c r="AL112" s="54"/>
    </row>
    <row r="113" spans="2:38" ht="13" x14ac:dyDescent="0.3">
      <c r="D113" s="198" t="s">
        <v>74</v>
      </c>
      <c r="Y113" s="94"/>
      <c r="Z113" s="247" t="str">
        <f t="shared" si="35"/>
        <v/>
      </c>
      <c r="AB113" s="56" t="s">
        <v>206</v>
      </c>
      <c r="AC113" s="56" t="s">
        <v>214</v>
      </c>
      <c r="AE113" s="2" t="s">
        <v>315</v>
      </c>
      <c r="AF113" s="2"/>
      <c r="AG113" s="2" t="s">
        <v>288</v>
      </c>
      <c r="AH113" s="2"/>
      <c r="AI113" s="2" t="s">
        <v>289</v>
      </c>
      <c r="AJ113" s="2"/>
      <c r="AK113" s="2" t="s">
        <v>368</v>
      </c>
      <c r="AL113" s="2"/>
    </row>
    <row r="114" spans="2:38" ht="13" x14ac:dyDescent="0.3">
      <c r="Y114" s="94"/>
      <c r="Z114" s="247" t="str">
        <f t="shared" si="35"/>
        <v/>
      </c>
      <c r="AB114" s="57" t="s">
        <v>212</v>
      </c>
      <c r="AC114" s="57" t="s">
        <v>213</v>
      </c>
      <c r="AE114" s="57" t="s">
        <v>316</v>
      </c>
      <c r="AF114" s="2"/>
      <c r="AG114" s="57" t="s">
        <v>356</v>
      </c>
      <c r="AH114" s="2"/>
      <c r="AI114" s="57" t="s">
        <v>356</v>
      </c>
      <c r="AJ114" s="2"/>
      <c r="AK114" s="57" t="s">
        <v>356</v>
      </c>
      <c r="AL114" s="2"/>
    </row>
    <row r="115" spans="2:38" ht="13" x14ac:dyDescent="0.3">
      <c r="B115" s="2">
        <f>B110+1</f>
        <v>64</v>
      </c>
      <c r="D115" s="94" t="s">
        <v>7</v>
      </c>
      <c r="Z115" s="247" t="str">
        <f t="shared" si="35"/>
        <v/>
      </c>
    </row>
    <row r="116" spans="2:38" ht="13" x14ac:dyDescent="0.3">
      <c r="B116" s="248">
        <f>B115+0.1</f>
        <v>64.099999999999994</v>
      </c>
      <c r="D116" s="249" t="s">
        <v>155</v>
      </c>
      <c r="F116" s="113">
        <f ca="1">'Distribution Class'!AF116</f>
        <v>0</v>
      </c>
      <c r="H116" s="200"/>
      <c r="K116" s="192">
        <f>_xlfn.IFNA(MATCH(J116,'Dist Cust Factors'!$B$12:$B$447,0),0)</f>
        <v>0</v>
      </c>
      <c r="L116" s="113">
        <f t="shared" ref="L116:L122" ca="1" si="41">F116-H116</f>
        <v>0</v>
      </c>
      <c r="O116" s="192">
        <f>_xlfn.IFNA(MATCH(N116,'Dist Cust Factors'!$B$12:$B$451,0),0)</f>
        <v>0</v>
      </c>
      <c r="P116" s="200">
        <f ca="1">OFFSET('Dist Cust Factors'!$B$12,$O116-1,P$14)*$L116+OFFSET('Dist Cust Factors'!$B$12,$K116-1,P$14)*$H116</f>
        <v>0</v>
      </c>
      <c r="R116" s="200">
        <f ca="1">OFFSET('Dist Cust Factors'!$B$12,$O116-1,R$14)*$L116+OFFSET('Dist Cust Factors'!$B$12,$K116-1,R$14)*$H116</f>
        <v>0</v>
      </c>
      <c r="S116" s="200"/>
      <c r="T116" s="200">
        <f ca="1">OFFSET('Dist Cust Factors'!$B$12,$O116-1,T$14)*$L116+OFFSET('Dist Cust Factors'!$B$12,$K116-1,T$14)*$H116</f>
        <v>0</v>
      </c>
      <c r="U116" s="200"/>
      <c r="V116" s="200">
        <f ca="1">OFFSET('Dist Cust Factors'!$B$12,$O116-1,V$14)*$L116+OFFSET('Dist Cust Factors'!$B$12,$K116-1,V$14)*$H116</f>
        <v>0</v>
      </c>
      <c r="W116" s="200"/>
      <c r="X116" s="200">
        <f t="shared" ref="X116:X160" ca="1" si="42">P116+R116+T116+V116</f>
        <v>0</v>
      </c>
      <c r="Z116" s="247" t="str">
        <f t="shared" ca="1" si="35"/>
        <v/>
      </c>
      <c r="AB116" s="235">
        <f ca="1">'Distribution Class'!BH116</f>
        <v>0</v>
      </c>
      <c r="AC116" s="242">
        <f t="shared" ref="AC116:AC122" ca="1" si="43">IFERROR(AB116/F116,0)</f>
        <v>0</v>
      </c>
      <c r="AE116" s="199">
        <f t="shared" ref="AE116:AE158" ca="1" si="44">$AC116*P116</f>
        <v>0</v>
      </c>
      <c r="AG116" s="199">
        <f t="shared" ref="AG116:AG158" ca="1" si="45">$AC116*R116</f>
        <v>0</v>
      </c>
      <c r="AI116" s="199">
        <f t="shared" ref="AI116:AI158" ca="1" si="46">$AC116*T116</f>
        <v>0</v>
      </c>
      <c r="AK116" s="199">
        <f t="shared" ref="AK116:AK158" ca="1" si="47">$AC116*V116</f>
        <v>0</v>
      </c>
    </row>
    <row r="117" spans="2:38" ht="13" x14ac:dyDescent="0.3">
      <c r="B117" s="248">
        <f t="shared" ref="B117:B122" si="48">B116+0.1</f>
        <v>64.199999999999989</v>
      </c>
      <c r="D117" s="249" t="s">
        <v>128</v>
      </c>
      <c r="F117" s="113">
        <f ca="1">'Distribution Class'!AF117</f>
        <v>0</v>
      </c>
      <c r="H117" s="200"/>
      <c r="K117" s="192">
        <f>_xlfn.IFNA(MATCH(J117,'Dist Cust Factors'!$B$12:$B$447,0),0)</f>
        <v>0</v>
      </c>
      <c r="L117" s="113">
        <f t="shared" ca="1" si="41"/>
        <v>0</v>
      </c>
      <c r="O117" s="192">
        <f>_xlfn.IFNA(MATCH(N117,'Dist Cust Factors'!$B$12:$B$451,0),0)</f>
        <v>0</v>
      </c>
      <c r="P117" s="200">
        <f ca="1">OFFSET('Dist Cust Factors'!$B$12,$O117-1,P$14)*$L117+OFFSET('Dist Cust Factors'!$B$12,$K117-1,P$14)*$H117</f>
        <v>0</v>
      </c>
      <c r="R117" s="200">
        <f ca="1">OFFSET('Dist Cust Factors'!$B$12,$O117-1,R$14)*$L117+OFFSET('Dist Cust Factors'!$B$12,$K117-1,R$14)*$H117</f>
        <v>0</v>
      </c>
      <c r="S117" s="200"/>
      <c r="T117" s="200">
        <f ca="1">OFFSET('Dist Cust Factors'!$B$12,$O117-1,T$14)*$L117+OFFSET('Dist Cust Factors'!$B$12,$K117-1,T$14)*$H117</f>
        <v>0</v>
      </c>
      <c r="U117" s="200"/>
      <c r="V117" s="200">
        <f ca="1">OFFSET('Dist Cust Factors'!$B$12,$O117-1,V$14)*$L117+OFFSET('Dist Cust Factors'!$B$12,$K117-1,V$14)*$H117</f>
        <v>0</v>
      </c>
      <c r="W117" s="200"/>
      <c r="X117" s="200">
        <f t="shared" ca="1" si="42"/>
        <v>0</v>
      </c>
      <c r="Z117" s="247" t="str">
        <f t="shared" ca="1" si="35"/>
        <v/>
      </c>
      <c r="AB117" s="235">
        <f ca="1">'Distribution Class'!BH117</f>
        <v>0</v>
      </c>
      <c r="AC117" s="242">
        <f t="shared" ca="1" si="43"/>
        <v>0</v>
      </c>
      <c r="AE117" s="199">
        <f t="shared" ca="1" si="44"/>
        <v>0</v>
      </c>
      <c r="AG117" s="199">
        <f t="shared" ca="1" si="45"/>
        <v>0</v>
      </c>
      <c r="AI117" s="199">
        <f t="shared" ca="1" si="46"/>
        <v>0</v>
      </c>
      <c r="AK117" s="199">
        <f t="shared" ca="1" si="47"/>
        <v>0</v>
      </c>
    </row>
    <row r="118" spans="2:38" ht="13" x14ac:dyDescent="0.3">
      <c r="B118" s="248">
        <f t="shared" si="48"/>
        <v>64.299999999999983</v>
      </c>
      <c r="D118" s="249" t="s">
        <v>129</v>
      </c>
      <c r="F118" s="113">
        <f ca="1">'Distribution Class'!AF118</f>
        <v>0</v>
      </c>
      <c r="H118" s="200"/>
      <c r="K118" s="192">
        <f>_xlfn.IFNA(MATCH(J118,'Dist Cust Factors'!$B$12:$B$447,0),0)</f>
        <v>0</v>
      </c>
      <c r="L118" s="113">
        <f t="shared" ca="1" si="41"/>
        <v>0</v>
      </c>
      <c r="O118" s="192">
        <f>_xlfn.IFNA(MATCH(N118,'Dist Cust Factors'!$B$12:$B$451,0),0)</f>
        <v>0</v>
      </c>
      <c r="P118" s="200">
        <f ca="1">OFFSET('Dist Cust Factors'!$B$12,$O118-1,P$14)*$L118+OFFSET('Dist Cust Factors'!$B$12,$K118-1,P$14)*$H118</f>
        <v>0</v>
      </c>
      <c r="R118" s="200">
        <f ca="1">OFFSET('Dist Cust Factors'!$B$12,$O118-1,R$14)*$L118+OFFSET('Dist Cust Factors'!$B$12,$K118-1,R$14)*$H118</f>
        <v>0</v>
      </c>
      <c r="S118" s="200"/>
      <c r="T118" s="200">
        <f ca="1">OFFSET('Dist Cust Factors'!$B$12,$O118-1,T$14)*$L118+OFFSET('Dist Cust Factors'!$B$12,$K118-1,T$14)*$H118</f>
        <v>0</v>
      </c>
      <c r="U118" s="200"/>
      <c r="V118" s="200">
        <f ca="1">OFFSET('Dist Cust Factors'!$B$12,$O118-1,V$14)*$L118+OFFSET('Dist Cust Factors'!$B$12,$K118-1,V$14)*$H118</f>
        <v>0</v>
      </c>
      <c r="W118" s="200"/>
      <c r="X118" s="200">
        <f t="shared" ca="1" si="42"/>
        <v>0</v>
      </c>
      <c r="Z118" s="247" t="str">
        <f t="shared" ca="1" si="35"/>
        <v/>
      </c>
      <c r="AB118" s="235">
        <f ca="1">'Distribution Class'!BH118</f>
        <v>0</v>
      </c>
      <c r="AC118" s="242">
        <f t="shared" ca="1" si="43"/>
        <v>0</v>
      </c>
      <c r="AE118" s="199">
        <f t="shared" ca="1" si="44"/>
        <v>0</v>
      </c>
      <c r="AG118" s="199">
        <f t="shared" ca="1" si="45"/>
        <v>0</v>
      </c>
      <c r="AI118" s="199">
        <f t="shared" ca="1" si="46"/>
        <v>0</v>
      </c>
      <c r="AK118" s="199">
        <f t="shared" ca="1" si="47"/>
        <v>0</v>
      </c>
    </row>
    <row r="119" spans="2:38" ht="13" x14ac:dyDescent="0.3">
      <c r="B119" s="248">
        <f t="shared" si="48"/>
        <v>64.399999999999977</v>
      </c>
      <c r="D119" s="249" t="s">
        <v>253</v>
      </c>
      <c r="F119" s="113">
        <f ca="1">'Distribution Class'!AF119</f>
        <v>0</v>
      </c>
      <c r="H119" s="200"/>
      <c r="K119" s="192">
        <f>_xlfn.IFNA(MATCH(J119,'Dist Cust Factors'!$B$12:$B$447,0),0)</f>
        <v>0</v>
      </c>
      <c r="L119" s="113">
        <f t="shared" ca="1" si="41"/>
        <v>0</v>
      </c>
      <c r="O119" s="192">
        <f>_xlfn.IFNA(MATCH(N119,'Dist Cust Factors'!$B$12:$B$451,0),0)</f>
        <v>0</v>
      </c>
      <c r="P119" s="200">
        <f ca="1">OFFSET('Dist Cust Factors'!$B$12,$O119-1,P$14)*$L119+OFFSET('Dist Cust Factors'!$B$12,$K119-1,P$14)*$H119</f>
        <v>0</v>
      </c>
      <c r="R119" s="200">
        <f ca="1">OFFSET('Dist Cust Factors'!$B$12,$O119-1,R$14)*$L119+OFFSET('Dist Cust Factors'!$B$12,$K119-1,R$14)*$H119</f>
        <v>0</v>
      </c>
      <c r="S119" s="200"/>
      <c r="T119" s="200">
        <f ca="1">OFFSET('Dist Cust Factors'!$B$12,$O119-1,T$14)*$L119+OFFSET('Dist Cust Factors'!$B$12,$K119-1,T$14)*$H119</f>
        <v>0</v>
      </c>
      <c r="U119" s="200"/>
      <c r="V119" s="200">
        <f ca="1">OFFSET('Dist Cust Factors'!$B$12,$O119-1,V$14)*$L119+OFFSET('Dist Cust Factors'!$B$12,$K119-1,V$14)*$H119</f>
        <v>0</v>
      </c>
      <c r="W119" s="200"/>
      <c r="X119" s="200">
        <f t="shared" ca="1" si="42"/>
        <v>0</v>
      </c>
      <c r="Z119" s="247"/>
      <c r="AB119" s="235">
        <f ca="1">'Distribution Class'!BH119</f>
        <v>0</v>
      </c>
      <c r="AC119" s="242">
        <f t="shared" ca="1" si="43"/>
        <v>0</v>
      </c>
      <c r="AE119" s="199">
        <f t="shared" ca="1" si="44"/>
        <v>0</v>
      </c>
      <c r="AG119" s="199">
        <f t="shared" ca="1" si="45"/>
        <v>0</v>
      </c>
      <c r="AI119" s="199">
        <f t="shared" ca="1" si="46"/>
        <v>0</v>
      </c>
      <c r="AK119" s="199">
        <f t="shared" ca="1" si="47"/>
        <v>0</v>
      </c>
    </row>
    <row r="120" spans="2:38" ht="13" x14ac:dyDescent="0.3">
      <c r="B120" s="248">
        <f t="shared" si="48"/>
        <v>64.499999999999972</v>
      </c>
      <c r="D120" s="249" t="s">
        <v>382</v>
      </c>
      <c r="F120" s="113">
        <f ca="1">'Distribution Class'!AF120</f>
        <v>0</v>
      </c>
      <c r="H120" s="200"/>
      <c r="K120" s="192">
        <f>_xlfn.IFNA(MATCH(J120,'Dist Cust Factors'!$B$12:$B$447,0),0)</f>
        <v>0</v>
      </c>
      <c r="L120" s="113">
        <f t="shared" ca="1" si="41"/>
        <v>0</v>
      </c>
      <c r="O120" s="192">
        <f>_xlfn.IFNA(MATCH(N120,'Dist Cust Factors'!$B$12:$B$451,0),0)</f>
        <v>0</v>
      </c>
      <c r="P120" s="200">
        <f ca="1">OFFSET('Dist Cust Factors'!$B$12,$O120-1,P$14)*$L120+OFFSET('Dist Cust Factors'!$B$12,$K120-1,P$14)*$H120</f>
        <v>0</v>
      </c>
      <c r="R120" s="200">
        <f ca="1">OFFSET('Dist Cust Factors'!$B$12,$O120-1,R$14)*$L120+OFFSET('Dist Cust Factors'!$B$12,$K120-1,R$14)*$H120</f>
        <v>0</v>
      </c>
      <c r="S120" s="200"/>
      <c r="T120" s="200">
        <f ca="1">OFFSET('Dist Cust Factors'!$B$12,$O120-1,T$14)*$L120+OFFSET('Dist Cust Factors'!$B$12,$K120-1,T$14)*$H120</f>
        <v>0</v>
      </c>
      <c r="U120" s="200"/>
      <c r="V120" s="200">
        <f ca="1">OFFSET('Dist Cust Factors'!$B$12,$O120-1,V$14)*$L120+OFFSET('Dist Cust Factors'!$B$12,$K120-1,V$14)*$H120</f>
        <v>0</v>
      </c>
      <c r="W120" s="200"/>
      <c r="X120" s="200">
        <f t="shared" ca="1" si="42"/>
        <v>0</v>
      </c>
      <c r="Z120" s="247" t="str">
        <f ca="1">IF(ROUND(F120,4)=ROUND(X120,4), "", "check")</f>
        <v/>
      </c>
      <c r="AB120" s="235">
        <f ca="1">'Distribution Class'!BH120</f>
        <v>0</v>
      </c>
      <c r="AC120" s="242">
        <f t="shared" ca="1" si="43"/>
        <v>0</v>
      </c>
      <c r="AE120" s="199">
        <f t="shared" ca="1" si="44"/>
        <v>0</v>
      </c>
      <c r="AG120" s="199">
        <f t="shared" ca="1" si="45"/>
        <v>0</v>
      </c>
      <c r="AI120" s="199">
        <f t="shared" ca="1" si="46"/>
        <v>0</v>
      </c>
      <c r="AK120" s="199">
        <f t="shared" ca="1" si="47"/>
        <v>0</v>
      </c>
    </row>
    <row r="121" spans="2:38" ht="13" x14ac:dyDescent="0.3">
      <c r="B121" s="248">
        <f t="shared" si="48"/>
        <v>64.599999999999966</v>
      </c>
      <c r="D121" s="249" t="s">
        <v>228</v>
      </c>
      <c r="F121" s="113">
        <f ca="1">'Distribution Class'!AF121</f>
        <v>0</v>
      </c>
      <c r="H121" s="200"/>
      <c r="K121" s="192">
        <f>_xlfn.IFNA(MATCH(J121,'Dist Cust Factors'!$B$12:$B$447,0),0)</f>
        <v>0</v>
      </c>
      <c r="L121" s="113">
        <f t="shared" ca="1" si="41"/>
        <v>0</v>
      </c>
      <c r="O121" s="192">
        <f>_xlfn.IFNA(MATCH(N121,'Dist Cust Factors'!$B$12:$B$451,0),0)</f>
        <v>0</v>
      </c>
      <c r="P121" s="200">
        <f ca="1">OFFSET('Dist Cust Factors'!$B$12,$O121-1,P$14)*$L121+OFFSET('Dist Cust Factors'!$B$12,$K121-1,P$14)*$H121</f>
        <v>0</v>
      </c>
      <c r="R121" s="200">
        <f ca="1">OFFSET('Dist Cust Factors'!$B$12,$O121-1,R$14)*$L121+OFFSET('Dist Cust Factors'!$B$12,$K121-1,R$14)*$H121</f>
        <v>0</v>
      </c>
      <c r="S121" s="200"/>
      <c r="T121" s="200">
        <f ca="1">OFFSET('Dist Cust Factors'!$B$12,$O121-1,T$14)*$L121+OFFSET('Dist Cust Factors'!$B$12,$K121-1,T$14)*$H121</f>
        <v>0</v>
      </c>
      <c r="U121" s="200"/>
      <c r="V121" s="200">
        <f ca="1">OFFSET('Dist Cust Factors'!$B$12,$O121-1,V$14)*$L121+OFFSET('Dist Cust Factors'!$B$12,$K121-1,V$14)*$H121</f>
        <v>0</v>
      </c>
      <c r="W121" s="200"/>
      <c r="X121" s="200">
        <f t="shared" ca="1" si="42"/>
        <v>0</v>
      </c>
      <c r="Z121" s="247"/>
      <c r="AB121" s="235">
        <f ca="1">'Distribution Class'!BH121</f>
        <v>0</v>
      </c>
      <c r="AC121" s="242">
        <f t="shared" ca="1" si="43"/>
        <v>0</v>
      </c>
      <c r="AE121" s="199">
        <f t="shared" ca="1" si="44"/>
        <v>0</v>
      </c>
      <c r="AG121" s="199">
        <f t="shared" ca="1" si="45"/>
        <v>0</v>
      </c>
      <c r="AI121" s="199">
        <f t="shared" ca="1" si="46"/>
        <v>0</v>
      </c>
      <c r="AK121" s="199">
        <f t="shared" ca="1" si="47"/>
        <v>0</v>
      </c>
    </row>
    <row r="122" spans="2:38" ht="13" x14ac:dyDescent="0.3">
      <c r="B122" s="248">
        <f t="shared" si="48"/>
        <v>64.69999999999996</v>
      </c>
      <c r="D122" s="249" t="s">
        <v>140</v>
      </c>
      <c r="F122" s="113">
        <f ca="1">'Distribution Class'!AF122</f>
        <v>0</v>
      </c>
      <c r="H122" s="200"/>
      <c r="K122" s="192">
        <f>_xlfn.IFNA(MATCH(J122,'Dist Cust Factors'!$B$12:$B$447,0),0)</f>
        <v>0</v>
      </c>
      <c r="L122" s="113">
        <f t="shared" ca="1" si="41"/>
        <v>0</v>
      </c>
      <c r="O122" s="192">
        <f>_xlfn.IFNA(MATCH(N122,'Dist Cust Factors'!$B$12:$B$451,0),0)</f>
        <v>0</v>
      </c>
      <c r="P122" s="200">
        <f ca="1">OFFSET('Dist Cust Factors'!$B$12,$O122-1,P$14)*$L122+OFFSET('Dist Cust Factors'!$B$12,$K122-1,P$14)*$H122</f>
        <v>0</v>
      </c>
      <c r="R122" s="200">
        <f ca="1">OFFSET('Dist Cust Factors'!$B$12,$O122-1,R$14)*$L122+OFFSET('Dist Cust Factors'!$B$12,$K122-1,R$14)*$H122</f>
        <v>0</v>
      </c>
      <c r="S122" s="200"/>
      <c r="T122" s="200">
        <f ca="1">OFFSET('Dist Cust Factors'!$B$12,$O122-1,T$14)*$L122+OFFSET('Dist Cust Factors'!$B$12,$K122-1,T$14)*$H122</f>
        <v>0</v>
      </c>
      <c r="U122" s="200"/>
      <c r="V122" s="200">
        <f ca="1">OFFSET('Dist Cust Factors'!$B$12,$O122-1,V$14)*$L122+OFFSET('Dist Cust Factors'!$B$12,$K122-1,V$14)*$H122</f>
        <v>0</v>
      </c>
      <c r="W122" s="200"/>
      <c r="X122" s="200">
        <f t="shared" ca="1" si="42"/>
        <v>0</v>
      </c>
      <c r="Z122" s="247" t="str">
        <f t="shared" ref="Z122:Z153" ca="1" si="49">IF(ROUND(F122,4)=ROUND(X122,4), "", "check")</f>
        <v/>
      </c>
      <c r="AB122" s="235">
        <f ca="1">'Distribution Class'!BH122</f>
        <v>0</v>
      </c>
      <c r="AC122" s="242">
        <f t="shared" ca="1" si="43"/>
        <v>0</v>
      </c>
      <c r="AE122" s="199">
        <f t="shared" ca="1" si="44"/>
        <v>0</v>
      </c>
      <c r="AG122" s="199">
        <f t="shared" ca="1" si="45"/>
        <v>0</v>
      </c>
      <c r="AI122" s="199">
        <f t="shared" ca="1" si="46"/>
        <v>0</v>
      </c>
      <c r="AK122" s="199">
        <f t="shared" ca="1" si="47"/>
        <v>0</v>
      </c>
    </row>
    <row r="123" spans="2:38" ht="13" x14ac:dyDescent="0.3">
      <c r="B123" s="2">
        <f>B115+1</f>
        <v>65</v>
      </c>
      <c r="D123" s="94" t="s">
        <v>8</v>
      </c>
      <c r="X123" s="200"/>
      <c r="Z123" s="247" t="str">
        <f t="shared" si="49"/>
        <v/>
      </c>
      <c r="AE123" s="199">
        <f t="shared" si="44"/>
        <v>0</v>
      </c>
      <c r="AG123" s="199">
        <f t="shared" si="45"/>
        <v>0</v>
      </c>
      <c r="AI123" s="199">
        <f t="shared" si="46"/>
        <v>0</v>
      </c>
      <c r="AK123" s="199">
        <f t="shared" si="47"/>
        <v>0</v>
      </c>
    </row>
    <row r="124" spans="2:38" ht="13" x14ac:dyDescent="0.3">
      <c r="B124" s="250">
        <f>B123+0.1</f>
        <v>65.099999999999994</v>
      </c>
      <c r="D124" s="206" t="s">
        <v>71</v>
      </c>
      <c r="F124" s="113">
        <f ca="1">'Distribution Class'!AF124</f>
        <v>0</v>
      </c>
      <c r="H124" s="200"/>
      <c r="K124" s="192">
        <f>_xlfn.IFNA(MATCH(J124,'Dist Cust Factors'!$B$12:$B$447,0),0)</f>
        <v>0</v>
      </c>
      <c r="L124" s="113">
        <f t="shared" ref="L124:L131" ca="1" si="50">F124-H124</f>
        <v>0</v>
      </c>
      <c r="O124" s="192">
        <f>_xlfn.IFNA(MATCH(N124,'Dist Cust Factors'!$B$12:$B$451,0),0)</f>
        <v>0</v>
      </c>
      <c r="P124" s="200">
        <f ca="1">OFFSET('Dist Cust Factors'!$B$12,$O124-1,P$14)*$L124+OFFSET('Dist Cust Factors'!$B$12,$K124-1,P$14)*$H124</f>
        <v>0</v>
      </c>
      <c r="R124" s="200">
        <f ca="1">OFFSET('Dist Cust Factors'!$B$12,$O124-1,R$14)*$L124+OFFSET('Dist Cust Factors'!$B$12,$K124-1,R$14)*$H124</f>
        <v>0</v>
      </c>
      <c r="S124" s="200"/>
      <c r="T124" s="200">
        <f ca="1">OFFSET('Dist Cust Factors'!$B$12,$O124-1,T$14)*$L124+OFFSET('Dist Cust Factors'!$B$12,$K124-1,T$14)*$H124</f>
        <v>0</v>
      </c>
      <c r="U124" s="200"/>
      <c r="V124" s="200">
        <f ca="1">OFFSET('Dist Cust Factors'!$B$12,$O124-1,V$14)*$L124+OFFSET('Dist Cust Factors'!$B$12,$K124-1,V$14)*$H124</f>
        <v>0</v>
      </c>
      <c r="W124" s="200"/>
      <c r="X124" s="200">
        <f t="shared" ca="1" si="42"/>
        <v>0</v>
      </c>
      <c r="Z124" s="247" t="str">
        <f t="shared" ca="1" si="49"/>
        <v/>
      </c>
      <c r="AB124" s="235">
        <f ca="1">'Distribution Class'!BH124</f>
        <v>0</v>
      </c>
      <c r="AC124" s="242">
        <f t="shared" ref="AC124:AC131" ca="1" si="51">IFERROR(AB124/F124,0)</f>
        <v>0</v>
      </c>
      <c r="AE124" s="199">
        <f t="shared" ca="1" si="44"/>
        <v>0</v>
      </c>
      <c r="AG124" s="199">
        <f t="shared" ca="1" si="45"/>
        <v>0</v>
      </c>
      <c r="AI124" s="199">
        <f t="shared" ca="1" si="46"/>
        <v>0</v>
      </c>
      <c r="AK124" s="199">
        <f t="shared" ca="1" si="47"/>
        <v>0</v>
      </c>
    </row>
    <row r="125" spans="2:38" ht="13" x14ac:dyDescent="0.3">
      <c r="B125" s="250">
        <f t="shared" ref="B125:B131" si="52">B124+0.1</f>
        <v>65.199999999999989</v>
      </c>
      <c r="D125" s="206" t="s">
        <v>196</v>
      </c>
      <c r="F125" s="113">
        <f ca="1">'Distribution Class'!AF125</f>
        <v>0</v>
      </c>
      <c r="H125" s="200"/>
      <c r="K125" s="192">
        <f>_xlfn.IFNA(MATCH(J125,'Dist Cust Factors'!$B$12:$B$447,0),0)</f>
        <v>0</v>
      </c>
      <c r="L125" s="113">
        <f t="shared" ca="1" si="50"/>
        <v>0</v>
      </c>
      <c r="O125" s="192">
        <f>_xlfn.IFNA(MATCH(N125,'Dist Cust Factors'!$B$12:$B$451,0),0)</f>
        <v>0</v>
      </c>
      <c r="P125" s="200">
        <f ca="1">OFFSET('Dist Cust Factors'!$B$12,$O125-1,P$14)*$L125+OFFSET('Dist Cust Factors'!$B$12,$K125-1,P$14)*$H125</f>
        <v>0</v>
      </c>
      <c r="R125" s="200">
        <f ca="1">OFFSET('Dist Cust Factors'!$B$12,$O125-1,R$14)*$L125+OFFSET('Dist Cust Factors'!$B$12,$K125-1,R$14)*$H125</f>
        <v>0</v>
      </c>
      <c r="S125" s="200"/>
      <c r="T125" s="200">
        <f ca="1">OFFSET('Dist Cust Factors'!$B$12,$O125-1,T$14)*$L125+OFFSET('Dist Cust Factors'!$B$12,$K125-1,T$14)*$H125</f>
        <v>0</v>
      </c>
      <c r="U125" s="200"/>
      <c r="V125" s="200">
        <f ca="1">OFFSET('Dist Cust Factors'!$B$12,$O125-1,V$14)*$L125+OFFSET('Dist Cust Factors'!$B$12,$K125-1,V$14)*$H125</f>
        <v>0</v>
      </c>
      <c r="W125" s="200"/>
      <c r="X125" s="200">
        <f t="shared" ca="1" si="42"/>
        <v>0</v>
      </c>
      <c r="Z125" s="247" t="str">
        <f t="shared" ca="1" si="49"/>
        <v/>
      </c>
      <c r="AB125" s="235">
        <f ca="1">'Distribution Class'!BH125</f>
        <v>0</v>
      </c>
      <c r="AC125" s="242">
        <f t="shared" ca="1" si="51"/>
        <v>0</v>
      </c>
      <c r="AE125" s="199">
        <f t="shared" ca="1" si="44"/>
        <v>0</v>
      </c>
      <c r="AG125" s="199">
        <f t="shared" ca="1" si="45"/>
        <v>0</v>
      </c>
      <c r="AI125" s="199">
        <f t="shared" ca="1" si="46"/>
        <v>0</v>
      </c>
      <c r="AK125" s="199">
        <f t="shared" ca="1" si="47"/>
        <v>0</v>
      </c>
    </row>
    <row r="126" spans="2:38" ht="13" x14ac:dyDescent="0.3">
      <c r="B126" s="250">
        <f t="shared" si="52"/>
        <v>65.299999999999983</v>
      </c>
      <c r="D126" s="206" t="s">
        <v>204</v>
      </c>
      <c r="F126" s="113">
        <f ca="1">'Distribution Class'!AF126</f>
        <v>0</v>
      </c>
      <c r="H126" s="200"/>
      <c r="K126" s="192">
        <f>_xlfn.IFNA(MATCH(J126,'Dist Cust Factors'!$B$12:$B$447,0),0)</f>
        <v>0</v>
      </c>
      <c r="L126" s="113">
        <f t="shared" ca="1" si="50"/>
        <v>0</v>
      </c>
      <c r="O126" s="192">
        <f>_xlfn.IFNA(MATCH(N126,'Dist Cust Factors'!$B$12:$B$451,0),0)</f>
        <v>0</v>
      </c>
      <c r="P126" s="200">
        <f ca="1">OFFSET('Dist Cust Factors'!$B$12,$O126-1,P$14)*$L126+OFFSET('Dist Cust Factors'!$B$12,$K126-1,P$14)*$H126</f>
        <v>0</v>
      </c>
      <c r="R126" s="200">
        <f ca="1">OFFSET('Dist Cust Factors'!$B$12,$O126-1,R$14)*$L126+OFFSET('Dist Cust Factors'!$B$12,$K126-1,R$14)*$H126</f>
        <v>0</v>
      </c>
      <c r="S126" s="200"/>
      <c r="T126" s="200">
        <f ca="1">OFFSET('Dist Cust Factors'!$B$12,$O126-1,T$14)*$L126+OFFSET('Dist Cust Factors'!$B$12,$K126-1,T$14)*$H126</f>
        <v>0</v>
      </c>
      <c r="U126" s="200"/>
      <c r="V126" s="200">
        <f ca="1">OFFSET('Dist Cust Factors'!$B$12,$O126-1,V$14)*$L126+OFFSET('Dist Cust Factors'!$B$12,$K126-1,V$14)*$H126</f>
        <v>0</v>
      </c>
      <c r="W126" s="200"/>
      <c r="X126" s="200">
        <f t="shared" ca="1" si="42"/>
        <v>0</v>
      </c>
      <c r="Z126" s="247" t="str">
        <f t="shared" ca="1" si="49"/>
        <v/>
      </c>
      <c r="AB126" s="235">
        <f ca="1">'Distribution Class'!BH126</f>
        <v>0</v>
      </c>
      <c r="AC126" s="242">
        <f t="shared" ca="1" si="51"/>
        <v>0</v>
      </c>
      <c r="AE126" s="199">
        <f t="shared" ca="1" si="44"/>
        <v>0</v>
      </c>
      <c r="AG126" s="199">
        <f t="shared" ca="1" si="45"/>
        <v>0</v>
      </c>
      <c r="AI126" s="199">
        <f t="shared" ca="1" si="46"/>
        <v>0</v>
      </c>
      <c r="AK126" s="199">
        <f t="shared" ca="1" si="47"/>
        <v>0</v>
      </c>
    </row>
    <row r="127" spans="2:38" ht="13" x14ac:dyDescent="0.3">
      <c r="B127" s="250">
        <f t="shared" si="52"/>
        <v>65.399999999999977</v>
      </c>
      <c r="D127" s="206" t="s">
        <v>224</v>
      </c>
      <c r="F127" s="113">
        <f ca="1">'Distribution Class'!AF127</f>
        <v>0</v>
      </c>
      <c r="H127" s="200"/>
      <c r="K127" s="192">
        <f>_xlfn.IFNA(MATCH(J127,'Dist Cust Factors'!$B$12:$B$447,0),0)</f>
        <v>0</v>
      </c>
      <c r="L127" s="113">
        <f t="shared" ca="1" si="50"/>
        <v>0</v>
      </c>
      <c r="O127" s="192">
        <f>_xlfn.IFNA(MATCH(N127,'Dist Cust Factors'!$B$12:$B$451,0),0)</f>
        <v>0</v>
      </c>
      <c r="P127" s="200">
        <f ca="1">OFFSET('Dist Cust Factors'!$B$12,$O127-1,P$14)*$L127+OFFSET('Dist Cust Factors'!$B$12,$K127-1,P$14)*$H127</f>
        <v>0</v>
      </c>
      <c r="R127" s="200">
        <f ca="1">OFFSET('Dist Cust Factors'!$B$12,$O127-1,R$14)*$L127+OFFSET('Dist Cust Factors'!$B$12,$K127-1,R$14)*$H127</f>
        <v>0</v>
      </c>
      <c r="S127" s="200"/>
      <c r="T127" s="200">
        <f ca="1">OFFSET('Dist Cust Factors'!$B$12,$O127-1,T$14)*$L127+OFFSET('Dist Cust Factors'!$B$12,$K127-1,T$14)*$H127</f>
        <v>0</v>
      </c>
      <c r="U127" s="200"/>
      <c r="V127" s="200">
        <f ca="1">OFFSET('Dist Cust Factors'!$B$12,$O127-1,V$14)*$L127+OFFSET('Dist Cust Factors'!$B$12,$K127-1,V$14)*$H127</f>
        <v>0</v>
      </c>
      <c r="W127" s="200"/>
      <c r="X127" s="200">
        <f t="shared" ca="1" si="42"/>
        <v>0</v>
      </c>
      <c r="Z127" s="247" t="str">
        <f t="shared" ca="1" si="49"/>
        <v/>
      </c>
      <c r="AB127" s="235">
        <f ca="1">'Distribution Class'!BH127</f>
        <v>0</v>
      </c>
      <c r="AC127" s="242">
        <f t="shared" ca="1" si="51"/>
        <v>0</v>
      </c>
      <c r="AE127" s="199">
        <f t="shared" ca="1" si="44"/>
        <v>0</v>
      </c>
      <c r="AG127" s="199">
        <f t="shared" ca="1" si="45"/>
        <v>0</v>
      </c>
      <c r="AI127" s="199">
        <f t="shared" ca="1" si="46"/>
        <v>0</v>
      </c>
      <c r="AK127" s="199">
        <f t="shared" ca="1" si="47"/>
        <v>0</v>
      </c>
    </row>
    <row r="128" spans="2:38" ht="13" x14ac:dyDescent="0.3">
      <c r="B128" s="250">
        <f t="shared" si="52"/>
        <v>65.499999999999972</v>
      </c>
      <c r="D128" s="206" t="s">
        <v>21</v>
      </c>
      <c r="F128" s="113">
        <f ca="1">'Distribution Class'!AF128</f>
        <v>0</v>
      </c>
      <c r="H128" s="200"/>
      <c r="K128" s="192">
        <f>_xlfn.IFNA(MATCH(J128,'Dist Cust Factors'!$B$12:$B$447,0),0)</f>
        <v>0</v>
      </c>
      <c r="L128" s="113">
        <f t="shared" ca="1" si="50"/>
        <v>0</v>
      </c>
      <c r="O128" s="192">
        <f>_xlfn.IFNA(MATCH(N128,'Dist Cust Factors'!$B$12:$B$451,0),0)</f>
        <v>0</v>
      </c>
      <c r="P128" s="200">
        <f ca="1">OFFSET('Dist Cust Factors'!$B$12,$O128-1,P$14)*$L128+OFFSET('Dist Cust Factors'!$B$12,$K128-1,P$14)*$H128</f>
        <v>0</v>
      </c>
      <c r="R128" s="200">
        <f ca="1">OFFSET('Dist Cust Factors'!$B$12,$O128-1,R$14)*$L128+OFFSET('Dist Cust Factors'!$B$12,$K128-1,R$14)*$H128</f>
        <v>0</v>
      </c>
      <c r="S128" s="200"/>
      <c r="T128" s="200">
        <f ca="1">OFFSET('Dist Cust Factors'!$B$12,$O128-1,T$14)*$L128+OFFSET('Dist Cust Factors'!$B$12,$K128-1,T$14)*$H128</f>
        <v>0</v>
      </c>
      <c r="U128" s="200"/>
      <c r="V128" s="200">
        <f ca="1">OFFSET('Dist Cust Factors'!$B$12,$O128-1,V$14)*$L128+OFFSET('Dist Cust Factors'!$B$12,$K128-1,V$14)*$H128</f>
        <v>0</v>
      </c>
      <c r="W128" s="200"/>
      <c r="X128" s="200">
        <f t="shared" ca="1" si="42"/>
        <v>0</v>
      </c>
      <c r="Z128" s="247" t="str">
        <f t="shared" ca="1" si="49"/>
        <v/>
      </c>
      <c r="AB128" s="235">
        <f ca="1">'Distribution Class'!BH128</f>
        <v>0</v>
      </c>
      <c r="AC128" s="242">
        <f t="shared" ca="1" si="51"/>
        <v>0</v>
      </c>
      <c r="AE128" s="199">
        <f t="shared" ca="1" si="44"/>
        <v>0</v>
      </c>
      <c r="AG128" s="199">
        <f t="shared" ca="1" si="45"/>
        <v>0</v>
      </c>
      <c r="AI128" s="199">
        <f t="shared" ca="1" si="46"/>
        <v>0</v>
      </c>
      <c r="AK128" s="199">
        <f t="shared" ca="1" si="47"/>
        <v>0</v>
      </c>
    </row>
    <row r="129" spans="2:37" ht="13" x14ac:dyDescent="0.3">
      <c r="B129" s="250">
        <f t="shared" si="52"/>
        <v>65.599999999999966</v>
      </c>
      <c r="D129" s="206" t="s">
        <v>225</v>
      </c>
      <c r="F129" s="113">
        <f ca="1">'Distribution Class'!AF129</f>
        <v>0</v>
      </c>
      <c r="H129" s="200"/>
      <c r="K129" s="192">
        <f>_xlfn.IFNA(MATCH(J129,'Dist Cust Factors'!$B$12:$B$447,0),0)</f>
        <v>0</v>
      </c>
      <c r="L129" s="113">
        <f t="shared" ca="1" si="50"/>
        <v>0</v>
      </c>
      <c r="O129" s="192">
        <f>_xlfn.IFNA(MATCH(N129,'Dist Cust Factors'!$B$12:$B$451,0),0)</f>
        <v>0</v>
      </c>
      <c r="P129" s="200">
        <f ca="1">OFFSET('Dist Cust Factors'!$B$12,$O129-1,P$14)*$L129+OFFSET('Dist Cust Factors'!$B$12,$K129-1,P$14)*$H129</f>
        <v>0</v>
      </c>
      <c r="R129" s="200">
        <f ca="1">OFFSET('Dist Cust Factors'!$B$12,$O129-1,R$14)*$L129+OFFSET('Dist Cust Factors'!$B$12,$K129-1,R$14)*$H129</f>
        <v>0</v>
      </c>
      <c r="S129" s="200"/>
      <c r="T129" s="200">
        <f ca="1">OFFSET('Dist Cust Factors'!$B$12,$O129-1,T$14)*$L129+OFFSET('Dist Cust Factors'!$B$12,$K129-1,T$14)*$H129</f>
        <v>0</v>
      </c>
      <c r="U129" s="200"/>
      <c r="V129" s="200">
        <f ca="1">OFFSET('Dist Cust Factors'!$B$12,$O129-1,V$14)*$L129+OFFSET('Dist Cust Factors'!$B$12,$K129-1,V$14)*$H129</f>
        <v>0</v>
      </c>
      <c r="W129" s="200"/>
      <c r="X129" s="200">
        <f t="shared" ca="1" si="42"/>
        <v>0</v>
      </c>
      <c r="Z129" s="247" t="str">
        <f t="shared" ca="1" si="49"/>
        <v/>
      </c>
      <c r="AB129" s="235">
        <f ca="1">'Distribution Class'!BH129</f>
        <v>0</v>
      </c>
      <c r="AC129" s="242">
        <f t="shared" ca="1" si="51"/>
        <v>0</v>
      </c>
      <c r="AE129" s="199">
        <f t="shared" ca="1" si="44"/>
        <v>0</v>
      </c>
      <c r="AG129" s="199">
        <f t="shared" ca="1" si="45"/>
        <v>0</v>
      </c>
      <c r="AI129" s="199">
        <f t="shared" ca="1" si="46"/>
        <v>0</v>
      </c>
      <c r="AK129" s="199">
        <f t="shared" ca="1" si="47"/>
        <v>0</v>
      </c>
    </row>
    <row r="130" spans="2:37" ht="13" x14ac:dyDescent="0.3">
      <c r="B130" s="250">
        <f t="shared" si="52"/>
        <v>65.69999999999996</v>
      </c>
      <c r="D130" s="206" t="s">
        <v>205</v>
      </c>
      <c r="F130" s="113">
        <f ca="1">'Distribution Class'!AF130</f>
        <v>0</v>
      </c>
      <c r="H130" s="200"/>
      <c r="K130" s="192">
        <f>_xlfn.IFNA(MATCH(J130,'Dist Cust Factors'!$B$12:$B$447,0),0)</f>
        <v>0</v>
      </c>
      <c r="L130" s="113">
        <f t="shared" ca="1" si="50"/>
        <v>0</v>
      </c>
      <c r="O130" s="192">
        <f>_xlfn.IFNA(MATCH(N130,'Dist Cust Factors'!$B$12:$B$451,0),0)</f>
        <v>0</v>
      </c>
      <c r="P130" s="200">
        <f ca="1">OFFSET('Dist Cust Factors'!$B$12,$O130-1,P$14)*$L130+OFFSET('Dist Cust Factors'!$B$12,$K130-1,P$14)*$H130</f>
        <v>0</v>
      </c>
      <c r="R130" s="200">
        <f ca="1">OFFSET('Dist Cust Factors'!$B$12,$O130-1,R$14)*$L130+OFFSET('Dist Cust Factors'!$B$12,$K130-1,R$14)*$H130</f>
        <v>0</v>
      </c>
      <c r="S130" s="200"/>
      <c r="T130" s="200">
        <f ca="1">OFFSET('Dist Cust Factors'!$B$12,$O130-1,T$14)*$L130+OFFSET('Dist Cust Factors'!$B$12,$K130-1,T$14)*$H130</f>
        <v>0</v>
      </c>
      <c r="U130" s="200"/>
      <c r="V130" s="200">
        <f ca="1">OFFSET('Dist Cust Factors'!$B$12,$O130-1,V$14)*$L130+OFFSET('Dist Cust Factors'!$B$12,$K130-1,V$14)*$H130</f>
        <v>0</v>
      </c>
      <c r="W130" s="200"/>
      <c r="X130" s="200">
        <f t="shared" ca="1" si="42"/>
        <v>0</v>
      </c>
      <c r="Z130" s="247" t="str">
        <f t="shared" ca="1" si="49"/>
        <v/>
      </c>
      <c r="AB130" s="235">
        <f ca="1">'Distribution Class'!BH130</f>
        <v>0</v>
      </c>
      <c r="AC130" s="242">
        <f t="shared" ca="1" si="51"/>
        <v>0</v>
      </c>
      <c r="AE130" s="199">
        <f t="shared" ca="1" si="44"/>
        <v>0</v>
      </c>
      <c r="AG130" s="199">
        <f t="shared" ca="1" si="45"/>
        <v>0</v>
      </c>
      <c r="AI130" s="199">
        <f t="shared" ca="1" si="46"/>
        <v>0</v>
      </c>
      <c r="AK130" s="199">
        <f t="shared" ca="1" si="47"/>
        <v>0</v>
      </c>
    </row>
    <row r="131" spans="2:37" ht="13" x14ac:dyDescent="0.3">
      <c r="B131" s="250">
        <f t="shared" si="52"/>
        <v>65.799999999999955</v>
      </c>
      <c r="D131" s="206" t="s">
        <v>226</v>
      </c>
      <c r="F131" s="113">
        <f ca="1">'Distribution Class'!AF131</f>
        <v>0</v>
      </c>
      <c r="H131" s="200"/>
      <c r="K131" s="192">
        <f>_xlfn.IFNA(MATCH(J131,'Dist Cust Factors'!$B$12:$B$447,0),0)</f>
        <v>0</v>
      </c>
      <c r="L131" s="113">
        <f t="shared" ca="1" si="50"/>
        <v>0</v>
      </c>
      <c r="O131" s="192">
        <f>_xlfn.IFNA(MATCH(N131,'Dist Cust Factors'!$B$12:$B$451,0),0)</f>
        <v>0</v>
      </c>
      <c r="P131" s="200">
        <f ca="1">OFFSET('Dist Cust Factors'!$B$12,$O131-1,P$14)*$L131+OFFSET('Dist Cust Factors'!$B$12,$K131-1,P$14)*$H131</f>
        <v>0</v>
      </c>
      <c r="R131" s="200">
        <f ca="1">OFFSET('Dist Cust Factors'!$B$12,$O131-1,R$14)*$L131+OFFSET('Dist Cust Factors'!$B$12,$K131-1,R$14)*$H131</f>
        <v>0</v>
      </c>
      <c r="S131" s="200"/>
      <c r="T131" s="200">
        <f ca="1">OFFSET('Dist Cust Factors'!$B$12,$O131-1,T$14)*$L131+OFFSET('Dist Cust Factors'!$B$12,$K131-1,T$14)*$H131</f>
        <v>0</v>
      </c>
      <c r="U131" s="200"/>
      <c r="V131" s="200">
        <f ca="1">OFFSET('Dist Cust Factors'!$B$12,$O131-1,V$14)*$L131+OFFSET('Dist Cust Factors'!$B$12,$K131-1,V$14)*$H131</f>
        <v>0</v>
      </c>
      <c r="W131" s="200"/>
      <c r="X131" s="200">
        <f t="shared" ca="1" si="42"/>
        <v>0</v>
      </c>
      <c r="Z131" s="247" t="str">
        <f t="shared" ca="1" si="49"/>
        <v/>
      </c>
      <c r="AB131" s="235">
        <f ca="1">'Distribution Class'!BH131</f>
        <v>0</v>
      </c>
      <c r="AC131" s="242">
        <f t="shared" ca="1" si="51"/>
        <v>0</v>
      </c>
      <c r="AE131" s="199">
        <f t="shared" ca="1" si="44"/>
        <v>0</v>
      </c>
      <c r="AG131" s="199">
        <f t="shared" ca="1" si="45"/>
        <v>0</v>
      </c>
      <c r="AI131" s="199">
        <f t="shared" ca="1" si="46"/>
        <v>0</v>
      </c>
      <c r="AK131" s="199">
        <f t="shared" ca="1" si="47"/>
        <v>0</v>
      </c>
    </row>
    <row r="132" spans="2:37" ht="13" x14ac:dyDescent="0.3">
      <c r="B132" s="2">
        <f>B123+1</f>
        <v>66</v>
      </c>
      <c r="D132" s="73" t="s">
        <v>9</v>
      </c>
      <c r="X132" s="200"/>
      <c r="Z132" s="247" t="str">
        <f t="shared" si="49"/>
        <v/>
      </c>
      <c r="AE132" s="199">
        <f t="shared" si="44"/>
        <v>0</v>
      </c>
      <c r="AG132" s="199">
        <f t="shared" si="45"/>
        <v>0</v>
      </c>
      <c r="AI132" s="199">
        <f t="shared" si="46"/>
        <v>0</v>
      </c>
      <c r="AK132" s="199">
        <f t="shared" si="47"/>
        <v>0</v>
      </c>
    </row>
    <row r="133" spans="2:37" ht="13" x14ac:dyDescent="0.3">
      <c r="B133" s="2">
        <f>B132+0.1</f>
        <v>66.099999999999994</v>
      </c>
      <c r="D133" s="73" t="s">
        <v>239</v>
      </c>
      <c r="F133" s="113">
        <f>'Distribution Class'!AF133</f>
        <v>0</v>
      </c>
      <c r="X133" s="200">
        <f t="shared" si="42"/>
        <v>0</v>
      </c>
      <c r="Z133" s="247" t="str">
        <f t="shared" si="49"/>
        <v/>
      </c>
      <c r="AB133" s="235">
        <f ca="1">'Distribution Class'!BH133</f>
        <v>0</v>
      </c>
      <c r="AC133" s="242">
        <f ca="1">IFERROR(AB133/F133,0)</f>
        <v>0</v>
      </c>
      <c r="AE133" s="199">
        <f t="shared" ca="1" si="44"/>
        <v>0</v>
      </c>
      <c r="AG133" s="199">
        <f t="shared" ca="1" si="45"/>
        <v>0</v>
      </c>
      <c r="AI133" s="199">
        <f t="shared" ca="1" si="46"/>
        <v>0</v>
      </c>
      <c r="AK133" s="199">
        <f t="shared" ca="1" si="47"/>
        <v>0</v>
      </c>
    </row>
    <row r="134" spans="2:37" ht="13" x14ac:dyDescent="0.3">
      <c r="B134" s="2">
        <f t="shared" ref="B134:B136" si="53">B133+0.1</f>
        <v>66.199999999999989</v>
      </c>
      <c r="D134" s="206" t="s">
        <v>227</v>
      </c>
      <c r="F134" s="113">
        <f ca="1">'Distribution Class'!AF134</f>
        <v>0</v>
      </c>
      <c r="H134" s="200"/>
      <c r="K134" s="192">
        <f>_xlfn.IFNA(MATCH(J134,'Dist Cust Factors'!$B$12:$B$447,0),0)</f>
        <v>0</v>
      </c>
      <c r="L134" s="113">
        <f t="shared" ref="L134:L136" ca="1" si="54">F134-H134</f>
        <v>0</v>
      </c>
      <c r="O134" s="192">
        <f>_xlfn.IFNA(MATCH(N134,'Dist Cust Factors'!$B$12:$B$451,0),0)</f>
        <v>0</v>
      </c>
      <c r="P134" s="200">
        <f ca="1">OFFSET('Dist Cust Factors'!$B$12,$O134-1,P$14)*$L134+OFFSET('Dist Cust Factors'!$B$12,$K134-1,P$14)*$H134</f>
        <v>0</v>
      </c>
      <c r="R134" s="200">
        <f ca="1">OFFSET('Dist Cust Factors'!$B$12,$O134-1,R$14)*$L134+OFFSET('Dist Cust Factors'!$B$12,$K134-1,R$14)*$H134</f>
        <v>0</v>
      </c>
      <c r="S134" s="200"/>
      <c r="T134" s="200">
        <f ca="1">OFFSET('Dist Cust Factors'!$B$12,$O134-1,T$14)*$L134+OFFSET('Dist Cust Factors'!$B$12,$K134-1,T$14)*$H134</f>
        <v>0</v>
      </c>
      <c r="U134" s="200"/>
      <c r="V134" s="200">
        <f ca="1">OFFSET('Dist Cust Factors'!$B$12,$O134-1,V$14)*$L134+OFFSET('Dist Cust Factors'!$B$12,$K134-1,V$14)*$H134</f>
        <v>0</v>
      </c>
      <c r="W134" s="200"/>
      <c r="X134" s="200">
        <f t="shared" ca="1" si="42"/>
        <v>0</v>
      </c>
      <c r="Z134" s="247" t="str">
        <f t="shared" ca="1" si="49"/>
        <v/>
      </c>
      <c r="AB134" s="235">
        <f ca="1">'Distribution Class'!BH134</f>
        <v>0</v>
      </c>
      <c r="AC134" s="242">
        <f ca="1">IFERROR(AB134/F134,0)</f>
        <v>0</v>
      </c>
      <c r="AE134" s="199">
        <f t="shared" ca="1" si="44"/>
        <v>0</v>
      </c>
      <c r="AG134" s="199">
        <f t="shared" ca="1" si="45"/>
        <v>0</v>
      </c>
      <c r="AI134" s="199">
        <f t="shared" ca="1" si="46"/>
        <v>0</v>
      </c>
      <c r="AK134" s="199">
        <f t="shared" ca="1" si="47"/>
        <v>0</v>
      </c>
    </row>
    <row r="135" spans="2:37" ht="13" x14ac:dyDescent="0.3">
      <c r="B135" s="2">
        <f t="shared" si="53"/>
        <v>66.299999999999983</v>
      </c>
      <c r="D135" s="206" t="s">
        <v>224</v>
      </c>
      <c r="F135" s="113">
        <f ca="1">'Distribution Class'!AF135</f>
        <v>0</v>
      </c>
      <c r="H135" s="200"/>
      <c r="K135" s="192">
        <f>_xlfn.IFNA(MATCH(J135,'Dist Cust Factors'!$B$12:$B$447,0),0)</f>
        <v>0</v>
      </c>
      <c r="L135" s="113">
        <f t="shared" ca="1" si="54"/>
        <v>0</v>
      </c>
      <c r="O135" s="192">
        <f>_xlfn.IFNA(MATCH(N135,'Dist Cust Factors'!$B$12:$B$451,0),0)</f>
        <v>0</v>
      </c>
      <c r="P135" s="200">
        <f ca="1">OFFSET('Dist Cust Factors'!$B$12,$O135-1,P$14)*$L135+OFFSET('Dist Cust Factors'!$B$12,$K135-1,P$14)*$H135</f>
        <v>0</v>
      </c>
      <c r="R135" s="200">
        <f ca="1">OFFSET('Dist Cust Factors'!$B$12,$O135-1,R$14)*$L135+OFFSET('Dist Cust Factors'!$B$12,$K135-1,R$14)*$H135</f>
        <v>0</v>
      </c>
      <c r="S135" s="200"/>
      <c r="T135" s="200">
        <f ca="1">OFFSET('Dist Cust Factors'!$B$12,$O135-1,T$14)*$L135+OFFSET('Dist Cust Factors'!$B$12,$K135-1,T$14)*$H135</f>
        <v>0</v>
      </c>
      <c r="U135" s="200"/>
      <c r="V135" s="200">
        <f ca="1">OFFSET('Dist Cust Factors'!$B$12,$O135-1,V$14)*$L135+OFFSET('Dist Cust Factors'!$B$12,$K135-1,V$14)*$H135</f>
        <v>0</v>
      </c>
      <c r="W135" s="200"/>
      <c r="X135" s="200">
        <f t="shared" ca="1" si="42"/>
        <v>0</v>
      </c>
      <c r="Z135" s="247" t="str">
        <f t="shared" ca="1" si="49"/>
        <v/>
      </c>
      <c r="AB135" s="235">
        <f ca="1">'Distribution Class'!BH135</f>
        <v>0</v>
      </c>
      <c r="AC135" s="242">
        <f ca="1">IFERROR(AB135/F135,0)</f>
        <v>0</v>
      </c>
      <c r="AE135" s="199">
        <f t="shared" ca="1" si="44"/>
        <v>0</v>
      </c>
      <c r="AG135" s="199">
        <f t="shared" ca="1" si="45"/>
        <v>0</v>
      </c>
      <c r="AI135" s="199">
        <f t="shared" ca="1" si="46"/>
        <v>0</v>
      </c>
      <c r="AK135" s="199">
        <f t="shared" ca="1" si="47"/>
        <v>0</v>
      </c>
    </row>
    <row r="136" spans="2:37" ht="13" x14ac:dyDescent="0.3">
      <c r="B136" s="2">
        <f t="shared" si="53"/>
        <v>66.399999999999977</v>
      </c>
      <c r="D136" s="206" t="s">
        <v>21</v>
      </c>
      <c r="F136" s="113">
        <f ca="1">'Distribution Class'!AF136</f>
        <v>0</v>
      </c>
      <c r="H136" s="200"/>
      <c r="K136" s="192">
        <f>_xlfn.IFNA(MATCH(J136,'Dist Cust Factors'!$B$12:$B$447,0),0)</f>
        <v>0</v>
      </c>
      <c r="L136" s="113">
        <f t="shared" ca="1" si="54"/>
        <v>0</v>
      </c>
      <c r="O136" s="192">
        <f>_xlfn.IFNA(MATCH(N136,'Dist Cust Factors'!$B$12:$B$451,0),0)</f>
        <v>0</v>
      </c>
      <c r="P136" s="200">
        <f ca="1">OFFSET('Dist Cust Factors'!$B$12,$O136-1,P$14)*$L136+OFFSET('Dist Cust Factors'!$B$12,$K136-1,P$14)*$H136</f>
        <v>0</v>
      </c>
      <c r="R136" s="200">
        <f ca="1">OFFSET('Dist Cust Factors'!$B$12,$O136-1,R$14)*$L136+OFFSET('Dist Cust Factors'!$B$12,$K136-1,R$14)*$H136</f>
        <v>0</v>
      </c>
      <c r="S136" s="200"/>
      <c r="T136" s="200">
        <f ca="1">OFFSET('Dist Cust Factors'!$B$12,$O136-1,T$14)*$L136+OFFSET('Dist Cust Factors'!$B$12,$K136-1,T$14)*$H136</f>
        <v>0</v>
      </c>
      <c r="U136" s="200"/>
      <c r="V136" s="200">
        <f ca="1">OFFSET('Dist Cust Factors'!$B$12,$O136-1,V$14)*$L136+OFFSET('Dist Cust Factors'!$B$12,$K136-1,V$14)*$H136</f>
        <v>0</v>
      </c>
      <c r="W136" s="200"/>
      <c r="X136" s="200">
        <f t="shared" ca="1" si="42"/>
        <v>0</v>
      </c>
      <c r="Z136" s="247" t="str">
        <f t="shared" ca="1" si="49"/>
        <v/>
      </c>
      <c r="AB136" s="235">
        <f ca="1">'Distribution Class'!BH136</f>
        <v>0</v>
      </c>
      <c r="AC136" s="242">
        <f ca="1">IFERROR(AB136/F136,0)</f>
        <v>0</v>
      </c>
      <c r="AE136" s="199">
        <f t="shared" ca="1" si="44"/>
        <v>0</v>
      </c>
      <c r="AG136" s="199">
        <f t="shared" ca="1" si="45"/>
        <v>0</v>
      </c>
      <c r="AI136" s="199">
        <f t="shared" ca="1" si="46"/>
        <v>0</v>
      </c>
      <c r="AK136" s="199">
        <f t="shared" ca="1" si="47"/>
        <v>0</v>
      </c>
    </row>
    <row r="137" spans="2:37" ht="13" x14ac:dyDescent="0.3">
      <c r="B137" s="91">
        <f>B132+1</f>
        <v>67</v>
      </c>
      <c r="D137" s="73" t="s">
        <v>10</v>
      </c>
      <c r="X137" s="200"/>
      <c r="Z137" s="247" t="str">
        <f t="shared" si="49"/>
        <v/>
      </c>
      <c r="AC137" s="242"/>
      <c r="AE137" s="199">
        <f t="shared" si="44"/>
        <v>0</v>
      </c>
      <c r="AG137" s="199">
        <f t="shared" si="45"/>
        <v>0</v>
      </c>
      <c r="AI137" s="199">
        <f t="shared" si="46"/>
        <v>0</v>
      </c>
      <c r="AK137" s="199">
        <f t="shared" si="47"/>
        <v>0</v>
      </c>
    </row>
    <row r="138" spans="2:37" ht="13" x14ac:dyDescent="0.3">
      <c r="B138" s="248">
        <f t="shared" ref="B138:B143" si="55">B137+0.1</f>
        <v>67.099999999999994</v>
      </c>
      <c r="D138" s="73" t="s">
        <v>251</v>
      </c>
      <c r="F138" s="113">
        <f ca="1">'Distribution Class'!AF138</f>
        <v>0</v>
      </c>
      <c r="K138" s="192">
        <f>_xlfn.IFNA(MATCH(J138,'Dist Cust Factors'!$B$12:$B$447,0),0)</f>
        <v>0</v>
      </c>
      <c r="L138" s="113">
        <f t="shared" ref="L138:L143" ca="1" si="56">F138-H138</f>
        <v>0</v>
      </c>
      <c r="O138" s="192">
        <f>_xlfn.IFNA(MATCH(N138,'Dist Cust Factors'!$B$12:$B$451,0),0)</f>
        <v>0</v>
      </c>
      <c r="P138" s="200">
        <f ca="1">OFFSET('Dist Cust Factors'!$B$12,$O138-1,P$14)*$L138+OFFSET('Dist Cust Factors'!$B$12,$K138-1,P$14)*$H138</f>
        <v>0</v>
      </c>
      <c r="R138" s="200">
        <f ca="1">OFFSET('Dist Cust Factors'!$B$12,$O138-1,R$14)*$L138+OFFSET('Dist Cust Factors'!$B$12,$K138-1,R$14)*$H138</f>
        <v>0</v>
      </c>
      <c r="S138" s="200"/>
      <c r="T138" s="200">
        <f ca="1">OFFSET('Dist Cust Factors'!$B$12,$O138-1,T$14)*$L138+OFFSET('Dist Cust Factors'!$B$12,$K138-1,T$14)*$H138</f>
        <v>0</v>
      </c>
      <c r="U138" s="200"/>
      <c r="V138" s="200">
        <f ca="1">OFFSET('Dist Cust Factors'!$B$12,$O138-1,V$14)*$L138+OFFSET('Dist Cust Factors'!$B$12,$K138-1,V$14)*$H138</f>
        <v>0</v>
      </c>
      <c r="W138" s="200"/>
      <c r="X138" s="200">
        <f t="shared" ca="1" si="42"/>
        <v>0</v>
      </c>
      <c r="Z138" s="247" t="str">
        <f t="shared" ca="1" si="49"/>
        <v/>
      </c>
      <c r="AB138" s="235">
        <f ca="1">'Distribution Class'!BH138</f>
        <v>0</v>
      </c>
      <c r="AC138" s="242">
        <f t="shared" ref="AC138:AC143" ca="1" si="57">IFERROR(AB138/F138,0)</f>
        <v>0</v>
      </c>
      <c r="AE138" s="199">
        <f t="shared" ca="1" si="44"/>
        <v>0</v>
      </c>
      <c r="AG138" s="199">
        <f t="shared" ca="1" si="45"/>
        <v>0</v>
      </c>
      <c r="AI138" s="199">
        <f t="shared" ca="1" si="46"/>
        <v>0</v>
      </c>
      <c r="AK138" s="199">
        <f t="shared" ca="1" si="47"/>
        <v>0</v>
      </c>
    </row>
    <row r="139" spans="2:37" ht="13" x14ac:dyDescent="0.3">
      <c r="B139" s="248">
        <f t="shared" si="55"/>
        <v>67.199999999999989</v>
      </c>
      <c r="D139" s="249" t="s">
        <v>229</v>
      </c>
      <c r="F139" s="113">
        <f ca="1">'Distribution Class'!AF139</f>
        <v>0</v>
      </c>
      <c r="H139" s="200"/>
      <c r="K139" s="192">
        <f>_xlfn.IFNA(MATCH(J139,'Dist Cust Factors'!$B$12:$B$447,0),0)</f>
        <v>0</v>
      </c>
      <c r="L139" s="113">
        <f t="shared" ca="1" si="56"/>
        <v>0</v>
      </c>
      <c r="O139" s="192">
        <f>_xlfn.IFNA(MATCH(N139,'Dist Cust Factors'!$B$12:$B$451,0),0)</f>
        <v>0</v>
      </c>
      <c r="P139" s="200">
        <f ca="1">OFFSET('Dist Cust Factors'!$B$12,$O139-1,P$14)*$L139+OFFSET('Dist Cust Factors'!$B$12,$K139-1,P$14)*$H139</f>
        <v>0</v>
      </c>
      <c r="R139" s="200">
        <f ca="1">OFFSET('Dist Cust Factors'!$B$12,$O139-1,R$14)*$L139+OFFSET('Dist Cust Factors'!$B$12,$K139-1,R$14)*$H139</f>
        <v>0</v>
      </c>
      <c r="S139" s="200"/>
      <c r="T139" s="200">
        <f ca="1">OFFSET('Dist Cust Factors'!$B$12,$O139-1,T$14)*$L139+OFFSET('Dist Cust Factors'!$B$12,$K139-1,T$14)*$H139</f>
        <v>0</v>
      </c>
      <c r="U139" s="200"/>
      <c r="V139" s="200">
        <f ca="1">OFFSET('Dist Cust Factors'!$B$12,$O139-1,V$14)*$L139+OFFSET('Dist Cust Factors'!$B$12,$K139-1,V$14)*$H139</f>
        <v>0</v>
      </c>
      <c r="W139" s="200"/>
      <c r="X139" s="200">
        <f t="shared" ca="1" si="42"/>
        <v>0</v>
      </c>
      <c r="Z139" s="247" t="str">
        <f t="shared" ca="1" si="49"/>
        <v/>
      </c>
      <c r="AB139" s="235">
        <f ca="1">'Distribution Class'!BH139</f>
        <v>0</v>
      </c>
      <c r="AC139" s="242">
        <f t="shared" ca="1" si="57"/>
        <v>0</v>
      </c>
      <c r="AE139" s="199">
        <f t="shared" ca="1" si="44"/>
        <v>0</v>
      </c>
      <c r="AG139" s="199">
        <f t="shared" ca="1" si="45"/>
        <v>0</v>
      </c>
      <c r="AI139" s="199">
        <f t="shared" ca="1" si="46"/>
        <v>0</v>
      </c>
      <c r="AK139" s="199">
        <f t="shared" ca="1" si="47"/>
        <v>0</v>
      </c>
    </row>
    <row r="140" spans="2:37" ht="13" x14ac:dyDescent="0.3">
      <c r="B140" s="248">
        <f t="shared" si="55"/>
        <v>67.299999999999983</v>
      </c>
      <c r="D140" s="249" t="s">
        <v>203</v>
      </c>
      <c r="F140" s="113">
        <f ca="1">'Distribution Class'!AF140</f>
        <v>0</v>
      </c>
      <c r="H140" s="200"/>
      <c r="K140" s="192">
        <f>_xlfn.IFNA(MATCH(J140,'Dist Cust Factors'!$B$12:$B$447,0),0)</f>
        <v>0</v>
      </c>
      <c r="L140" s="113">
        <f t="shared" ca="1" si="56"/>
        <v>0</v>
      </c>
      <c r="O140" s="192">
        <f>_xlfn.IFNA(MATCH(N140,'Dist Cust Factors'!$B$12:$B$451,0),0)</f>
        <v>0</v>
      </c>
      <c r="P140" s="200">
        <f ca="1">OFFSET('Dist Cust Factors'!$B$12,$O140-1,P$14)*$L140+OFFSET('Dist Cust Factors'!$B$12,$K140-1,P$14)*$H140</f>
        <v>0</v>
      </c>
      <c r="R140" s="200">
        <f ca="1">OFFSET('Dist Cust Factors'!$B$12,$O140-1,R$14)*$L140+OFFSET('Dist Cust Factors'!$B$12,$K140-1,R$14)*$H140</f>
        <v>0</v>
      </c>
      <c r="S140" s="200"/>
      <c r="T140" s="200">
        <f ca="1">OFFSET('Dist Cust Factors'!$B$12,$O140-1,T$14)*$L140+OFFSET('Dist Cust Factors'!$B$12,$K140-1,T$14)*$H140</f>
        <v>0</v>
      </c>
      <c r="U140" s="200"/>
      <c r="V140" s="200">
        <f ca="1">OFFSET('Dist Cust Factors'!$B$12,$O140-1,V$14)*$L140+OFFSET('Dist Cust Factors'!$B$12,$K140-1,V$14)*$H140</f>
        <v>0</v>
      </c>
      <c r="W140" s="200"/>
      <c r="X140" s="200">
        <f t="shared" ca="1" si="42"/>
        <v>0</v>
      </c>
      <c r="Z140" s="247" t="str">
        <f t="shared" ca="1" si="49"/>
        <v/>
      </c>
      <c r="AB140" s="235">
        <f ca="1">'Distribution Class'!BH140</f>
        <v>0</v>
      </c>
      <c r="AC140" s="242">
        <f t="shared" ca="1" si="57"/>
        <v>0</v>
      </c>
      <c r="AE140" s="199">
        <f t="shared" ca="1" si="44"/>
        <v>0</v>
      </c>
      <c r="AG140" s="199">
        <f t="shared" ca="1" si="45"/>
        <v>0</v>
      </c>
      <c r="AI140" s="199">
        <f t="shared" ca="1" si="46"/>
        <v>0</v>
      </c>
      <c r="AK140" s="199">
        <f t="shared" ca="1" si="47"/>
        <v>0</v>
      </c>
    </row>
    <row r="141" spans="2:37" ht="13" x14ac:dyDescent="0.3">
      <c r="B141" s="248">
        <f t="shared" si="55"/>
        <v>67.399999999999977</v>
      </c>
      <c r="D141" s="206" t="s">
        <v>230</v>
      </c>
      <c r="F141" s="113">
        <f ca="1">'Distribution Class'!AF141</f>
        <v>0</v>
      </c>
      <c r="H141" s="200"/>
      <c r="K141" s="192">
        <f>_xlfn.IFNA(MATCH(J141,'Dist Cust Factors'!$B$12:$B$447,0),0)</f>
        <v>0</v>
      </c>
      <c r="L141" s="113">
        <f t="shared" ca="1" si="56"/>
        <v>0</v>
      </c>
      <c r="O141" s="192">
        <f>_xlfn.IFNA(MATCH(N141,'Dist Cust Factors'!$B$12:$B$451,0),0)</f>
        <v>0</v>
      </c>
      <c r="P141" s="200">
        <f ca="1">OFFSET('Dist Cust Factors'!$B$12,$O141-1,P$14)*$L141+OFFSET('Dist Cust Factors'!$B$12,$K141-1,P$14)*$H141</f>
        <v>0</v>
      </c>
      <c r="R141" s="200">
        <f ca="1">OFFSET('Dist Cust Factors'!$B$12,$O141-1,R$14)*$L141+OFFSET('Dist Cust Factors'!$B$12,$K141-1,R$14)*$H141</f>
        <v>0</v>
      </c>
      <c r="S141" s="200"/>
      <c r="T141" s="200">
        <f ca="1">OFFSET('Dist Cust Factors'!$B$12,$O141-1,T$14)*$L141+OFFSET('Dist Cust Factors'!$B$12,$K141-1,T$14)*$H141</f>
        <v>0</v>
      </c>
      <c r="U141" s="200"/>
      <c r="V141" s="200">
        <f ca="1">OFFSET('Dist Cust Factors'!$B$12,$O141-1,V$14)*$L141+OFFSET('Dist Cust Factors'!$B$12,$K141-1,V$14)*$H141</f>
        <v>0</v>
      </c>
      <c r="W141" s="200"/>
      <c r="X141" s="200">
        <f t="shared" ca="1" si="42"/>
        <v>0</v>
      </c>
      <c r="Z141" s="247" t="str">
        <f t="shared" ca="1" si="49"/>
        <v/>
      </c>
      <c r="AB141" s="235">
        <f ca="1">'Distribution Class'!BH141</f>
        <v>0</v>
      </c>
      <c r="AC141" s="242">
        <f t="shared" ca="1" si="57"/>
        <v>0</v>
      </c>
      <c r="AE141" s="199">
        <f t="shared" ca="1" si="44"/>
        <v>0</v>
      </c>
      <c r="AG141" s="199">
        <f t="shared" ca="1" si="45"/>
        <v>0</v>
      </c>
      <c r="AI141" s="199">
        <f t="shared" ca="1" si="46"/>
        <v>0</v>
      </c>
      <c r="AK141" s="199">
        <f t="shared" ca="1" si="47"/>
        <v>0</v>
      </c>
    </row>
    <row r="142" spans="2:37" ht="13" x14ac:dyDescent="0.3">
      <c r="B142" s="248">
        <f t="shared" si="55"/>
        <v>67.499999999999972</v>
      </c>
      <c r="D142" s="206" t="s">
        <v>21</v>
      </c>
      <c r="F142" s="113">
        <f ca="1">'Distribution Class'!AF142</f>
        <v>0</v>
      </c>
      <c r="H142" s="200"/>
      <c r="K142" s="192">
        <f>_xlfn.IFNA(MATCH(J142,'Dist Cust Factors'!$B$12:$B$447,0),0)</f>
        <v>0</v>
      </c>
      <c r="L142" s="113">
        <f t="shared" ca="1" si="56"/>
        <v>0</v>
      </c>
      <c r="O142" s="192">
        <f>_xlfn.IFNA(MATCH(N142,'Dist Cust Factors'!$B$12:$B$451,0),0)</f>
        <v>0</v>
      </c>
      <c r="P142" s="200">
        <f ca="1">OFFSET('Dist Cust Factors'!$B$12,$O142-1,P$14)*$L142+OFFSET('Dist Cust Factors'!$B$12,$K142-1,P$14)*$H142</f>
        <v>0</v>
      </c>
      <c r="R142" s="200">
        <f ca="1">OFFSET('Dist Cust Factors'!$B$12,$O142-1,R$14)*$L142+OFFSET('Dist Cust Factors'!$B$12,$K142-1,R$14)*$H142</f>
        <v>0</v>
      </c>
      <c r="S142" s="200"/>
      <c r="T142" s="200">
        <f ca="1">OFFSET('Dist Cust Factors'!$B$12,$O142-1,T$14)*$L142+OFFSET('Dist Cust Factors'!$B$12,$K142-1,T$14)*$H142</f>
        <v>0</v>
      </c>
      <c r="U142" s="200"/>
      <c r="V142" s="200">
        <f ca="1">OFFSET('Dist Cust Factors'!$B$12,$O142-1,V$14)*$L142+OFFSET('Dist Cust Factors'!$B$12,$K142-1,V$14)*$H142</f>
        <v>0</v>
      </c>
      <c r="W142" s="200"/>
      <c r="X142" s="200">
        <f t="shared" ca="1" si="42"/>
        <v>0</v>
      </c>
      <c r="Z142" s="247" t="str">
        <f t="shared" ca="1" si="49"/>
        <v/>
      </c>
      <c r="AB142" s="235">
        <f ca="1">'Distribution Class'!BH142</f>
        <v>0</v>
      </c>
      <c r="AC142" s="242">
        <f t="shared" ca="1" si="57"/>
        <v>0</v>
      </c>
      <c r="AE142" s="199">
        <f t="shared" ca="1" si="44"/>
        <v>0</v>
      </c>
      <c r="AG142" s="199">
        <f t="shared" ca="1" si="45"/>
        <v>0</v>
      </c>
      <c r="AI142" s="199">
        <f t="shared" ca="1" si="46"/>
        <v>0</v>
      </c>
      <c r="AK142" s="199">
        <f t="shared" ca="1" si="47"/>
        <v>0</v>
      </c>
    </row>
    <row r="143" spans="2:37" ht="13" x14ac:dyDescent="0.3">
      <c r="B143" s="248">
        <f t="shared" si="55"/>
        <v>67.599999999999966</v>
      </c>
      <c r="D143" s="206" t="s">
        <v>231</v>
      </c>
      <c r="F143" s="113">
        <f ca="1">'Distribution Class'!AF143</f>
        <v>0</v>
      </c>
      <c r="H143" s="200"/>
      <c r="K143" s="192">
        <f>_xlfn.IFNA(MATCH(J143,'Dist Cust Factors'!$B$12:$B$447,0),0)</f>
        <v>0</v>
      </c>
      <c r="L143" s="113">
        <f t="shared" ca="1" si="56"/>
        <v>0</v>
      </c>
      <c r="O143" s="192">
        <f>_xlfn.IFNA(MATCH(N143,'Dist Cust Factors'!$B$12:$B$451,0),0)</f>
        <v>0</v>
      </c>
      <c r="P143" s="200">
        <f ca="1">OFFSET('Dist Cust Factors'!$B$12,$O143-1,P$14)*$L143+OFFSET('Dist Cust Factors'!$B$12,$K143-1,P$14)*$H143</f>
        <v>0</v>
      </c>
      <c r="R143" s="200">
        <f ca="1">OFFSET('Dist Cust Factors'!$B$12,$O143-1,R$14)*$L143+OFFSET('Dist Cust Factors'!$B$12,$K143-1,R$14)*$H143</f>
        <v>0</v>
      </c>
      <c r="S143" s="200"/>
      <c r="T143" s="200">
        <f ca="1">OFFSET('Dist Cust Factors'!$B$12,$O143-1,T$14)*$L143+OFFSET('Dist Cust Factors'!$B$12,$K143-1,T$14)*$H143</f>
        <v>0</v>
      </c>
      <c r="U143" s="200"/>
      <c r="V143" s="200">
        <f ca="1">OFFSET('Dist Cust Factors'!$B$12,$O143-1,V$14)*$L143+OFFSET('Dist Cust Factors'!$B$12,$K143-1,V$14)*$H143</f>
        <v>0</v>
      </c>
      <c r="W143" s="200"/>
      <c r="X143" s="200">
        <f t="shared" ca="1" si="42"/>
        <v>0</v>
      </c>
      <c r="Z143" s="247" t="str">
        <f t="shared" ca="1" si="49"/>
        <v/>
      </c>
      <c r="AB143" s="235">
        <f ca="1">'Distribution Class'!BH143</f>
        <v>0</v>
      </c>
      <c r="AC143" s="242">
        <f t="shared" ca="1" si="57"/>
        <v>0</v>
      </c>
      <c r="AE143" s="199">
        <f t="shared" ca="1" si="44"/>
        <v>0</v>
      </c>
      <c r="AG143" s="199">
        <f t="shared" ca="1" si="45"/>
        <v>0</v>
      </c>
      <c r="AI143" s="199">
        <f t="shared" ca="1" si="46"/>
        <v>0</v>
      </c>
      <c r="AK143" s="199">
        <f t="shared" ca="1" si="47"/>
        <v>0</v>
      </c>
    </row>
    <row r="144" spans="2:37" ht="13" x14ac:dyDescent="0.3">
      <c r="B144" s="91">
        <f>B137+1</f>
        <v>68</v>
      </c>
      <c r="D144" s="73" t="s">
        <v>232</v>
      </c>
      <c r="K144" s="192"/>
      <c r="O144" s="192">
        <f>_xlfn.IFNA(MATCH(N144,'Dist Cust Factors'!$B$12:$B$451,0),0)</f>
        <v>0</v>
      </c>
      <c r="P144" s="200">
        <f ca="1">OFFSET('Dist Cust Factors'!$B$12,$O144-1,P$14)*$L144+OFFSET('Dist Cust Factors'!$B$12,$K144-1,P$14)*$H144</f>
        <v>0</v>
      </c>
      <c r="R144" s="200">
        <f ca="1">OFFSET('Dist Cust Factors'!$B$12,$O144-1,R$14)*$L144+OFFSET('Dist Cust Factors'!$B$12,$K144-1,R$14)*$H144</f>
        <v>0</v>
      </c>
      <c r="S144" s="200"/>
      <c r="T144" s="200">
        <f ca="1">OFFSET('Dist Cust Factors'!$B$12,$O144-1,T$14)*$L144+OFFSET('Dist Cust Factors'!$B$12,$K144-1,T$14)*$H144</f>
        <v>0</v>
      </c>
      <c r="U144" s="200"/>
      <c r="V144" s="200">
        <f ca="1">OFFSET('Dist Cust Factors'!$B$12,$O144-1,V$14)*$L144+OFFSET('Dist Cust Factors'!$B$12,$K144-1,V$14)*$H144</f>
        <v>0</v>
      </c>
      <c r="W144" s="200"/>
      <c r="X144" s="200"/>
      <c r="Z144" s="247" t="str">
        <f t="shared" si="49"/>
        <v/>
      </c>
      <c r="AE144" s="199">
        <f t="shared" ca="1" si="44"/>
        <v>0</v>
      </c>
      <c r="AG144" s="199">
        <f t="shared" ca="1" si="45"/>
        <v>0</v>
      </c>
      <c r="AI144" s="199">
        <f t="shared" ca="1" si="46"/>
        <v>0</v>
      </c>
      <c r="AK144" s="199">
        <f t="shared" ca="1" si="47"/>
        <v>0</v>
      </c>
    </row>
    <row r="145" spans="2:37" ht="13" x14ac:dyDescent="0.3">
      <c r="B145" s="248">
        <f t="shared" ref="B145:B160" si="58">B144+0.1</f>
        <v>68.099999999999994</v>
      </c>
      <c r="D145" s="206" t="s">
        <v>233</v>
      </c>
      <c r="F145" s="113">
        <f ca="1">'Distribution Class'!AF145</f>
        <v>394.23107506524224</v>
      </c>
      <c r="H145" s="200">
        <f ca="1">F145</f>
        <v>394.23107506524224</v>
      </c>
      <c r="J145" s="91" t="s">
        <v>361</v>
      </c>
      <c r="K145" s="192">
        <f>_xlfn.IFNA(MATCH(J145,'Dist Cust Factors'!$B$12:$B$447,0),0)</f>
        <v>5</v>
      </c>
      <c r="L145" s="113">
        <f ca="1">F145-H145</f>
        <v>0</v>
      </c>
      <c r="O145" s="192">
        <f>_xlfn.IFNA(MATCH(N145,'Dist Cust Factors'!$B$12:$B$451,0),0)</f>
        <v>0</v>
      </c>
      <c r="P145" s="200">
        <f ca="1">OFFSET('Dist Cust Factors'!$B$12,$O145-1,P$14)*$L145+OFFSET('Dist Cust Factors'!$B$12,$K145-1,P$14)*$H145</f>
        <v>0</v>
      </c>
      <c r="R145" s="200">
        <f ca="1">OFFSET('Dist Cust Factors'!$B$12,$O145-1,R$14)*$L145+OFFSET('Dist Cust Factors'!$B$12,$K145-1,R$14)*$H145</f>
        <v>0</v>
      </c>
      <c r="S145" s="200"/>
      <c r="T145" s="200">
        <f ca="1">OFFSET('Dist Cust Factors'!$B$12,$O145-1,T$14)*$L145+OFFSET('Dist Cust Factors'!$B$12,$K145-1,T$14)*$H145</f>
        <v>394.23107506524224</v>
      </c>
      <c r="U145" s="200"/>
      <c r="V145" s="200">
        <f ca="1">OFFSET('Dist Cust Factors'!$B$12,$O145-1,V$14)*$L145+OFFSET('Dist Cust Factors'!$B$12,$K145-1,V$14)*$H145</f>
        <v>0</v>
      </c>
      <c r="W145" s="200"/>
      <c r="X145" s="200">
        <f t="shared" ca="1" si="42"/>
        <v>394.23107506524224</v>
      </c>
      <c r="Z145" s="247" t="str">
        <f t="shared" ca="1" si="49"/>
        <v/>
      </c>
      <c r="AB145" s="235">
        <f ca="1">'Distribution Class'!BH145</f>
        <v>162.9706263476908</v>
      </c>
      <c r="AC145" s="242">
        <f ca="1">IFERROR(AB145/F145,0)</f>
        <v>0.41338858516092469</v>
      </c>
      <c r="AE145" s="199">
        <f t="shared" ca="1" si="44"/>
        <v>0</v>
      </c>
      <c r="AG145" s="199">
        <f t="shared" ca="1" si="45"/>
        <v>0</v>
      </c>
      <c r="AI145" s="199">
        <f t="shared" ca="1" si="46"/>
        <v>162.9706263476908</v>
      </c>
      <c r="AK145" s="199">
        <f t="shared" ca="1" si="47"/>
        <v>0</v>
      </c>
    </row>
    <row r="146" spans="2:37" ht="13" x14ac:dyDescent="0.3">
      <c r="B146" s="91">
        <f>B144+1</f>
        <v>69</v>
      </c>
      <c r="D146" s="73" t="s">
        <v>234</v>
      </c>
      <c r="X146" s="200"/>
      <c r="Z146" s="247" t="str">
        <f t="shared" si="49"/>
        <v/>
      </c>
      <c r="AE146" s="199">
        <f t="shared" si="44"/>
        <v>0</v>
      </c>
      <c r="AG146" s="199">
        <f t="shared" si="45"/>
        <v>0</v>
      </c>
      <c r="AI146" s="199">
        <f t="shared" si="46"/>
        <v>0</v>
      </c>
      <c r="AK146" s="199">
        <f t="shared" si="47"/>
        <v>0</v>
      </c>
    </row>
    <row r="147" spans="2:37" ht="13" x14ac:dyDescent="0.3">
      <c r="B147" s="248">
        <f t="shared" si="58"/>
        <v>69.099999999999994</v>
      </c>
      <c r="D147" s="206" t="s">
        <v>202</v>
      </c>
      <c r="F147" s="113">
        <f ca="1">'Distribution Class'!AF147</f>
        <v>11615.53513385792</v>
      </c>
      <c r="H147" s="200"/>
      <c r="K147" s="192">
        <f>_xlfn.IFNA(MATCH(J147,'Dist Cust Factors'!$B$12:$B$447,0),0)</f>
        <v>0</v>
      </c>
      <c r="L147" s="113">
        <f t="shared" ref="L147:L149" ca="1" si="59">F147-H147</f>
        <v>11615.53513385792</v>
      </c>
      <c r="N147" s="91" t="s">
        <v>247</v>
      </c>
      <c r="O147" s="192">
        <f>_xlfn.IFNA(MATCH(N147,'Dist Cust Factors'!$B$12:$B$451,0),0)</f>
        <v>17</v>
      </c>
      <c r="P147" s="200">
        <f ca="1">OFFSET('Dist Cust Factors'!$B$12,$O147-1,P$14)*$L147+OFFSET('Dist Cust Factors'!$B$12,$K147-1,P$14)*$H147</f>
        <v>0</v>
      </c>
      <c r="R147" s="200">
        <f ca="1">OFFSET('Dist Cust Factors'!$B$12,$O147-1,R$14)*$L147+OFFSET('Dist Cust Factors'!$B$12,$K147-1,R$14)*$H147</f>
        <v>11615.53513385792</v>
      </c>
      <c r="S147" s="200"/>
      <c r="T147" s="200">
        <f ca="1">OFFSET('Dist Cust Factors'!$B$12,$O147-1,T$14)*$L147+OFFSET('Dist Cust Factors'!$B$12,$K147-1,T$14)*$H147</f>
        <v>0</v>
      </c>
      <c r="U147" s="200"/>
      <c r="V147" s="200">
        <f ca="1">OFFSET('Dist Cust Factors'!$B$12,$O147-1,V$14)*$L147+OFFSET('Dist Cust Factors'!$B$12,$K147-1,V$14)*$H147</f>
        <v>0</v>
      </c>
      <c r="W147" s="200"/>
      <c r="X147" s="200">
        <f t="shared" ca="1" si="42"/>
        <v>11615.53513385792</v>
      </c>
      <c r="Z147" s="247" t="str">
        <f t="shared" ca="1" si="49"/>
        <v/>
      </c>
      <c r="AB147" s="235">
        <f ca="1">'Distribution Class'!BH147</f>
        <v>7823.0581031571392</v>
      </c>
      <c r="AC147" s="242">
        <f ca="1">IFERROR(AB147/F147,0)</f>
        <v>0.67349958594278136</v>
      </c>
      <c r="AE147" s="199">
        <f t="shared" ca="1" si="44"/>
        <v>0</v>
      </c>
      <c r="AG147" s="199">
        <f t="shared" ca="1" si="45"/>
        <v>7823.0581031571392</v>
      </c>
      <c r="AI147" s="199">
        <f t="shared" ca="1" si="46"/>
        <v>0</v>
      </c>
      <c r="AK147" s="199">
        <f t="shared" ca="1" si="47"/>
        <v>0</v>
      </c>
    </row>
    <row r="148" spans="2:37" ht="13" x14ac:dyDescent="0.3">
      <c r="B148" s="248">
        <f t="shared" si="58"/>
        <v>69.199999999999989</v>
      </c>
      <c r="D148" s="206" t="s">
        <v>145</v>
      </c>
      <c r="F148" s="113">
        <f ca="1">'Distribution Class'!AF148</f>
        <v>0</v>
      </c>
      <c r="H148" s="200"/>
      <c r="K148" s="192">
        <f>_xlfn.IFNA(MATCH(J148,'Dist Cust Factors'!$B$12:$B$447,0),0)</f>
        <v>0</v>
      </c>
      <c r="L148" s="113">
        <f t="shared" ca="1" si="59"/>
        <v>0</v>
      </c>
      <c r="O148" s="192">
        <f>_xlfn.IFNA(MATCH(N148,'Dist Cust Factors'!$B$12:$B$451,0),0)</f>
        <v>0</v>
      </c>
      <c r="P148" s="200">
        <f ca="1">OFFSET('Dist Cust Factors'!$B$12,$O148-1,P$14)*$L148+OFFSET('Dist Cust Factors'!$B$12,$K148-1,P$14)*$H148</f>
        <v>0</v>
      </c>
      <c r="R148" s="200">
        <f ca="1">OFFSET('Dist Cust Factors'!$B$12,$O148-1,R$14)*$L148+OFFSET('Dist Cust Factors'!$B$12,$K148-1,R$14)*$H148</f>
        <v>0</v>
      </c>
      <c r="S148" s="200"/>
      <c r="T148" s="200">
        <f ca="1">OFFSET('Dist Cust Factors'!$B$12,$O148-1,T$14)*$L148+OFFSET('Dist Cust Factors'!$B$12,$K148-1,T$14)*$H148</f>
        <v>0</v>
      </c>
      <c r="U148" s="200"/>
      <c r="V148" s="200">
        <f ca="1">OFFSET('Dist Cust Factors'!$B$12,$O148-1,V$14)*$L148+OFFSET('Dist Cust Factors'!$B$12,$K148-1,V$14)*$H148</f>
        <v>0</v>
      </c>
      <c r="W148" s="200"/>
      <c r="X148" s="200">
        <f t="shared" ca="1" si="42"/>
        <v>0</v>
      </c>
      <c r="Z148" s="247" t="str">
        <f t="shared" ca="1" si="49"/>
        <v/>
      </c>
      <c r="AB148" s="235">
        <f ca="1">'Distribution Class'!BH148</f>
        <v>0</v>
      </c>
      <c r="AC148" s="242">
        <f ca="1">IFERROR(AB148/F148,0)</f>
        <v>0</v>
      </c>
      <c r="AE148" s="199">
        <f t="shared" ca="1" si="44"/>
        <v>0</v>
      </c>
      <c r="AG148" s="199">
        <f t="shared" ca="1" si="45"/>
        <v>0</v>
      </c>
      <c r="AI148" s="199">
        <f t="shared" ca="1" si="46"/>
        <v>0</v>
      </c>
      <c r="AK148" s="199">
        <f t="shared" ca="1" si="47"/>
        <v>0</v>
      </c>
    </row>
    <row r="149" spans="2:37" ht="13" x14ac:dyDescent="0.3">
      <c r="B149" s="248">
        <f t="shared" si="58"/>
        <v>69.299999999999983</v>
      </c>
      <c r="D149" s="206" t="s">
        <v>235</v>
      </c>
      <c r="F149" s="113">
        <f ca="1">'Distribution Class'!AF149</f>
        <v>0</v>
      </c>
      <c r="H149" s="200"/>
      <c r="K149" s="192">
        <f>_xlfn.IFNA(MATCH(J149,'Dist Cust Factors'!$B$12:$B$447,0),0)</f>
        <v>0</v>
      </c>
      <c r="L149" s="113">
        <f t="shared" ca="1" si="59"/>
        <v>0</v>
      </c>
      <c r="O149" s="192">
        <f>_xlfn.IFNA(MATCH(N149,'Dist Cust Factors'!$B$12:$B$451,0),0)</f>
        <v>0</v>
      </c>
      <c r="P149" s="200">
        <f ca="1">OFFSET('Dist Cust Factors'!$B$12,$O149-1,P$14)*$L149+OFFSET('Dist Cust Factors'!$B$12,$K149-1,P$14)*$H149</f>
        <v>0</v>
      </c>
      <c r="R149" s="200">
        <f ca="1">OFFSET('Dist Cust Factors'!$B$12,$O149-1,R$14)*$L149+OFFSET('Dist Cust Factors'!$B$12,$K149-1,R$14)*$H149</f>
        <v>0</v>
      </c>
      <c r="S149" s="200"/>
      <c r="T149" s="200">
        <f ca="1">OFFSET('Dist Cust Factors'!$B$12,$O149-1,T$14)*$L149+OFFSET('Dist Cust Factors'!$B$12,$K149-1,T$14)*$H149</f>
        <v>0</v>
      </c>
      <c r="U149" s="200"/>
      <c r="V149" s="200">
        <f ca="1">OFFSET('Dist Cust Factors'!$B$12,$O149-1,V$14)*$L149+OFFSET('Dist Cust Factors'!$B$12,$K149-1,V$14)*$H149</f>
        <v>0</v>
      </c>
      <c r="W149" s="200"/>
      <c r="X149" s="200">
        <f t="shared" ca="1" si="42"/>
        <v>0</v>
      </c>
      <c r="Z149" s="247" t="str">
        <f t="shared" ca="1" si="49"/>
        <v/>
      </c>
      <c r="AB149" s="235">
        <f ca="1">'Distribution Class'!BH149</f>
        <v>0</v>
      </c>
      <c r="AC149" s="242">
        <f ca="1">IFERROR(AB149/F149,0)</f>
        <v>0</v>
      </c>
      <c r="AE149" s="199">
        <f t="shared" ca="1" si="44"/>
        <v>0</v>
      </c>
      <c r="AG149" s="199">
        <f t="shared" ca="1" si="45"/>
        <v>0</v>
      </c>
      <c r="AI149" s="199">
        <f t="shared" ca="1" si="46"/>
        <v>0</v>
      </c>
      <c r="AK149" s="199">
        <f t="shared" ca="1" si="47"/>
        <v>0</v>
      </c>
    </row>
    <row r="150" spans="2:37" ht="13" x14ac:dyDescent="0.3">
      <c r="B150" s="91">
        <f>B146+1</f>
        <v>70</v>
      </c>
      <c r="D150" s="73" t="s">
        <v>72</v>
      </c>
      <c r="X150" s="200"/>
      <c r="Z150" s="247" t="str">
        <f t="shared" si="49"/>
        <v/>
      </c>
      <c r="AE150" s="199">
        <f t="shared" si="44"/>
        <v>0</v>
      </c>
      <c r="AG150" s="199">
        <f t="shared" si="45"/>
        <v>0</v>
      </c>
      <c r="AI150" s="199">
        <f t="shared" si="46"/>
        <v>0</v>
      </c>
      <c r="AK150" s="199">
        <f t="shared" si="47"/>
        <v>0</v>
      </c>
    </row>
    <row r="151" spans="2:37" ht="13" x14ac:dyDescent="0.3">
      <c r="B151" s="248">
        <f t="shared" si="58"/>
        <v>70.099999999999994</v>
      </c>
      <c r="D151" s="206" t="s">
        <v>196</v>
      </c>
      <c r="F151" s="113">
        <f ca="1">'Distribution Class'!AF151</f>
        <v>2999.0388448958947</v>
      </c>
      <c r="H151" s="200">
        <f>'Function Factors'!L16</f>
        <v>412.91835995474958</v>
      </c>
      <c r="J151" s="91" t="s">
        <v>361</v>
      </c>
      <c r="K151" s="192">
        <f>_xlfn.IFNA(MATCH(J151,'Dist Cust Factors'!$B$12:$B$447,0),0)</f>
        <v>5</v>
      </c>
      <c r="L151" s="113">
        <f t="shared" ref="L151:L157" ca="1" si="60">F151-H151</f>
        <v>2586.1204849411452</v>
      </c>
      <c r="N151" s="91" t="s">
        <v>357</v>
      </c>
      <c r="O151" s="192">
        <f>_xlfn.IFNA(MATCH(N151,'Dist Cust Factors'!$B$12:$B$451,0),0)</f>
        <v>14</v>
      </c>
      <c r="P151" s="200">
        <f ca="1">OFFSET('Dist Cust Factors'!$B$12,$O151-1,P$14)*$L151+OFFSET('Dist Cust Factors'!$B$12,$K151-1,P$14)*$H151</f>
        <v>273.90370733778195</v>
      </c>
      <c r="R151" s="200">
        <f ca="1">OFFSET('Dist Cust Factors'!$B$12,$O151-1,R$14)*$L151+OFFSET('Dist Cust Factors'!$B$12,$K151-1,R$14)*$H151</f>
        <v>2242.5210062823558</v>
      </c>
      <c r="S151" s="200"/>
      <c r="T151" s="200">
        <f ca="1">OFFSET('Dist Cust Factors'!$B$12,$O151-1,T$14)*$L151+OFFSET('Dist Cust Factors'!$B$12,$K151-1,T$14)*$H151</f>
        <v>482.61413127575673</v>
      </c>
      <c r="U151" s="200"/>
      <c r="V151" s="200">
        <f ca="1">OFFSET('Dist Cust Factors'!$B$12,$O151-1,V$14)*$L151+OFFSET('Dist Cust Factors'!$B$12,$K151-1,V$14)*$H151</f>
        <v>0</v>
      </c>
      <c r="W151" s="200"/>
      <c r="X151" s="200">
        <f t="shared" ca="1" si="42"/>
        <v>2999.0388448958943</v>
      </c>
      <c r="Z151" s="247" t="str">
        <f t="shared" ca="1" si="49"/>
        <v/>
      </c>
      <c r="AB151" s="235">
        <f ca="1">'Distribution Class'!BH151</f>
        <v>2984.1905036915596</v>
      </c>
      <c r="AC151" s="242">
        <f t="shared" ref="AC151:AC157" ca="1" si="61">IFERROR(AB151/F151,0)</f>
        <v>0.99504896669491105</v>
      </c>
      <c r="AE151" s="199">
        <f t="shared" ca="1" si="44"/>
        <v>272.54760096036523</v>
      </c>
      <c r="AG151" s="199">
        <f t="shared" ca="1" si="45"/>
        <v>2231.4182100928901</v>
      </c>
      <c r="AI151" s="199">
        <f t="shared" ca="1" si="46"/>
        <v>480.22469263830391</v>
      </c>
      <c r="AK151" s="199">
        <f t="shared" ca="1" si="47"/>
        <v>0</v>
      </c>
    </row>
    <row r="152" spans="2:37" ht="13" x14ac:dyDescent="0.3">
      <c r="B152" s="248">
        <f t="shared" si="58"/>
        <v>70.199999999999989</v>
      </c>
      <c r="D152" s="206" t="s">
        <v>236</v>
      </c>
      <c r="F152" s="113">
        <f ca="1">'Distribution Class'!AF152</f>
        <v>19535.319138357758</v>
      </c>
      <c r="H152" s="200"/>
      <c r="K152" s="192">
        <f>_xlfn.IFNA(MATCH(J152,'Dist Cust Factors'!$B$12:$B$447,0),0)</f>
        <v>0</v>
      </c>
      <c r="L152" s="113">
        <f t="shared" ca="1" si="60"/>
        <v>19535.319138357758</v>
      </c>
      <c r="N152" s="91" t="s">
        <v>247</v>
      </c>
      <c r="O152" s="192">
        <f>_xlfn.IFNA(MATCH(N152,'Dist Cust Factors'!$B$12:$B$451,0),0)</f>
        <v>17</v>
      </c>
      <c r="P152" s="200">
        <f ca="1">OFFSET('Dist Cust Factors'!$B$12,$O152-1,P$14)*$L152+OFFSET('Dist Cust Factors'!$B$12,$K152-1,P$14)*$H152</f>
        <v>0</v>
      </c>
      <c r="R152" s="200">
        <f ca="1">OFFSET('Dist Cust Factors'!$B$12,$O152-1,R$14)*$L152+OFFSET('Dist Cust Factors'!$B$12,$K152-1,R$14)*$H152</f>
        <v>19535.319138357758</v>
      </c>
      <c r="S152" s="200"/>
      <c r="T152" s="200">
        <f ca="1">OFFSET('Dist Cust Factors'!$B$12,$O152-1,T$14)*$L152+OFFSET('Dist Cust Factors'!$B$12,$K152-1,T$14)*$H152</f>
        <v>0</v>
      </c>
      <c r="U152" s="200"/>
      <c r="V152" s="200">
        <f ca="1">OFFSET('Dist Cust Factors'!$B$12,$O152-1,V$14)*$L152+OFFSET('Dist Cust Factors'!$B$12,$K152-1,V$14)*$H152</f>
        <v>0</v>
      </c>
      <c r="W152" s="200"/>
      <c r="X152" s="200">
        <f t="shared" ca="1" si="42"/>
        <v>19535.319138357758</v>
      </c>
      <c r="Z152" s="247" t="str">
        <f t="shared" ca="1" si="49"/>
        <v/>
      </c>
      <c r="AB152" s="235">
        <f ca="1">'Distribution Class'!BH152</f>
        <v>8208.9423951896006</v>
      </c>
      <c r="AC152" s="242">
        <f t="shared" ca="1" si="61"/>
        <v>0.42021030406773724</v>
      </c>
      <c r="AE152" s="199">
        <f t="shared" ca="1" si="44"/>
        <v>0</v>
      </c>
      <c r="AG152" s="199">
        <f t="shared" ca="1" si="45"/>
        <v>8208.9423951896006</v>
      </c>
      <c r="AI152" s="199">
        <f t="shared" ca="1" si="46"/>
        <v>0</v>
      </c>
      <c r="AK152" s="199">
        <f t="shared" ca="1" si="47"/>
        <v>0</v>
      </c>
    </row>
    <row r="153" spans="2:37" ht="13" x14ac:dyDescent="0.3">
      <c r="B153" s="248">
        <f t="shared" si="58"/>
        <v>70.299999999999983</v>
      </c>
      <c r="D153" s="206" t="s">
        <v>197</v>
      </c>
      <c r="F153" s="113">
        <f ca="1">'Distribution Class'!AF153</f>
        <v>23437.232127810334</v>
      </c>
      <c r="H153" s="200"/>
      <c r="K153" s="192">
        <f>_xlfn.IFNA(MATCH(J153,'Dist Cust Factors'!$B$12:$B$447,0),0)</f>
        <v>0</v>
      </c>
      <c r="L153" s="113">
        <f t="shared" ca="1" si="60"/>
        <v>23437.232127810334</v>
      </c>
      <c r="N153" s="91" t="s">
        <v>247</v>
      </c>
      <c r="O153" s="192">
        <f>_xlfn.IFNA(MATCH(N153,'Dist Cust Factors'!$B$12:$B$451,0),0)</f>
        <v>17</v>
      </c>
      <c r="P153" s="200">
        <f ca="1">OFFSET('Dist Cust Factors'!$B$12,$O153-1,P$14)*$L153+OFFSET('Dist Cust Factors'!$B$12,$K153-1,P$14)*$H153</f>
        <v>0</v>
      </c>
      <c r="R153" s="200">
        <f ca="1">OFFSET('Dist Cust Factors'!$B$12,$O153-1,R$14)*$L153+OFFSET('Dist Cust Factors'!$B$12,$K153-1,R$14)*$H153</f>
        <v>23437.232127810334</v>
      </c>
      <c r="S153" s="200"/>
      <c r="T153" s="200">
        <f ca="1">OFFSET('Dist Cust Factors'!$B$12,$O153-1,T$14)*$L153+OFFSET('Dist Cust Factors'!$B$12,$K153-1,T$14)*$H153</f>
        <v>0</v>
      </c>
      <c r="U153" s="200"/>
      <c r="V153" s="200">
        <f ca="1">OFFSET('Dist Cust Factors'!$B$12,$O153-1,V$14)*$L153+OFFSET('Dist Cust Factors'!$B$12,$K153-1,V$14)*$H153</f>
        <v>0</v>
      </c>
      <c r="W153" s="200"/>
      <c r="X153" s="200">
        <f t="shared" ca="1" si="42"/>
        <v>23437.232127810334</v>
      </c>
      <c r="Z153" s="247" t="str">
        <f t="shared" ca="1" si="49"/>
        <v/>
      </c>
      <c r="AB153" s="235">
        <f ca="1">'Distribution Class'!BH153</f>
        <v>430.97034567832998</v>
      </c>
      <c r="AC153" s="242">
        <f t="shared" ca="1" si="61"/>
        <v>1.8388278245832015E-2</v>
      </c>
      <c r="AE153" s="199">
        <f t="shared" ca="1" si="44"/>
        <v>0</v>
      </c>
      <c r="AG153" s="199">
        <f t="shared" ca="1" si="45"/>
        <v>430.97034567832998</v>
      </c>
      <c r="AI153" s="199">
        <f t="shared" ca="1" si="46"/>
        <v>0</v>
      </c>
      <c r="AK153" s="199">
        <f t="shared" ca="1" si="47"/>
        <v>0</v>
      </c>
    </row>
    <row r="154" spans="2:37" ht="13" x14ac:dyDescent="0.3">
      <c r="B154" s="248">
        <f t="shared" si="58"/>
        <v>70.399999999999977</v>
      </c>
      <c r="D154" s="206" t="s">
        <v>198</v>
      </c>
      <c r="F154" s="113">
        <f ca="1">'Distribution Class'!AF154</f>
        <v>47499.389818864729</v>
      </c>
      <c r="H154" s="200"/>
      <c r="K154" s="192">
        <f>_xlfn.IFNA(MATCH(J154,'Dist Cust Factors'!$B$12:$B$447,0),0)</f>
        <v>0</v>
      </c>
      <c r="L154" s="113">
        <f t="shared" ca="1" si="60"/>
        <v>47499.389818864729</v>
      </c>
      <c r="N154" s="91" t="s">
        <v>247</v>
      </c>
      <c r="O154" s="192">
        <f>_xlfn.IFNA(MATCH(N154,'Dist Cust Factors'!$B$12:$B$451,0),0)</f>
        <v>17</v>
      </c>
      <c r="P154" s="200">
        <f ca="1">OFFSET('Dist Cust Factors'!$B$12,$O154-1,P$14)*$L154+OFFSET('Dist Cust Factors'!$B$12,$K154-1,P$14)*$H154</f>
        <v>0</v>
      </c>
      <c r="R154" s="200">
        <f ca="1">OFFSET('Dist Cust Factors'!$B$12,$O154-1,R$14)*$L154+OFFSET('Dist Cust Factors'!$B$12,$K154-1,R$14)*$H154</f>
        <v>47499.389818864729</v>
      </c>
      <c r="S154" s="200"/>
      <c r="T154" s="200">
        <f ca="1">OFFSET('Dist Cust Factors'!$B$12,$O154-1,T$14)*$L154+OFFSET('Dist Cust Factors'!$B$12,$K154-1,T$14)*$H154</f>
        <v>0</v>
      </c>
      <c r="U154" s="200"/>
      <c r="V154" s="200">
        <f ca="1">OFFSET('Dist Cust Factors'!$B$12,$O154-1,V$14)*$L154+OFFSET('Dist Cust Factors'!$B$12,$K154-1,V$14)*$H154</f>
        <v>0</v>
      </c>
      <c r="W154" s="200"/>
      <c r="X154" s="200">
        <f t="shared" ca="1" si="42"/>
        <v>47499.389818864729</v>
      </c>
      <c r="Z154" s="247" t="str">
        <f t="shared" ref="Z154:Z180" ca="1" si="62">IF(ROUND(F154,4)=ROUND(X154,4), "", "check")</f>
        <v/>
      </c>
      <c r="AB154" s="235">
        <f ca="1">'Distribution Class'!BH154</f>
        <v>4988.9291576484293</v>
      </c>
      <c r="AC154" s="242">
        <f t="shared" ca="1" si="61"/>
        <v>0.10503143675473152</v>
      </c>
      <c r="AE154" s="199">
        <f t="shared" ca="1" si="44"/>
        <v>0</v>
      </c>
      <c r="AG154" s="199">
        <f t="shared" ca="1" si="45"/>
        <v>4988.9291576484293</v>
      </c>
      <c r="AI154" s="199">
        <f t="shared" ca="1" si="46"/>
        <v>0</v>
      </c>
      <c r="AK154" s="199">
        <f t="shared" ca="1" si="47"/>
        <v>0</v>
      </c>
    </row>
    <row r="155" spans="2:37" ht="13" x14ac:dyDescent="0.3">
      <c r="B155" s="248">
        <f t="shared" si="58"/>
        <v>70.499999999999972</v>
      </c>
      <c r="D155" s="206" t="s">
        <v>199</v>
      </c>
      <c r="F155" s="113">
        <f ca="1">'Distribution Class'!AF155</f>
        <v>3006.3131315267215</v>
      </c>
      <c r="H155" s="200"/>
      <c r="K155" s="192">
        <f>_xlfn.IFNA(MATCH(J155,'Dist Cust Factors'!$B$12:$B$447,0),0)</f>
        <v>0</v>
      </c>
      <c r="L155" s="113">
        <f t="shared" ca="1" si="60"/>
        <v>3006.3131315267215</v>
      </c>
      <c r="N155" s="91" t="s">
        <v>361</v>
      </c>
      <c r="O155" s="192">
        <f>_xlfn.IFNA(MATCH(N155,'Dist Cust Factors'!$B$12:$B$451,0),0)</f>
        <v>5</v>
      </c>
      <c r="P155" s="200">
        <f ca="1">OFFSET('Dist Cust Factors'!$B$12,$O155-1,P$14)*$L155+OFFSET('Dist Cust Factors'!$B$12,$K155-1,P$14)*$H155</f>
        <v>0</v>
      </c>
      <c r="R155" s="200">
        <f ca="1">OFFSET('Dist Cust Factors'!$B$12,$O155-1,R$14)*$L155+OFFSET('Dist Cust Factors'!$B$12,$K155-1,R$14)*$H155</f>
        <v>0</v>
      </c>
      <c r="S155" s="200"/>
      <c r="T155" s="200">
        <f ca="1">OFFSET('Dist Cust Factors'!$B$12,$O155-1,T$14)*$L155+OFFSET('Dist Cust Factors'!$B$12,$K155-1,T$14)*$H155</f>
        <v>3006.3131315267215</v>
      </c>
      <c r="U155" s="200"/>
      <c r="V155" s="200">
        <f ca="1">OFFSET('Dist Cust Factors'!$B$12,$O155-1,V$14)*$L155+OFFSET('Dist Cust Factors'!$B$12,$K155-1,V$14)*$H155</f>
        <v>0</v>
      </c>
      <c r="W155" s="200"/>
      <c r="X155" s="200">
        <f t="shared" ca="1" si="42"/>
        <v>3006.3131315267215</v>
      </c>
      <c r="Z155" s="247" t="str">
        <f t="shared" ca="1" si="62"/>
        <v/>
      </c>
      <c r="AB155" s="235">
        <f ca="1">'Distribution Class'!BH155</f>
        <v>2781.7547861991366</v>
      </c>
      <c r="AC155" s="242">
        <f t="shared" ca="1" si="61"/>
        <v>0.92530440592742058</v>
      </c>
      <c r="AE155" s="199">
        <f t="shared" ca="1" si="44"/>
        <v>0</v>
      </c>
      <c r="AG155" s="199">
        <f t="shared" ca="1" si="45"/>
        <v>0</v>
      </c>
      <c r="AI155" s="199">
        <f t="shared" ca="1" si="46"/>
        <v>2781.7547861991366</v>
      </c>
      <c r="AK155" s="199">
        <f t="shared" ca="1" si="47"/>
        <v>0</v>
      </c>
    </row>
    <row r="156" spans="2:37" ht="13" x14ac:dyDescent="0.3">
      <c r="B156" s="248">
        <f t="shared" si="58"/>
        <v>70.599999999999966</v>
      </c>
      <c r="D156" s="206" t="s">
        <v>200</v>
      </c>
      <c r="F156" s="113">
        <f ca="1">'Distribution Class'!AF156</f>
        <v>6258.7532042938401</v>
      </c>
      <c r="H156" s="200"/>
      <c r="K156" s="192">
        <f>_xlfn.IFNA(MATCH(J156,'Dist Cust Factors'!$B$12:$B$447,0),0)</f>
        <v>0</v>
      </c>
      <c r="L156" s="113">
        <f t="shared" ca="1" si="60"/>
        <v>6258.7532042938401</v>
      </c>
      <c r="N156" s="91" t="s">
        <v>247</v>
      </c>
      <c r="O156" s="192">
        <f>_xlfn.IFNA(MATCH(N156,'Dist Cust Factors'!$B$12:$B$451,0),0)</f>
        <v>17</v>
      </c>
      <c r="P156" s="200">
        <f ca="1">OFFSET('Dist Cust Factors'!$B$12,$O156-1,P$14)*$L156+OFFSET('Dist Cust Factors'!$B$12,$K156-1,P$14)*$H156</f>
        <v>0</v>
      </c>
      <c r="R156" s="200">
        <f ca="1">OFFSET('Dist Cust Factors'!$B$12,$O156-1,R$14)*$L156+OFFSET('Dist Cust Factors'!$B$12,$K156-1,R$14)*$H156</f>
        <v>6258.7532042938401</v>
      </c>
      <c r="S156" s="200"/>
      <c r="T156" s="200">
        <f ca="1">OFFSET('Dist Cust Factors'!$B$12,$O156-1,T$14)*$L156+OFFSET('Dist Cust Factors'!$B$12,$K156-1,T$14)*$H156</f>
        <v>0</v>
      </c>
      <c r="U156" s="200"/>
      <c r="V156" s="200">
        <f ca="1">OFFSET('Dist Cust Factors'!$B$12,$O156-1,V$14)*$L156+OFFSET('Dist Cust Factors'!$B$12,$K156-1,V$14)*$H156</f>
        <v>0</v>
      </c>
      <c r="W156" s="200"/>
      <c r="X156" s="200">
        <f t="shared" ca="1" si="42"/>
        <v>6258.7532042938401</v>
      </c>
      <c r="Z156" s="247" t="str">
        <f t="shared" ca="1" si="62"/>
        <v/>
      </c>
      <c r="AB156" s="235">
        <f ca="1">'Distribution Class'!BH156</f>
        <v>1248.1922043138802</v>
      </c>
      <c r="AC156" s="242">
        <f t="shared" ca="1" si="61"/>
        <v>0.19943144641932095</v>
      </c>
      <c r="AE156" s="199">
        <f t="shared" ca="1" si="44"/>
        <v>0</v>
      </c>
      <c r="AG156" s="199">
        <f t="shared" ca="1" si="45"/>
        <v>1248.1922043138802</v>
      </c>
      <c r="AI156" s="199">
        <f t="shared" ca="1" si="46"/>
        <v>0</v>
      </c>
      <c r="AK156" s="199">
        <f t="shared" ca="1" si="47"/>
        <v>0</v>
      </c>
    </row>
    <row r="157" spans="2:37" ht="13" x14ac:dyDescent="0.3">
      <c r="B157" s="248">
        <f t="shared" si="58"/>
        <v>70.69999999999996</v>
      </c>
      <c r="D157" s="206" t="s">
        <v>201</v>
      </c>
      <c r="F157" s="113">
        <f ca="1">'Distribution Class'!AF157</f>
        <v>11814.781536038916</v>
      </c>
      <c r="H157" s="200"/>
      <c r="J157" s="91"/>
      <c r="K157" s="192">
        <f>_xlfn.IFNA(MATCH(J157,'Dist Cust Factors'!$B$12:$B$447,0),0)</f>
        <v>0</v>
      </c>
      <c r="L157" s="113">
        <f t="shared" ca="1" si="60"/>
        <v>11814.781536038916</v>
      </c>
      <c r="N157" s="91" t="s">
        <v>252</v>
      </c>
      <c r="O157" s="192">
        <f>_xlfn.IFNA(MATCH(N157,'Dist Cust Factors'!$B$12:$B$451,0),0)</f>
        <v>2</v>
      </c>
      <c r="P157" s="200">
        <f ca="1">OFFSET('Dist Cust Factors'!$B$12,$O157-1,P$14)*$L157+OFFSET('Dist Cust Factors'!$B$12,$K157-1,P$14)*$H157</f>
        <v>11814.781536038916</v>
      </c>
      <c r="R157" s="200">
        <f ca="1">OFFSET('Dist Cust Factors'!$B$12,$O157-1,R$14)*$L157+OFFSET('Dist Cust Factors'!$B$12,$K157-1,R$14)*$H157</f>
        <v>0</v>
      </c>
      <c r="S157" s="200"/>
      <c r="T157" s="200">
        <f ca="1">OFFSET('Dist Cust Factors'!$B$12,$O157-1,T$14)*$L157+OFFSET('Dist Cust Factors'!$B$12,$K157-1,T$14)*$H157</f>
        <v>0</v>
      </c>
      <c r="U157" s="200"/>
      <c r="V157" s="200">
        <f ca="1">OFFSET('Dist Cust Factors'!$B$12,$O157-1,V$14)*$L157+OFFSET('Dist Cust Factors'!$B$12,$K157-1,V$14)*$H157</f>
        <v>0</v>
      </c>
      <c r="W157" s="200"/>
      <c r="X157" s="200">
        <f t="shared" ca="1" si="42"/>
        <v>11814.781536038916</v>
      </c>
      <c r="Z157" s="247" t="str">
        <f t="shared" ca="1" si="62"/>
        <v/>
      </c>
      <c r="AB157" s="235">
        <f ca="1">'Distribution Class'!BH157</f>
        <v>0</v>
      </c>
      <c r="AC157" s="242">
        <f t="shared" ca="1" si="61"/>
        <v>0</v>
      </c>
      <c r="AE157" s="199">
        <f t="shared" ca="1" si="44"/>
        <v>0</v>
      </c>
      <c r="AG157" s="199">
        <f t="shared" ca="1" si="45"/>
        <v>0</v>
      </c>
      <c r="AI157" s="199">
        <f t="shared" ca="1" si="46"/>
        <v>0</v>
      </c>
      <c r="AK157" s="199">
        <f t="shared" ca="1" si="47"/>
        <v>0</v>
      </c>
    </row>
    <row r="158" spans="2:37" ht="13" x14ac:dyDescent="0.3">
      <c r="B158" s="91">
        <f>B150+1</f>
        <v>71</v>
      </c>
      <c r="D158" s="73" t="s">
        <v>237</v>
      </c>
      <c r="X158" s="200"/>
      <c r="Z158" s="247" t="str">
        <f t="shared" si="62"/>
        <v/>
      </c>
      <c r="AE158" s="199">
        <f t="shared" si="44"/>
        <v>0</v>
      </c>
      <c r="AG158" s="199">
        <f t="shared" si="45"/>
        <v>0</v>
      </c>
      <c r="AI158" s="199">
        <f t="shared" si="46"/>
        <v>0</v>
      </c>
      <c r="AK158" s="199">
        <f t="shared" si="47"/>
        <v>0</v>
      </c>
    </row>
    <row r="159" spans="2:37" ht="13" x14ac:dyDescent="0.3">
      <c r="B159" s="248">
        <f t="shared" si="58"/>
        <v>71.099999999999994</v>
      </c>
      <c r="D159" s="206" t="s">
        <v>110</v>
      </c>
      <c r="F159" s="113">
        <f ca="1">'Distribution Class'!AF159</f>
        <v>33220.496944953455</v>
      </c>
      <c r="H159" s="200">
        <f>'Function Factors'!L19</f>
        <v>427.13051271001717</v>
      </c>
      <c r="J159" s="91" t="s">
        <v>361</v>
      </c>
      <c r="K159" s="192">
        <f>_xlfn.IFNA(MATCH(J159,'Dist Cust Factors'!$B$12:$B$447,0),0)</f>
        <v>5</v>
      </c>
      <c r="L159" s="113">
        <f t="shared" ref="L159:L160" ca="1" si="63">F159-H159</f>
        <v>32793.366432243434</v>
      </c>
      <c r="N159" s="91" t="s">
        <v>369</v>
      </c>
      <c r="O159" s="192">
        <f>_xlfn.IFNA(MATCH(N159,'Dist Cust Factors'!$B$12:$B$451,0),0)</f>
        <v>8</v>
      </c>
      <c r="P159" s="200">
        <f ca="1">OFFSET('Dist Cust Factors'!$B$12,$O159-1,P$14)*$L159+OFFSET('Dist Cust Factors'!$B$12,$K159-1,P$14)*$H159</f>
        <v>210.64621805684445</v>
      </c>
      <c r="R159" s="200">
        <f ca="1">OFFSET('Dist Cust Factors'!$B$12,$O159-1,R$14)*$L159+OFFSET('Dist Cust Factors'!$B$12,$K159-1,R$14)*$H159</f>
        <v>29427.682190755113</v>
      </c>
      <c r="S159" s="200"/>
      <c r="T159" s="200">
        <f ca="1">OFFSET('Dist Cust Factors'!$B$12,$O159-1,T$14)*$L159+OFFSET('Dist Cust Factors'!$B$12,$K159-1,T$14)*$H159</f>
        <v>3582.168536141502</v>
      </c>
      <c r="U159" s="200"/>
      <c r="V159" s="200">
        <f ca="1">OFFSET('Dist Cust Factors'!$B$12,$O159-1,V$14)*$L159+OFFSET('Dist Cust Factors'!$B$12,$K159-1,V$14)*$H159</f>
        <v>0</v>
      </c>
      <c r="W159" s="200"/>
      <c r="X159" s="200">
        <f t="shared" ca="1" si="42"/>
        <v>33220.496944953462</v>
      </c>
      <c r="Z159" s="247" t="str">
        <f t="shared" ca="1" si="62"/>
        <v/>
      </c>
      <c r="AB159" s="235">
        <f>'Distribution Class'!BH159</f>
        <v>0</v>
      </c>
      <c r="AC159" s="242"/>
      <c r="AE159" s="199"/>
      <c r="AG159" s="199"/>
      <c r="AI159" s="199"/>
      <c r="AK159" s="199"/>
    </row>
    <row r="160" spans="2:37" ht="13" x14ac:dyDescent="0.3">
      <c r="B160" s="248">
        <f t="shared" si="58"/>
        <v>71.199999999999989</v>
      </c>
      <c r="D160" s="206" t="s">
        <v>238</v>
      </c>
      <c r="F160" s="113">
        <f ca="1">'Distribution Class'!AF160</f>
        <v>49176.763167265563</v>
      </c>
      <c r="H160" s="200">
        <f>'Function Factors'!L13</f>
        <v>1107.36012997326</v>
      </c>
      <c r="J160" s="91" t="s">
        <v>361</v>
      </c>
      <c r="K160" s="192">
        <f>_xlfn.IFNA(MATCH(J160,'Dist Cust Factors'!$B$12:$B$447,0),0)</f>
        <v>5</v>
      </c>
      <c r="L160" s="113">
        <f t="shared" ca="1" si="63"/>
        <v>48069.403037292301</v>
      </c>
      <c r="N160" s="91" t="s">
        <v>355</v>
      </c>
      <c r="O160" s="192">
        <f>_xlfn.IFNA(MATCH(N160,'Dist Cust Factors'!$B$12:$B$451,0),0)</f>
        <v>11</v>
      </c>
      <c r="P160" s="66">
        <f ca="1">OFFSET('Dist Cust Factors'!$B$12,$O160-1,P$14)*$L160+OFFSET('Dist Cust Factors'!$B$12,$K160-1,P$14)*$H160</f>
        <v>157.41438538842692</v>
      </c>
      <c r="Q160" s="170"/>
      <c r="R160" s="66">
        <f ca="1">OFFSET('Dist Cust Factors'!$B$12,$O160-1,R$14)*$L160+OFFSET('Dist Cust Factors'!$B$12,$K160-1,R$14)*$H160</f>
        <v>45486.748692081768</v>
      </c>
      <c r="S160" s="66"/>
      <c r="T160" s="66">
        <f ca="1">OFFSET('Dist Cust Factors'!$B$12,$O160-1,T$14)*$L160+OFFSET('Dist Cust Factors'!$B$12,$K160-1,T$14)*$H160</f>
        <v>3532.6000897953659</v>
      </c>
      <c r="U160" s="66"/>
      <c r="V160" s="66">
        <f ca="1">OFFSET('Dist Cust Factors'!$B$12,$O160-1,V$14)*$L160+OFFSET('Dist Cust Factors'!$B$12,$K160-1,V$14)*$H160</f>
        <v>0</v>
      </c>
      <c r="W160" s="66"/>
      <c r="X160" s="66">
        <f t="shared" ca="1" si="42"/>
        <v>49176.763167265555</v>
      </c>
      <c r="Z160" s="247" t="str">
        <f t="shared" ca="1" si="62"/>
        <v/>
      </c>
      <c r="AB160" s="235">
        <f ca="1">'Distribution Class'!BH160</f>
        <v>27510.4109646508</v>
      </c>
      <c r="AC160" s="242">
        <f ca="1">IFERROR(AB160/F160,0)</f>
        <v>0.55941890423083118</v>
      </c>
      <c r="AE160" s="199">
        <f ca="1">$AC160*P160</f>
        <v>88.060582984163545</v>
      </c>
      <c r="AG160" s="199">
        <f ca="1">$AC160*R160</f>
        <v>25446.147110347578</v>
      </c>
      <c r="AI160" s="199">
        <f ca="1">$AC160*T160</f>
        <v>1976.2032713190595</v>
      </c>
      <c r="AK160" s="199">
        <f ca="1">$AC160*V160</f>
        <v>0</v>
      </c>
    </row>
    <row r="161" spans="2:37" ht="13" x14ac:dyDescent="0.3">
      <c r="F161" s="224"/>
      <c r="H161" s="224"/>
      <c r="L161" s="224"/>
      <c r="X161" s="200"/>
      <c r="Z161" s="247" t="str">
        <f t="shared" si="62"/>
        <v/>
      </c>
    </row>
    <row r="162" spans="2:37" ht="13.5" thickBot="1" x14ac:dyDescent="0.35">
      <c r="B162" s="2">
        <f>B158+1</f>
        <v>72</v>
      </c>
      <c r="D162" s="94" t="s">
        <v>341</v>
      </c>
      <c r="F162" s="225">
        <f ca="1">SUM(F115:F160)</f>
        <v>208957.85412293038</v>
      </c>
      <c r="H162" s="225">
        <f ca="1">SUM(H115:H160)</f>
        <v>2341.6400777032691</v>
      </c>
      <c r="L162" s="225">
        <f ca="1">SUM(L115:L160)</f>
        <v>206616.2140452271</v>
      </c>
      <c r="P162" s="204">
        <f ca="1">SUM(P115:P160)</f>
        <v>12456.74584682197</v>
      </c>
      <c r="R162" s="204">
        <f ca="1">SUM(R115:R160)</f>
        <v>185503.18131230382</v>
      </c>
      <c r="S162" s="200"/>
      <c r="T162" s="204">
        <f ca="1">SUM(T115:T160)</f>
        <v>10997.926963804588</v>
      </c>
      <c r="U162" s="200"/>
      <c r="V162" s="204">
        <f ca="1">SUM(V115:V160)</f>
        <v>0</v>
      </c>
      <c r="X162" s="204">
        <f ca="1">P162+R162+T162+V162</f>
        <v>208957.85412293038</v>
      </c>
      <c r="Z162" s="247" t="str">
        <f t="shared" ca="1" si="62"/>
        <v/>
      </c>
      <c r="AB162" s="204">
        <f ca="1">SUM(AB116:AB161)</f>
        <v>56139.419086876573</v>
      </c>
      <c r="AE162" s="204">
        <f ca="1">SUM(AE116:AE161)</f>
        <v>360.60818394452878</v>
      </c>
      <c r="AG162" s="204">
        <f ca="1">SUM(AG116:AG161)</f>
        <v>50377.657526427851</v>
      </c>
      <c r="AI162" s="204">
        <f ca="1">SUM(AI116:AI161)</f>
        <v>5401.1533765041904</v>
      </c>
      <c r="AK162" s="204">
        <f ca="1">SUM(AK116:AK161)</f>
        <v>0</v>
      </c>
    </row>
    <row r="163" spans="2:37" ht="13.5" thickTop="1" x14ac:dyDescent="0.3">
      <c r="S163" s="200"/>
      <c r="U163" s="200"/>
      <c r="X163" s="200"/>
      <c r="Z163" s="247" t="str">
        <f t="shared" si="62"/>
        <v/>
      </c>
    </row>
    <row r="164" spans="2:37" ht="13.5" thickBot="1" x14ac:dyDescent="0.35">
      <c r="B164" s="2">
        <f>B162+1</f>
        <v>73</v>
      </c>
      <c r="D164" s="94" t="s">
        <v>173</v>
      </c>
      <c r="F164" s="207">
        <f ca="1">F162+F104+F109+F108+F97</f>
        <v>223357.76417790024</v>
      </c>
      <c r="H164" s="207">
        <f ca="1">H162+H104+H109+H108+H97</f>
        <v>2341.6400777032691</v>
      </c>
      <c r="L164" s="207">
        <f ca="1">L162+L104+L109+L108+L97</f>
        <v>221016.12410019696</v>
      </c>
      <c r="P164" s="207">
        <f ca="1">P162+P104+P109+P108+P97</f>
        <v>12503.901685000221</v>
      </c>
      <c r="R164" s="207">
        <f ca="1">R162+R104+R109+R108+R97</f>
        <v>199129.41855412768</v>
      </c>
      <c r="S164" s="200"/>
      <c r="T164" s="207">
        <f ca="1">T162+T104+T109+T108+T97</f>
        <v>11724.443938772294</v>
      </c>
      <c r="U164" s="200"/>
      <c r="V164" s="207">
        <f ca="1">V162+V104+V109+V108+V97</f>
        <v>0</v>
      </c>
      <c r="X164" s="207">
        <f ca="1">X162+X104+X109+X108+X97</f>
        <v>223357.76417790024</v>
      </c>
      <c r="Z164" s="247" t="str">
        <f t="shared" ca="1" si="62"/>
        <v/>
      </c>
    </row>
    <row r="165" spans="2:37" ht="13.5" thickTop="1" x14ac:dyDescent="0.3">
      <c r="F165" s="105"/>
      <c r="H165" s="105"/>
      <c r="L165" s="105"/>
      <c r="Z165" s="247" t="str">
        <f t="shared" si="62"/>
        <v/>
      </c>
    </row>
    <row r="166" spans="2:37" ht="13" x14ac:dyDescent="0.3">
      <c r="F166" s="105"/>
      <c r="H166" s="105"/>
      <c r="L166" s="105"/>
      <c r="Z166" s="247" t="str">
        <f t="shared" si="62"/>
        <v/>
      </c>
    </row>
    <row r="167" spans="2:37" ht="13" x14ac:dyDescent="0.3">
      <c r="F167" s="105"/>
      <c r="H167" s="105"/>
      <c r="L167" s="105"/>
      <c r="Z167" s="247" t="str">
        <f t="shared" si="62"/>
        <v/>
      </c>
    </row>
    <row r="168" spans="2:37" ht="13" x14ac:dyDescent="0.3">
      <c r="Z168" s="247" t="str">
        <f t="shared" si="62"/>
        <v/>
      </c>
    </row>
    <row r="169" spans="2:37" ht="13" x14ac:dyDescent="0.3">
      <c r="D169" s="198" t="s">
        <v>132</v>
      </c>
      <c r="F169" s="113"/>
      <c r="H169" s="200"/>
      <c r="K169" s="192"/>
      <c r="L169" s="113"/>
      <c r="O169" s="192"/>
      <c r="P169" s="200"/>
      <c r="R169" s="200"/>
      <c r="S169" s="200"/>
      <c r="T169" s="200"/>
      <c r="U169" s="200"/>
      <c r="V169" s="200"/>
      <c r="W169" s="200"/>
      <c r="X169" s="200"/>
      <c r="Y169" s="94"/>
      <c r="Z169" s="247" t="str">
        <f t="shared" si="62"/>
        <v/>
      </c>
    </row>
    <row r="170" spans="2:37" ht="13" x14ac:dyDescent="0.3">
      <c r="B170" s="2">
        <f>B164+1</f>
        <v>74</v>
      </c>
      <c r="D170" s="73" t="s">
        <v>146</v>
      </c>
      <c r="F170" s="113">
        <f ca="1">'Distribution Class'!AF170</f>
        <v>0</v>
      </c>
      <c r="H170" s="200"/>
      <c r="K170" s="192">
        <f>_xlfn.IFNA(MATCH(J170,'Dist Cust Factors'!$B$12:$B$447,0),0)</f>
        <v>0</v>
      </c>
      <c r="L170" s="113">
        <f t="shared" ref="L170:L176" ca="1" si="64">F170-H170</f>
        <v>0</v>
      </c>
      <c r="O170" s="192">
        <f>_xlfn.IFNA(MATCH(N170,'Dist Cust Factors'!$B$12:$B$451,0),0)</f>
        <v>0</v>
      </c>
      <c r="P170" s="200">
        <f ca="1">OFFSET('Dist Factors'!$B$57,$O170-1,P$14)*$L170+OFFSET('Dist Factors'!$B$57,$K170-1,P$14)*$H170</f>
        <v>0</v>
      </c>
      <c r="R170" s="200">
        <f ca="1">OFFSET('Dist Cust Factors'!$B$12,$O170-1,R$14)*$L170+OFFSET('Dist Cust Factors'!$B$12,$K170-1,R$14)*$H170</f>
        <v>0</v>
      </c>
      <c r="S170" s="200"/>
      <c r="T170" s="200">
        <f ca="1">OFFSET('Dist Cust Factors'!$B$12,$O170-1,T$14)*$L170+OFFSET('Dist Cust Factors'!$B$12,$K170-1,T$14)*$H170</f>
        <v>0</v>
      </c>
      <c r="U170" s="200"/>
      <c r="V170" s="200">
        <f ca="1">OFFSET('Dist Cust Factors'!$B$12,$O170-1,V$14)*$L170+OFFSET('Dist Cust Factors'!$B$12,$K170-1,V$14)*$H170</f>
        <v>0</v>
      </c>
      <c r="W170" s="200"/>
      <c r="X170" s="200">
        <f t="shared" ref="X170:X176" ca="1" si="65">SUM(P170:W170)</f>
        <v>0</v>
      </c>
      <c r="Z170" s="247" t="str">
        <f t="shared" ca="1" si="62"/>
        <v/>
      </c>
    </row>
    <row r="171" spans="2:37" ht="13" x14ac:dyDescent="0.3">
      <c r="B171" s="2">
        <f t="shared" ref="B171:B176" si="66">B170+1</f>
        <v>75</v>
      </c>
      <c r="D171" s="73" t="s">
        <v>157</v>
      </c>
      <c r="F171" s="113">
        <f ca="1">'Distribution Class'!AF171</f>
        <v>0</v>
      </c>
      <c r="H171" s="200"/>
      <c r="J171" s="91"/>
      <c r="K171" s="192">
        <f>_xlfn.IFNA(MATCH(J171,'Dist Cust Factors'!$B$12:$B$447,0),0)</f>
        <v>0</v>
      </c>
      <c r="L171" s="113">
        <f t="shared" ca="1" si="64"/>
        <v>0</v>
      </c>
      <c r="O171" s="192">
        <f>_xlfn.IFNA(MATCH(N171,'Dist Cust Factors'!$B$12:$B$451,0),0)</f>
        <v>0</v>
      </c>
      <c r="P171" s="200">
        <f ca="1">OFFSET('Dist Factors'!$B$57,$O171-1,P$14)*$L171+OFFSET('Dist Factors'!$B$57,$K171-1,P$14)*$H171</f>
        <v>0</v>
      </c>
      <c r="R171" s="200">
        <f ca="1">OFFSET('Dist Cust Factors'!$B$12,$O171-1,R$14)*$L171+OFFSET('Dist Cust Factors'!$B$12,$K171-1,R$14)*$H171</f>
        <v>0</v>
      </c>
      <c r="S171" s="200"/>
      <c r="T171" s="200">
        <f ca="1">OFFSET('Dist Cust Factors'!$B$12,$O171-1,T$14)*$L171+OFFSET('Dist Cust Factors'!$B$12,$K171-1,T$14)*$H171</f>
        <v>0</v>
      </c>
      <c r="U171" s="200"/>
      <c r="V171" s="200">
        <f ca="1">OFFSET('Dist Cust Factors'!$B$12,$O171-1,V$14)*$L171+OFFSET('Dist Cust Factors'!$B$12,$K171-1,V$14)*$H171</f>
        <v>0</v>
      </c>
      <c r="W171" s="200"/>
      <c r="X171" s="200">
        <f t="shared" ca="1" si="65"/>
        <v>0</v>
      </c>
      <c r="Z171" s="247" t="str">
        <f t="shared" ca="1" si="62"/>
        <v/>
      </c>
    </row>
    <row r="172" spans="2:37" ht="13" x14ac:dyDescent="0.3">
      <c r="B172" s="2">
        <f t="shared" si="66"/>
        <v>76</v>
      </c>
      <c r="D172" s="73" t="s">
        <v>133</v>
      </c>
      <c r="F172" s="113">
        <f ca="1">'Distribution Class'!AF172</f>
        <v>0</v>
      </c>
      <c r="H172" s="200"/>
      <c r="J172" s="91"/>
      <c r="K172" s="192">
        <f>_xlfn.IFNA(MATCH(J172,'Dist Cust Factors'!$B$12:$B$447,0),0)</f>
        <v>0</v>
      </c>
      <c r="L172" s="113">
        <f t="shared" ca="1" si="64"/>
        <v>0</v>
      </c>
      <c r="O172" s="192">
        <f>_xlfn.IFNA(MATCH(N172,'Dist Cust Factors'!$B$12:$B$451,0),0)</f>
        <v>0</v>
      </c>
      <c r="P172" s="200">
        <f ca="1">OFFSET('Dist Factors'!$B$57,$O172-1,P$14)*$L172+OFFSET('Dist Factors'!$B$57,$K172-1,P$14)*$H172</f>
        <v>0</v>
      </c>
      <c r="R172" s="200">
        <f ca="1">OFFSET('Dist Cust Factors'!$B$12,$O172-1,R$14)*$L172+OFFSET('Dist Cust Factors'!$B$12,$K172-1,R$14)*$H172</f>
        <v>0</v>
      </c>
      <c r="S172" s="200"/>
      <c r="T172" s="200">
        <f ca="1">OFFSET('Dist Cust Factors'!$B$12,$O172-1,T$14)*$L172+OFFSET('Dist Cust Factors'!$B$12,$K172-1,T$14)*$H172</f>
        <v>0</v>
      </c>
      <c r="U172" s="200"/>
      <c r="V172" s="200">
        <f ca="1">OFFSET('Dist Cust Factors'!$B$12,$O172-1,V$14)*$L172+OFFSET('Dist Cust Factors'!$B$12,$K172-1,V$14)*$H172</f>
        <v>0</v>
      </c>
      <c r="W172" s="200"/>
      <c r="X172" s="200">
        <f t="shared" ca="1" si="65"/>
        <v>0</v>
      </c>
      <c r="Z172" s="247" t="str">
        <f t="shared" ca="1" si="62"/>
        <v/>
      </c>
    </row>
    <row r="173" spans="2:37" ht="13" x14ac:dyDescent="0.3">
      <c r="B173" s="2">
        <f t="shared" si="66"/>
        <v>77</v>
      </c>
      <c r="D173" s="73" t="s">
        <v>148</v>
      </c>
      <c r="F173" s="113">
        <f ca="1">'Distribution Class'!AF173</f>
        <v>26870.623617239937</v>
      </c>
      <c r="H173" s="200"/>
      <c r="J173" s="91"/>
      <c r="K173" s="192">
        <f>_xlfn.IFNA(MATCH(J173,'Dist Cust Factors'!$B$12:$B$447,0),0)</f>
        <v>0</v>
      </c>
      <c r="L173" s="113">
        <f t="shared" ca="1" si="64"/>
        <v>26870.623617239937</v>
      </c>
      <c r="N173" s="91" t="s">
        <v>247</v>
      </c>
      <c r="O173" s="192">
        <f>_xlfn.IFNA(MATCH(N173,'Dist Cust Factors'!$B$12:$B$451,0),0)</f>
        <v>17</v>
      </c>
      <c r="P173" s="200">
        <f ca="1">OFFSET('Dist Cust Factors'!$B$12,$O173-1,P$14)*$L173+OFFSET('Dist Cust Factors'!$B$12,$K173-1,P$14)*$H173</f>
        <v>0</v>
      </c>
      <c r="R173" s="200">
        <f ca="1">OFFSET('Dist Cust Factors'!$B$12,$O173-1,R$14)*$L173+OFFSET('Dist Cust Factors'!$B$12,$K173-1,R$14)*$H173</f>
        <v>26870.623617239937</v>
      </c>
      <c r="S173" s="200"/>
      <c r="T173" s="200">
        <f ca="1">OFFSET('Dist Cust Factors'!$B$12,$O173-1,T$14)*$L173+OFFSET('Dist Cust Factors'!$B$12,$K173-1,T$14)*$H173</f>
        <v>0</v>
      </c>
      <c r="U173" s="200"/>
      <c r="V173" s="200">
        <f ca="1">OFFSET('Dist Cust Factors'!$B$12,$O173-1,V$14)*$L173+OFFSET('Dist Cust Factors'!$B$12,$K173-1,V$14)*$H173</f>
        <v>0</v>
      </c>
      <c r="W173" s="200"/>
      <c r="X173" s="200">
        <f t="shared" ref="X173" ca="1" si="67">P173+R173+T173+V173</f>
        <v>26870.623617239937</v>
      </c>
      <c r="Z173" s="247" t="str">
        <f t="shared" ca="1" si="62"/>
        <v/>
      </c>
    </row>
    <row r="174" spans="2:37" ht="13" x14ac:dyDescent="0.3">
      <c r="B174" s="2" t="e">
        <f>#REF!+1</f>
        <v>#REF!</v>
      </c>
      <c r="D174" s="73" t="s">
        <v>149</v>
      </c>
      <c r="F174" s="113">
        <f ca="1">'Distribution Class'!AF174</f>
        <v>14283.139384300001</v>
      </c>
      <c r="H174" s="200"/>
      <c r="J174" s="91"/>
      <c r="K174" s="192">
        <f>_xlfn.IFNA(MATCH(J174,'Dist Cust Factors'!$B$12:$B$447,0),0)</f>
        <v>0</v>
      </c>
      <c r="L174" s="113">
        <f t="shared" ca="1" si="64"/>
        <v>14283.139384300001</v>
      </c>
      <c r="N174" s="91" t="s">
        <v>247</v>
      </c>
      <c r="O174" s="192">
        <f>_xlfn.IFNA(MATCH(N174,'Dist Cust Factors'!$B$12:$B$451,0),0)</f>
        <v>17</v>
      </c>
      <c r="P174" s="200">
        <f ca="1">OFFSET('Dist Cust Factors'!$B$12,$O174-1,P$14)*$L174+OFFSET('Dist Cust Factors'!$B$12,$K174-1,P$14)*$H174</f>
        <v>0</v>
      </c>
      <c r="R174" s="200">
        <f ca="1">OFFSET('Dist Cust Factors'!$B$12,$O174-1,R$14)*$L174+OFFSET('Dist Cust Factors'!$B$12,$K174-1,R$14)*$H174</f>
        <v>14283.139384300001</v>
      </c>
      <c r="S174" s="200"/>
      <c r="T174" s="200">
        <f ca="1">OFFSET('Dist Cust Factors'!$B$12,$O174-1,T$14)*$L174+OFFSET('Dist Cust Factors'!$B$12,$K174-1,T$14)*$H174</f>
        <v>0</v>
      </c>
      <c r="U174" s="200"/>
      <c r="V174" s="200">
        <f ca="1">OFFSET('Dist Cust Factors'!$B$12,$O174-1,V$14)*$L174+OFFSET('Dist Cust Factors'!$B$12,$K174-1,V$14)*$H174</f>
        <v>0</v>
      </c>
      <c r="W174" s="200"/>
      <c r="X174" s="200">
        <f t="shared" ref="X174:X175" ca="1" si="68">P174+R174+T174+V174</f>
        <v>14283.139384300001</v>
      </c>
      <c r="Z174" s="247" t="str">
        <f t="shared" ca="1" si="62"/>
        <v/>
      </c>
    </row>
    <row r="175" spans="2:37" ht="13" x14ac:dyDescent="0.3">
      <c r="B175" s="2" t="e">
        <f t="shared" si="66"/>
        <v>#REF!</v>
      </c>
      <c r="D175" s="73" t="s">
        <v>150</v>
      </c>
      <c r="F175" s="113">
        <f ca="1">'Distribution Class'!AF175</f>
        <v>17761.652743977927</v>
      </c>
      <c r="H175" s="200"/>
      <c r="J175" s="91"/>
      <c r="K175" s="192">
        <f>_xlfn.IFNA(MATCH(J175,'Dist Cust Factors'!$B$12:$B$447,0),0)</f>
        <v>0</v>
      </c>
      <c r="L175" s="113">
        <f t="shared" ca="1" si="64"/>
        <v>17761.652743977927</v>
      </c>
      <c r="N175" s="91" t="s">
        <v>247</v>
      </c>
      <c r="O175" s="192">
        <f>_xlfn.IFNA(MATCH(N175,'Dist Cust Factors'!$B$12:$B$451,0),0)</f>
        <v>17</v>
      </c>
      <c r="P175" s="200">
        <f ca="1">OFFSET('Dist Cust Factors'!$B$12,$O175-1,P$14)*$L175+OFFSET('Dist Cust Factors'!$B$12,$K175-1,P$14)*$H175</f>
        <v>0</v>
      </c>
      <c r="R175" s="200">
        <f ca="1">OFFSET('Dist Cust Factors'!$B$12,$O175-1,R$14)*$L175+OFFSET('Dist Cust Factors'!$B$12,$K175-1,R$14)*$H175</f>
        <v>17761.652743977927</v>
      </c>
      <c r="S175" s="200"/>
      <c r="T175" s="200">
        <f ca="1">OFFSET('Dist Cust Factors'!$B$12,$O175-1,T$14)*$L175+OFFSET('Dist Cust Factors'!$B$12,$K175-1,T$14)*$H175</f>
        <v>0</v>
      </c>
      <c r="U175" s="200"/>
      <c r="V175" s="200">
        <f ca="1">OFFSET('Dist Cust Factors'!$B$12,$O175-1,V$14)*$L175+OFFSET('Dist Cust Factors'!$B$12,$K175-1,V$14)*$H175</f>
        <v>0</v>
      </c>
      <c r="W175" s="200"/>
      <c r="X175" s="200">
        <f t="shared" ca="1" si="68"/>
        <v>17761.652743977927</v>
      </c>
      <c r="Z175" s="247" t="str">
        <f t="shared" ca="1" si="62"/>
        <v/>
      </c>
    </row>
    <row r="176" spans="2:37" ht="13" x14ac:dyDescent="0.3">
      <c r="B176" s="2" t="e">
        <f t="shared" si="66"/>
        <v>#REF!</v>
      </c>
      <c r="D176" s="73" t="s">
        <v>465</v>
      </c>
      <c r="F176" s="113">
        <f ca="1">'Distribution Class'!AF176</f>
        <v>0</v>
      </c>
      <c r="H176" s="200"/>
      <c r="J176" s="91"/>
      <c r="K176" s="192">
        <f>_xlfn.IFNA(MATCH(J176,'Dist Cust Factors'!$B$12:$B$447,0),0)</f>
        <v>0</v>
      </c>
      <c r="L176" s="113">
        <f t="shared" ca="1" si="64"/>
        <v>0</v>
      </c>
      <c r="O176" s="192">
        <f>_xlfn.IFNA(MATCH(N176,'Dist Cust Factors'!$B$12:$B$451,0),0)</f>
        <v>0</v>
      </c>
      <c r="P176" s="200">
        <f ca="1">OFFSET('Dist Factors'!$B$57,$O176-1,P$14)*$L176+OFFSET('Dist Factors'!$B$57,$K176-1,P$14)*$H176</f>
        <v>0</v>
      </c>
      <c r="R176" s="200">
        <f ca="1">OFFSET('Dist Cust Factors'!$B$12,$O176-1,R$14)*$L176+OFFSET('Dist Cust Factors'!$B$12,$K176-1,R$14)*$H176</f>
        <v>0</v>
      </c>
      <c r="S176" s="200"/>
      <c r="T176" s="200">
        <f ca="1">OFFSET('Dist Cust Factors'!$B$12,$O176-1,T$14)*$L176+OFFSET('Dist Cust Factors'!$B$12,$K176-1,T$14)*$H176</f>
        <v>0</v>
      </c>
      <c r="U176" s="200"/>
      <c r="V176" s="200">
        <f ca="1">OFFSET('Dist Cust Factors'!$B$12,$O176-1,V$14)*$L176+OFFSET('Dist Cust Factors'!$B$12,$K176-1,V$14)*$H176</f>
        <v>0</v>
      </c>
      <c r="W176" s="200"/>
      <c r="X176" s="200">
        <f t="shared" ca="1" si="65"/>
        <v>0</v>
      </c>
      <c r="Z176" s="247" t="str">
        <f t="shared" ca="1" si="62"/>
        <v/>
      </c>
    </row>
    <row r="177" spans="2:26" ht="13" x14ac:dyDescent="0.3">
      <c r="X177" s="200"/>
      <c r="Z177" s="247" t="str">
        <f t="shared" si="62"/>
        <v/>
      </c>
    </row>
    <row r="178" spans="2:26" ht="13.5" thickBot="1" x14ac:dyDescent="0.35">
      <c r="B178" s="2" t="e">
        <f>B176+1</f>
        <v>#REF!</v>
      </c>
      <c r="D178" s="73" t="s">
        <v>171</v>
      </c>
      <c r="F178" s="207">
        <f ca="1">SUM(F170:F176)</f>
        <v>58915.415745517865</v>
      </c>
      <c r="H178" s="207">
        <f>SUM(H170:H176)</f>
        <v>0</v>
      </c>
      <c r="J178" s="91"/>
      <c r="L178" s="207">
        <f ca="1">SUM(L170:L176)</f>
        <v>58915.415745517865</v>
      </c>
      <c r="P178" s="207">
        <f ca="1">SUM(P170:P176)</f>
        <v>0</v>
      </c>
      <c r="R178" s="207">
        <f ca="1">SUM(R170:R176)</f>
        <v>58915.415745517865</v>
      </c>
      <c r="S178" s="200"/>
      <c r="T178" s="207">
        <f ca="1">SUM(T170:T176)</f>
        <v>0</v>
      </c>
      <c r="U178" s="200"/>
      <c r="V178" s="207">
        <f ca="1">SUM(V170:V176)</f>
        <v>0</v>
      </c>
      <c r="X178" s="207">
        <f ca="1">SUM(X170:X176)</f>
        <v>58915.415745517865</v>
      </c>
      <c r="Z178" s="247" t="str">
        <f t="shared" ca="1" si="62"/>
        <v/>
      </c>
    </row>
    <row r="179" spans="2:26" ht="13.5" thickTop="1" x14ac:dyDescent="0.3">
      <c r="S179" s="200"/>
      <c r="U179" s="200"/>
      <c r="Z179" s="247" t="str">
        <f t="shared" si="62"/>
        <v/>
      </c>
    </row>
    <row r="180" spans="2:26" ht="13.5" thickBot="1" x14ac:dyDescent="0.35">
      <c r="B180" s="2" t="e">
        <f>B178+1</f>
        <v>#REF!</v>
      </c>
      <c r="D180" s="73" t="s">
        <v>172</v>
      </c>
      <c r="F180" s="207">
        <f ca="1">F164-F178</f>
        <v>164442.34843238239</v>
      </c>
      <c r="H180" s="207">
        <f ca="1">H164-H178</f>
        <v>2341.6400777032691</v>
      </c>
      <c r="L180" s="207">
        <f ca="1">L164-L178</f>
        <v>162100.70835467911</v>
      </c>
      <c r="P180" s="207">
        <f ca="1">P164-P178</f>
        <v>12503.901685000221</v>
      </c>
      <c r="R180" s="207">
        <f ca="1">R164-R178</f>
        <v>140214.0028086098</v>
      </c>
      <c r="S180" s="200"/>
      <c r="T180" s="207">
        <f ca="1">T164-T178</f>
        <v>11724.443938772294</v>
      </c>
      <c r="U180" s="200"/>
      <c r="V180" s="207">
        <f ca="1">V164-V178</f>
        <v>0</v>
      </c>
      <c r="X180" s="207">
        <f ca="1">X164-X178</f>
        <v>164442.34843238239</v>
      </c>
      <c r="Z180" s="247" t="str">
        <f t="shared" ca="1" si="62"/>
        <v/>
      </c>
    </row>
    <row r="181" spans="2:26" ht="13" thickTop="1" x14ac:dyDescent="0.25"/>
    <row r="182" spans="2:26" x14ac:dyDescent="0.25">
      <c r="V182" s="113"/>
    </row>
  </sheetData>
  <mergeCells count="3">
    <mergeCell ref="B5:X5"/>
    <mergeCell ref="B6:X6"/>
    <mergeCell ref="B7:X7"/>
  </mergeCells>
  <pageMargins left="0.7" right="0.7" top="0.75" bottom="0.75" header="0.3" footer="0.3"/>
  <pageSetup scale="38" orientation="landscape" r:id="rId1"/>
  <customProperties>
    <customPr name="EpmWorksheetKeyString_GUID" r:id="rId2"/>
  </customProperties>
  <ignoredErrors>
    <ignoredError sqref="B132:B158 P173 X17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AA53"/>
  <sheetViews>
    <sheetView zoomScaleNormal="100" workbookViewId="0">
      <pane xSplit="4" ySplit="10" topLeftCell="E11" activePane="bottomRight" state="frozen"/>
      <selection activeCell="AA134" sqref="AA134"/>
      <selection pane="topRight" activeCell="AA134" sqref="AA134"/>
      <selection pane="bottomLeft" activeCell="AA134" sqref="AA134"/>
      <selection pane="bottomRight" activeCell="AA134" sqref="AA134"/>
    </sheetView>
  </sheetViews>
  <sheetFormatPr defaultColWidth="9.1796875" defaultRowHeight="12.5" x14ac:dyDescent="0.25"/>
  <cols>
    <col min="1" max="1" width="7" style="94" customWidth="1"/>
    <col min="2" max="2" width="29.26953125" style="99" customWidth="1"/>
    <col min="3" max="3" width="5" style="99" customWidth="1"/>
    <col min="4" max="4" width="14.26953125" style="99" customWidth="1"/>
    <col min="5" max="5" width="1.81640625" style="97" customWidth="1"/>
    <col min="6" max="6" width="14.54296875" style="99" bestFit="1" customWidth="1"/>
    <col min="7" max="7" width="1.81640625" style="99" customWidth="1"/>
    <col min="8" max="8" width="14" style="99" customWidth="1"/>
    <col min="9" max="9" width="1.81640625" style="99" customWidth="1"/>
    <col min="10" max="10" width="12.1796875" style="99" customWidth="1"/>
    <col min="11" max="11" width="1.7265625" style="99" customWidth="1"/>
    <col min="12" max="12" width="10.7265625" style="99" customWidth="1"/>
    <col min="13" max="13" width="1.7265625" style="99" customWidth="1"/>
    <col min="14" max="14" width="10.7265625" style="99" customWidth="1"/>
    <col min="15" max="15" width="1.7265625" style="99" customWidth="1"/>
    <col min="16" max="16" width="10.7265625" style="99" customWidth="1"/>
    <col min="17" max="17" width="1.7265625" style="99" customWidth="1"/>
    <col min="18" max="18" width="10.7265625" style="99" customWidth="1"/>
    <col min="19" max="19" width="1.7265625" style="99" customWidth="1"/>
    <col min="20" max="20" width="10.7265625" style="99" customWidth="1"/>
    <col min="21" max="21" width="1.7265625" style="99" customWidth="1"/>
    <col min="22" max="22" width="10.7265625" style="99" customWidth="1"/>
    <col min="23" max="23" width="1.7265625" style="99" customWidth="1"/>
    <col min="24" max="24" width="10.7265625" style="99" customWidth="1"/>
    <col min="25" max="25" width="1.7265625" style="99" customWidth="1"/>
    <col min="26" max="26" width="10.7265625" style="99" customWidth="1"/>
    <col min="27" max="27" width="1.7265625" style="84" customWidth="1"/>
    <col min="28" max="28" width="10.7265625" style="99" customWidth="1"/>
    <col min="29" max="29" width="9.1796875" style="99"/>
    <col min="30" max="30" width="12.1796875" style="99" bestFit="1" customWidth="1"/>
    <col min="31" max="16384" width="9.1796875" style="99"/>
  </cols>
  <sheetData>
    <row r="6" spans="1:12" ht="14.5" x14ac:dyDescent="0.35">
      <c r="E6" s="99"/>
      <c r="F6" s="265" t="s">
        <v>317</v>
      </c>
      <c r="G6" s="266"/>
      <c r="H6" s="266"/>
      <c r="I6" s="266"/>
      <c r="J6" s="266"/>
    </row>
    <row r="7" spans="1:12" x14ac:dyDescent="0.25">
      <c r="E7" s="99"/>
      <c r="F7" s="136"/>
      <c r="H7" s="136" t="s">
        <v>10</v>
      </c>
      <c r="J7" s="136" t="s">
        <v>386</v>
      </c>
      <c r="K7" s="19"/>
      <c r="L7" s="19"/>
    </row>
    <row r="8" spans="1:12" x14ac:dyDescent="0.25">
      <c r="A8" s="136" t="s">
        <v>2</v>
      </c>
      <c r="B8" s="136" t="s">
        <v>64</v>
      </c>
      <c r="E8" s="99"/>
      <c r="F8" s="136" t="s">
        <v>318</v>
      </c>
      <c r="G8" s="136"/>
      <c r="H8" s="136" t="s">
        <v>68</v>
      </c>
      <c r="I8" s="3"/>
      <c r="J8" s="2" t="s">
        <v>68</v>
      </c>
      <c r="L8" s="136"/>
    </row>
    <row r="9" spans="1:12" x14ac:dyDescent="0.25">
      <c r="A9" s="137" t="s">
        <v>4</v>
      </c>
      <c r="B9" s="137" t="s">
        <v>354</v>
      </c>
      <c r="D9" s="137" t="s">
        <v>11</v>
      </c>
      <c r="E9" s="99"/>
      <c r="F9" s="137" t="s">
        <v>316</v>
      </c>
      <c r="G9" s="136"/>
      <c r="H9" s="137" t="s">
        <v>385</v>
      </c>
      <c r="I9" s="136"/>
      <c r="J9" s="137" t="s">
        <v>387</v>
      </c>
      <c r="K9" s="3"/>
      <c r="L9" s="2"/>
    </row>
    <row r="10" spans="1:12" x14ac:dyDescent="0.25">
      <c r="A10" s="137"/>
      <c r="B10" s="103"/>
      <c r="D10" s="137" t="s">
        <v>12</v>
      </c>
      <c r="E10" s="99"/>
      <c r="F10" s="137" t="s">
        <v>13</v>
      </c>
      <c r="G10" s="136"/>
      <c r="H10" s="137" t="s">
        <v>14</v>
      </c>
      <c r="I10" s="136"/>
      <c r="J10" s="137" t="s">
        <v>415</v>
      </c>
      <c r="K10" s="136"/>
      <c r="L10" s="137"/>
    </row>
    <row r="11" spans="1:12" x14ac:dyDescent="0.25">
      <c r="A11" s="99"/>
      <c r="C11" s="136"/>
      <c r="D11" s="136"/>
      <c r="E11" s="136"/>
      <c r="F11" s="130"/>
      <c r="G11" s="136"/>
      <c r="H11" s="130"/>
      <c r="I11" s="136"/>
      <c r="J11" s="130"/>
      <c r="K11" s="136"/>
      <c r="L11" s="130"/>
    </row>
    <row r="12" spans="1:12" x14ac:dyDescent="0.25">
      <c r="A12" s="136">
        <v>1</v>
      </c>
      <c r="B12" s="136"/>
      <c r="C12" s="2" t="s">
        <v>417</v>
      </c>
      <c r="D12" s="22">
        <f>SUM(F12:J12)</f>
        <v>1</v>
      </c>
      <c r="E12" s="22"/>
      <c r="F12" s="22">
        <v>1</v>
      </c>
      <c r="G12" s="22"/>
      <c r="H12" s="22">
        <v>0</v>
      </c>
      <c r="I12" s="22"/>
      <c r="J12" s="22">
        <v>0</v>
      </c>
    </row>
    <row r="13" spans="1:12" x14ac:dyDescent="0.25">
      <c r="A13" s="136">
        <v>2</v>
      </c>
      <c r="B13" s="136" t="s">
        <v>252</v>
      </c>
      <c r="C13" s="2"/>
      <c r="D13" s="65">
        <f>SUM(F13:J13)</f>
        <v>1</v>
      </c>
      <c r="E13" s="65"/>
      <c r="F13" s="65">
        <f>IFERROR(F12/$D12,0)</f>
        <v>1</v>
      </c>
      <c r="G13" s="65"/>
      <c r="H13" s="65">
        <f>IFERROR(H12/$D12,0)</f>
        <v>0</v>
      </c>
      <c r="I13" s="65"/>
      <c r="J13" s="65">
        <f>IFERROR(J12/$D12,0)</f>
        <v>0</v>
      </c>
      <c r="K13" s="22"/>
      <c r="L13" s="22"/>
    </row>
    <row r="14" spans="1:12" x14ac:dyDescent="0.25">
      <c r="A14" s="136"/>
      <c r="B14" s="136"/>
      <c r="C14" s="2"/>
      <c r="D14" s="34"/>
      <c r="E14" s="99"/>
      <c r="F14" s="34"/>
      <c r="H14" s="34"/>
      <c r="J14" s="34"/>
      <c r="L14" s="34"/>
    </row>
    <row r="15" spans="1:12" x14ac:dyDescent="0.25">
      <c r="A15" s="136">
        <v>3</v>
      </c>
      <c r="B15" s="136"/>
      <c r="C15" s="2" t="s">
        <v>417</v>
      </c>
      <c r="D15" s="22">
        <f>SUM(F15:J15)</f>
        <v>1</v>
      </c>
      <c r="E15" s="22"/>
      <c r="F15" s="22">
        <v>0</v>
      </c>
      <c r="G15" s="22"/>
      <c r="H15" s="22">
        <v>0</v>
      </c>
      <c r="I15" s="22"/>
      <c r="J15" s="22">
        <v>1</v>
      </c>
      <c r="L15" s="34"/>
    </row>
    <row r="16" spans="1:12" x14ac:dyDescent="0.25">
      <c r="A16" s="136">
        <v>4</v>
      </c>
      <c r="B16" s="136" t="s">
        <v>361</v>
      </c>
      <c r="C16" s="2"/>
      <c r="D16" s="65">
        <f>SUM(F16:J16)</f>
        <v>1</v>
      </c>
      <c r="E16" s="65"/>
      <c r="F16" s="65">
        <f>IFERROR(F15/$D15,0)</f>
        <v>0</v>
      </c>
      <c r="G16" s="65"/>
      <c r="H16" s="65">
        <f>IFERROR(H15/$D15,0)</f>
        <v>0</v>
      </c>
      <c r="I16" s="65"/>
      <c r="J16" s="65">
        <f>IFERROR(J15/$D15,0)</f>
        <v>1</v>
      </c>
      <c r="K16" s="22"/>
      <c r="L16" s="22"/>
    </row>
    <row r="17" spans="1:12" x14ac:dyDescent="0.25">
      <c r="A17" s="136"/>
      <c r="B17" s="136"/>
      <c r="C17" s="2"/>
      <c r="D17" s="34"/>
      <c r="E17" s="99"/>
      <c r="F17" s="34"/>
      <c r="H17" s="34"/>
      <c r="J17" s="34"/>
      <c r="L17" s="34"/>
    </row>
    <row r="18" spans="1:12" x14ac:dyDescent="0.25">
      <c r="A18" s="136">
        <v>5</v>
      </c>
      <c r="B18" s="136"/>
      <c r="C18" s="2" t="s">
        <v>417</v>
      </c>
      <c r="D18" s="22">
        <f ca="1">SUM(F18:J18)</f>
        <v>56139.419086876587</v>
      </c>
      <c r="E18" s="22"/>
      <c r="F18" s="22">
        <f ca="1">'Dist Cust Class'!AE162</f>
        <v>360.60818394452878</v>
      </c>
      <c r="G18" s="22"/>
      <c r="H18" s="22">
        <f ca="1">'Dist Cust Class'!AG162</f>
        <v>50377.657526427851</v>
      </c>
      <c r="I18" s="22"/>
      <c r="J18" s="22">
        <f ca="1">'Dist Cust Class'!AI162</f>
        <v>5401.1533765041904</v>
      </c>
    </row>
    <row r="19" spans="1:12" x14ac:dyDescent="0.25">
      <c r="A19" s="136">
        <v>6</v>
      </c>
      <c r="B19" s="136" t="s">
        <v>369</v>
      </c>
      <c r="C19" s="2"/>
      <c r="D19" s="65">
        <f ca="1">SUM(F19:J19)</f>
        <v>1.0000000000000002</v>
      </c>
      <c r="E19" s="65"/>
      <c r="F19" s="65">
        <f ca="1">IFERROR(F18/$D18,0)</f>
        <v>6.4234398896519081E-3</v>
      </c>
      <c r="G19" s="65"/>
      <c r="H19" s="65">
        <f ca="1">IFERROR(H18/$D18,0)</f>
        <v>0.8973669187504002</v>
      </c>
      <c r="I19" s="65"/>
      <c r="J19" s="65">
        <f ca="1">IFERROR(J18/$D18,0)</f>
        <v>9.6209641359947543E-2</v>
      </c>
      <c r="K19" s="22"/>
      <c r="L19" s="22"/>
    </row>
    <row r="20" spans="1:12" x14ac:dyDescent="0.25">
      <c r="A20" s="136"/>
      <c r="B20" s="136"/>
      <c r="C20" s="2"/>
      <c r="D20" s="34"/>
      <c r="E20" s="99"/>
      <c r="F20" s="34"/>
      <c r="H20" s="34"/>
      <c r="J20" s="34"/>
      <c r="L20" s="34"/>
    </row>
    <row r="21" spans="1:12" x14ac:dyDescent="0.25">
      <c r="A21" s="136">
        <v>7</v>
      </c>
      <c r="B21" s="136"/>
      <c r="C21" s="2" t="s">
        <v>417</v>
      </c>
      <c r="D21" s="22">
        <f ca="1">SUM(F21:J21)</f>
        <v>147966.30941962588</v>
      </c>
      <c r="E21" s="22"/>
      <c r="F21" s="22">
        <f ca="1">SUM('Dist Cust Class'!P124:P147,'Dist Cust Class'!P149:P156,'Dist Cust Class'!P159)</f>
        <v>484.54992539462637</v>
      </c>
      <c r="G21" s="22"/>
      <c r="H21" s="22">
        <f ca="1">SUM('Dist Cust Class'!R124:R147,'Dist Cust Class'!R149:R156,'Dist Cust Class'!R159)</f>
        <v>140016.43262022204</v>
      </c>
      <c r="I21" s="22"/>
      <c r="J21" s="22">
        <f ca="1">SUM('Dist Cust Class'!T124:T147,'Dist Cust Class'!T149:T156,'Dist Cust Class'!T159)</f>
        <v>7465.3268740092226</v>
      </c>
    </row>
    <row r="22" spans="1:12" x14ac:dyDescent="0.25">
      <c r="A22" s="136">
        <v>8</v>
      </c>
      <c r="B22" s="136" t="s">
        <v>355</v>
      </c>
      <c r="C22" s="2"/>
      <c r="D22" s="65">
        <f ca="1">SUM(F22:J22)</f>
        <v>1</v>
      </c>
      <c r="E22" s="65"/>
      <c r="F22" s="65">
        <f ca="1">IFERROR(F21/$D21,0)</f>
        <v>3.2747314391714964E-3</v>
      </c>
      <c r="G22" s="65"/>
      <c r="H22" s="65">
        <f ca="1">IFERROR(H21/$D21,0)</f>
        <v>0.94627238571681649</v>
      </c>
      <c r="I22" s="65"/>
      <c r="J22" s="65">
        <f ca="1">IFERROR(J21/$D21,0)</f>
        <v>5.0452882844012059E-2</v>
      </c>
      <c r="K22" s="22"/>
      <c r="L22" s="22"/>
    </row>
    <row r="23" spans="1:12" x14ac:dyDescent="0.25">
      <c r="A23" s="136"/>
      <c r="B23" s="136"/>
      <c r="C23" s="2"/>
      <c r="D23" s="34"/>
      <c r="E23" s="99"/>
      <c r="F23" s="34"/>
      <c r="H23" s="34"/>
      <c r="J23" s="34"/>
      <c r="L23" s="34"/>
    </row>
    <row r="24" spans="1:12" x14ac:dyDescent="0.25">
      <c r="A24" s="136">
        <v>9</v>
      </c>
      <c r="B24" s="136"/>
      <c r="C24" s="2" t="s">
        <v>417</v>
      </c>
      <c r="D24" s="22">
        <f ca="1">SUM(F24:J24)</f>
        <v>111551.78895689231</v>
      </c>
      <c r="E24" s="22"/>
      <c r="F24" s="22">
        <f ca="1">SUM('Dist Cust Class'!P152:P157)</f>
        <v>11814.781536038916</v>
      </c>
      <c r="G24" s="22"/>
      <c r="H24" s="22">
        <f ca="1">SUM('Dist Cust Class'!R152:R157)</f>
        <v>96730.694289326668</v>
      </c>
      <c r="I24" s="22"/>
      <c r="J24" s="22">
        <f ca="1">SUM('Dist Cust Class'!T152:T157)</f>
        <v>3006.3131315267215</v>
      </c>
      <c r="L24" s="34"/>
    </row>
    <row r="25" spans="1:12" x14ac:dyDescent="0.25">
      <c r="A25" s="136">
        <v>10</v>
      </c>
      <c r="B25" s="136" t="s">
        <v>357</v>
      </c>
      <c r="C25" s="2"/>
      <c r="D25" s="65">
        <f ca="1">SUM(F25:J25)</f>
        <v>0.99999999999999989</v>
      </c>
      <c r="E25" s="65"/>
      <c r="F25" s="65">
        <f ca="1">IFERROR(F24/$D24,0)</f>
        <v>0.10591297232000985</v>
      </c>
      <c r="G25" s="65"/>
      <c r="H25" s="65">
        <f ca="1">IFERROR(H24/$D24,0)</f>
        <v>0.86713709563821462</v>
      </c>
      <c r="I25" s="65"/>
      <c r="J25" s="65">
        <f ca="1">IFERROR(J24/$D24,0)</f>
        <v>2.6949932041775419E-2</v>
      </c>
      <c r="K25" s="22"/>
      <c r="L25" s="22"/>
    </row>
    <row r="26" spans="1:12" x14ac:dyDescent="0.25">
      <c r="B26" s="136"/>
      <c r="C26" s="2"/>
      <c r="D26" s="34"/>
      <c r="E26" s="99"/>
      <c r="F26" s="34"/>
      <c r="H26" s="34"/>
      <c r="J26" s="34"/>
      <c r="L26" s="34"/>
    </row>
    <row r="27" spans="1:12" x14ac:dyDescent="0.25">
      <c r="A27" s="136">
        <v>11</v>
      </c>
      <c r="B27" s="136"/>
      <c r="C27" s="2" t="s">
        <v>417</v>
      </c>
      <c r="D27" s="22">
        <f>SUM(F27:J27)</f>
        <v>1</v>
      </c>
      <c r="E27" s="22"/>
      <c r="F27" s="22">
        <v>0</v>
      </c>
      <c r="G27" s="22"/>
      <c r="H27" s="22">
        <v>1</v>
      </c>
      <c r="I27" s="22"/>
      <c r="J27" s="22">
        <v>0</v>
      </c>
    </row>
    <row r="28" spans="1:12" x14ac:dyDescent="0.25">
      <c r="A28" s="136">
        <v>12</v>
      </c>
      <c r="B28" s="136" t="s">
        <v>247</v>
      </c>
      <c r="C28" s="136"/>
      <c r="D28" s="65">
        <f>SUM(F28:J28)</f>
        <v>1</v>
      </c>
      <c r="E28" s="65"/>
      <c r="F28" s="65">
        <f>IFERROR(F27/$D27,0)</f>
        <v>0</v>
      </c>
      <c r="G28" s="65"/>
      <c r="H28" s="65">
        <f>IFERROR(H27/$D27,0)</f>
        <v>1</v>
      </c>
      <c r="I28" s="65"/>
      <c r="J28" s="65">
        <f>IFERROR(J27/$D27,0)</f>
        <v>0</v>
      </c>
      <c r="K28" s="22"/>
      <c r="L28" s="22"/>
    </row>
    <row r="34" spans="1:22" x14ac:dyDescent="0.25">
      <c r="A34" s="43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</row>
    <row r="35" spans="1:22" x14ac:dyDescent="0.25">
      <c r="A35" s="43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1:22" x14ac:dyDescent="0.25">
      <c r="A36" s="170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22" x14ac:dyDescent="0.25">
      <c r="A37" s="43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</row>
    <row r="38" spans="1:22" x14ac:dyDescent="0.25">
      <c r="A38" s="43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1:22" x14ac:dyDescent="0.25">
      <c r="A39" s="170"/>
      <c r="B39" s="109"/>
      <c r="C39" s="109"/>
      <c r="D39" s="109"/>
      <c r="E39" s="109"/>
      <c r="F39" s="109"/>
      <c r="G39" s="109"/>
      <c r="H39" s="109"/>
      <c r="I39" s="109"/>
      <c r="J39" s="109"/>
      <c r="K39" s="41"/>
      <c r="L39" s="41"/>
      <c r="M39" s="102"/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x14ac:dyDescent="0.25">
      <c r="A40" s="43"/>
      <c r="B40" s="109"/>
      <c r="C40" s="109"/>
      <c r="D40" s="109"/>
      <c r="E40" s="109"/>
      <c r="F40" s="109"/>
      <c r="G40" s="109"/>
      <c r="H40" s="109"/>
      <c r="I40" s="109"/>
      <c r="J40" s="109"/>
      <c r="K40" s="41"/>
      <c r="L40" s="41"/>
      <c r="M40" s="108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x14ac:dyDescent="0.25">
      <c r="A41" s="43"/>
      <c r="B41" s="109"/>
      <c r="C41" s="109"/>
      <c r="D41" s="109"/>
      <c r="E41" s="109"/>
      <c r="F41" s="109"/>
      <c r="G41" s="109"/>
      <c r="H41" s="109"/>
      <c r="I41" s="109"/>
      <c r="J41" s="109"/>
      <c r="K41" s="41"/>
      <c r="L41" s="41"/>
      <c r="M41" s="108"/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x14ac:dyDescent="0.25">
      <c r="A42" s="170"/>
      <c r="B42" s="109"/>
      <c r="C42" s="109"/>
      <c r="D42" s="109"/>
      <c r="E42" s="109"/>
      <c r="F42" s="109"/>
      <c r="G42" s="109"/>
      <c r="H42" s="109"/>
      <c r="I42" s="109"/>
      <c r="J42" s="109"/>
      <c r="K42" s="41"/>
      <c r="L42" s="41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x14ac:dyDescent="0.25">
      <c r="A43" s="42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2"/>
      <c r="N43" s="102"/>
      <c r="O43" s="102"/>
      <c r="P43" s="102"/>
      <c r="Q43" s="102"/>
      <c r="R43" s="102"/>
      <c r="S43" s="102"/>
      <c r="T43" s="102"/>
      <c r="U43" s="102"/>
      <c r="V43" s="102"/>
    </row>
    <row r="44" spans="1:22" x14ac:dyDescent="0.25">
      <c r="A44" s="42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 x14ac:dyDescent="0.25">
      <c r="A45" s="170"/>
      <c r="B45" s="109"/>
      <c r="C45" s="109"/>
      <c r="D45" s="144"/>
      <c r="E45" s="109"/>
      <c r="F45" s="144"/>
      <c r="G45" s="109"/>
      <c r="H45" s="144"/>
      <c r="I45" s="109"/>
      <c r="J45" s="109"/>
      <c r="K45" s="109"/>
      <c r="L45" s="109"/>
    </row>
    <row r="46" spans="1:22" x14ac:dyDescent="0.25">
      <c r="A46" s="42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</row>
    <row r="47" spans="1:22" x14ac:dyDescent="0.25">
      <c r="A47" s="42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</row>
    <row r="48" spans="1:22" x14ac:dyDescent="0.25">
      <c r="A48" s="170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</row>
    <row r="49" spans="1:12" x14ac:dyDescent="0.25">
      <c r="A49" s="42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</row>
    <row r="50" spans="1:12" x14ac:dyDescent="0.25">
      <c r="A50" s="42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</row>
    <row r="51" spans="1:12" x14ac:dyDescent="0.25">
      <c r="A51" s="170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</row>
    <row r="52" spans="1:12" ht="13" x14ac:dyDescent="0.3">
      <c r="A52" s="139"/>
      <c r="B52" s="41"/>
      <c r="C52" s="109"/>
      <c r="D52" s="30"/>
      <c r="E52" s="30"/>
      <c r="F52" s="30"/>
      <c r="G52" s="30"/>
      <c r="H52" s="30"/>
      <c r="I52" s="109"/>
      <c r="J52" s="30"/>
      <c r="K52" s="109"/>
      <c r="L52" s="150"/>
    </row>
    <row r="53" spans="1:12" ht="13" x14ac:dyDescent="0.3">
      <c r="A53" s="139"/>
      <c r="B53" s="140"/>
      <c r="C53" s="109"/>
      <c r="D53" s="144"/>
      <c r="E53" s="109"/>
      <c r="F53" s="144"/>
      <c r="G53" s="109"/>
      <c r="H53" s="144"/>
      <c r="I53" s="109"/>
      <c r="J53" s="144"/>
      <c r="K53" s="109"/>
      <c r="L53" s="109"/>
    </row>
  </sheetData>
  <mergeCells count="1">
    <mergeCell ref="F6:J6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24F8-F1B6-4BE4-AF38-97EC61B9B4D0}">
  <sheetPr>
    <tabColor theme="0" tint="-0.249977111117893"/>
  </sheetPr>
  <dimension ref="A2:BE61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5.7265625" style="2" customWidth="1"/>
    <col min="2" max="2" width="44.7265625" style="73" customWidth="1"/>
    <col min="3" max="3" width="1.7265625" style="73" customWidth="1"/>
    <col min="4" max="4" width="20.1796875" style="94" customWidth="1"/>
    <col min="5" max="5" width="1.7265625" style="94" customWidth="1"/>
    <col min="6" max="6" width="20.1796875" style="94" customWidth="1"/>
    <col min="7" max="7" width="1.7265625" style="94" customWidth="1"/>
    <col min="8" max="8" width="17.1796875" style="94" customWidth="1"/>
    <col min="9" max="9" width="1.7265625" style="94" customWidth="1"/>
    <col min="10" max="10" width="19.7265625" style="91" customWidth="1"/>
    <col min="11" max="11" width="1.7265625" style="94" customWidth="1"/>
    <col min="12" max="12" width="17.1796875" style="94" customWidth="1"/>
    <col min="13" max="13" width="1.7265625" style="94" customWidth="1"/>
    <col min="14" max="14" width="20" style="91" customWidth="1"/>
    <col min="15" max="15" width="1.7265625" style="94" customWidth="1"/>
    <col min="16" max="17" width="12.81640625" style="94" customWidth="1"/>
    <col min="18" max="28" width="10.7265625" style="94" customWidth="1"/>
    <col min="29" max="32" width="10.54296875" style="94" customWidth="1"/>
    <col min="33" max="33" width="9.1796875" style="94" customWidth="1"/>
    <col min="34" max="34" width="11.26953125" style="94" customWidth="1"/>
    <col min="35" max="48" width="10.7265625" style="94" customWidth="1"/>
    <col min="49" max="51" width="11.26953125" style="94" customWidth="1"/>
    <col min="52" max="53" width="10.54296875" style="94" customWidth="1"/>
    <col min="54" max="54" width="12.1796875" style="94" bestFit="1" customWidth="1"/>
    <col min="55" max="57" width="10.54296875" style="94" customWidth="1"/>
    <col min="58" max="16384" width="9.1796875" style="73"/>
  </cols>
  <sheetData>
    <row r="2" spans="1:57" x14ac:dyDescent="0.25">
      <c r="B2" s="267" t="s">
        <v>412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57" x14ac:dyDescent="0.25">
      <c r="B3" s="267" t="s">
        <v>454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5" spans="1:57" x14ac:dyDescent="0.25">
      <c r="F5" s="91" t="s">
        <v>174</v>
      </c>
    </row>
    <row r="6" spans="1:57" x14ac:dyDescent="0.25">
      <c r="A6" s="2" t="s">
        <v>2</v>
      </c>
      <c r="D6" s="91" t="s">
        <v>174</v>
      </c>
      <c r="F6" s="91" t="s">
        <v>5</v>
      </c>
      <c r="H6" s="91" t="s">
        <v>192</v>
      </c>
      <c r="J6" s="91" t="s">
        <v>193</v>
      </c>
      <c r="K6" s="91"/>
      <c r="L6" s="91" t="s">
        <v>194</v>
      </c>
      <c r="N6" s="91" t="s">
        <v>127</v>
      </c>
      <c r="P6" s="91" t="s">
        <v>82</v>
      </c>
      <c r="Q6" s="91" t="s">
        <v>82</v>
      </c>
      <c r="R6" s="91" t="s">
        <v>82</v>
      </c>
      <c r="S6" s="91" t="s">
        <v>82</v>
      </c>
      <c r="T6" s="91" t="s">
        <v>82</v>
      </c>
      <c r="U6" s="91" t="s">
        <v>82</v>
      </c>
      <c r="V6" s="91" t="s">
        <v>82</v>
      </c>
      <c r="W6" s="91" t="s">
        <v>82</v>
      </c>
      <c r="X6" s="91" t="s">
        <v>82</v>
      </c>
      <c r="Y6" s="91" t="s">
        <v>82</v>
      </c>
      <c r="Z6" s="91" t="s">
        <v>82</v>
      </c>
      <c r="AA6" s="91" t="s">
        <v>82</v>
      </c>
      <c r="AB6" s="91" t="s">
        <v>384</v>
      </c>
      <c r="AC6" s="91" t="s">
        <v>82</v>
      </c>
      <c r="AD6" s="91" t="s">
        <v>82</v>
      </c>
      <c r="AE6" s="91" t="s">
        <v>82</v>
      </c>
      <c r="AF6" s="91" t="s">
        <v>82</v>
      </c>
      <c r="AG6" s="91" t="s">
        <v>82</v>
      </c>
      <c r="AH6" s="91" t="s">
        <v>82</v>
      </c>
      <c r="AI6" s="91" t="s">
        <v>82</v>
      </c>
      <c r="AJ6" s="91" t="s">
        <v>82</v>
      </c>
      <c r="AK6" s="91" t="s">
        <v>82</v>
      </c>
      <c r="AL6" s="91" t="s">
        <v>82</v>
      </c>
      <c r="AM6" s="91" t="s">
        <v>82</v>
      </c>
      <c r="AN6" s="91" t="s">
        <v>82</v>
      </c>
      <c r="AO6" s="91" t="s">
        <v>82</v>
      </c>
      <c r="AP6" s="91" t="s">
        <v>82</v>
      </c>
      <c r="AQ6" s="91" t="s">
        <v>82</v>
      </c>
      <c r="AR6" s="91" t="s">
        <v>82</v>
      </c>
      <c r="AS6" s="91" t="s">
        <v>82</v>
      </c>
      <c r="AT6" s="91" t="s">
        <v>82</v>
      </c>
      <c r="AU6" s="91" t="s">
        <v>82</v>
      </c>
      <c r="AV6" s="91" t="s">
        <v>82</v>
      </c>
      <c r="AW6" s="91" t="s">
        <v>82</v>
      </c>
      <c r="AX6" s="91" t="s">
        <v>82</v>
      </c>
      <c r="AY6" s="91" t="s">
        <v>82</v>
      </c>
      <c r="AZ6" s="91" t="s">
        <v>82</v>
      </c>
      <c r="BA6" s="91" t="s">
        <v>82</v>
      </c>
      <c r="BB6" s="91" t="s">
        <v>82</v>
      </c>
      <c r="BC6" s="91" t="s">
        <v>82</v>
      </c>
      <c r="BD6" s="91" t="s">
        <v>82</v>
      </c>
      <c r="BE6" s="91" t="s">
        <v>82</v>
      </c>
    </row>
    <row r="7" spans="1:57" x14ac:dyDescent="0.25">
      <c r="A7" s="57" t="s">
        <v>4</v>
      </c>
      <c r="B7" s="201" t="s">
        <v>449</v>
      </c>
      <c r="D7" s="202" t="s">
        <v>175</v>
      </c>
      <c r="F7" s="202" t="s">
        <v>176</v>
      </c>
      <c r="H7" s="202" t="s">
        <v>154</v>
      </c>
      <c r="J7" s="202" t="s">
        <v>6</v>
      </c>
      <c r="K7" s="42"/>
      <c r="L7" s="202" t="s">
        <v>195</v>
      </c>
      <c r="N7" s="202" t="s">
        <v>6</v>
      </c>
      <c r="P7" s="202">
        <v>1</v>
      </c>
      <c r="Q7" s="202">
        <v>6</v>
      </c>
      <c r="R7" s="202">
        <v>9</v>
      </c>
      <c r="S7" s="202">
        <v>100</v>
      </c>
      <c r="T7" s="202">
        <v>110</v>
      </c>
      <c r="U7" s="202">
        <v>115</v>
      </c>
      <c r="V7" s="202">
        <v>125</v>
      </c>
      <c r="W7" s="202">
        <v>135</v>
      </c>
      <c r="X7" s="202">
        <v>145</v>
      </c>
      <c r="Y7" s="202">
        <v>170</v>
      </c>
      <c r="Z7" s="202">
        <v>200</v>
      </c>
      <c r="AA7" s="202">
        <v>300</v>
      </c>
      <c r="AB7" s="202" t="s">
        <v>8</v>
      </c>
      <c r="AC7" s="203" t="s">
        <v>103</v>
      </c>
      <c r="AD7" s="202">
        <v>10</v>
      </c>
      <c r="AE7" s="202">
        <v>20</v>
      </c>
      <c r="AF7" s="202">
        <v>25</v>
      </c>
      <c r="AG7" s="202">
        <v>100</v>
      </c>
      <c r="AH7" s="202" t="s">
        <v>83</v>
      </c>
      <c r="AI7" s="202" t="s">
        <v>84</v>
      </c>
      <c r="AJ7" s="202" t="s">
        <v>85</v>
      </c>
      <c r="AK7" s="202" t="s">
        <v>86</v>
      </c>
      <c r="AL7" s="202" t="s">
        <v>87</v>
      </c>
      <c r="AM7" s="202" t="s">
        <v>88</v>
      </c>
      <c r="AN7" s="202" t="s">
        <v>89</v>
      </c>
      <c r="AO7" s="202" t="s">
        <v>90</v>
      </c>
      <c r="AP7" s="202" t="s">
        <v>91</v>
      </c>
      <c r="AQ7" s="202" t="s">
        <v>92</v>
      </c>
      <c r="AR7" s="202" t="s">
        <v>93</v>
      </c>
      <c r="AS7" s="202" t="s">
        <v>94</v>
      </c>
      <c r="AT7" s="202" t="s">
        <v>95</v>
      </c>
      <c r="AU7" s="202" t="s">
        <v>96</v>
      </c>
      <c r="AV7" s="202" t="s">
        <v>97</v>
      </c>
      <c r="AW7" s="202">
        <v>331</v>
      </c>
      <c r="AX7" s="202">
        <v>332</v>
      </c>
      <c r="AY7" s="202">
        <v>401</v>
      </c>
      <c r="AZ7" s="202" t="s">
        <v>98</v>
      </c>
      <c r="BA7" s="202" t="s">
        <v>259</v>
      </c>
      <c r="BB7" s="202" t="s">
        <v>99</v>
      </c>
      <c r="BC7" s="202" t="s">
        <v>100</v>
      </c>
      <c r="BD7" s="202" t="s">
        <v>101</v>
      </c>
      <c r="BE7" s="202" t="s">
        <v>102</v>
      </c>
    </row>
    <row r="8" spans="1:57" x14ac:dyDescent="0.25">
      <c r="A8" s="56"/>
      <c r="B8" s="156"/>
      <c r="D8" s="211" t="s">
        <v>12</v>
      </c>
      <c r="F8" s="211" t="s">
        <v>13</v>
      </c>
      <c r="H8" s="211" t="s">
        <v>14</v>
      </c>
      <c r="J8" s="211" t="s">
        <v>415</v>
      </c>
      <c r="K8" s="73"/>
      <c r="L8" s="211" t="s">
        <v>15</v>
      </c>
      <c r="N8" s="211" t="s">
        <v>16</v>
      </c>
      <c r="P8" s="211" t="s">
        <v>59</v>
      </c>
      <c r="Q8" s="211" t="s">
        <v>61</v>
      </c>
      <c r="R8" s="211" t="s">
        <v>62</v>
      </c>
      <c r="S8" s="211" t="s">
        <v>105</v>
      </c>
      <c r="T8" s="211" t="s">
        <v>166</v>
      </c>
      <c r="U8" s="211" t="s">
        <v>167</v>
      </c>
      <c r="V8" s="211" t="s">
        <v>168</v>
      </c>
      <c r="W8" s="211" t="s">
        <v>209</v>
      </c>
      <c r="X8" s="211" t="s">
        <v>218</v>
      </c>
      <c r="Y8" s="211" t="s">
        <v>420</v>
      </c>
      <c r="Z8" s="211" t="s">
        <v>421</v>
      </c>
      <c r="AA8" s="211" t="s">
        <v>422</v>
      </c>
      <c r="AB8" s="211" t="s">
        <v>423</v>
      </c>
      <c r="AC8" s="211" t="s">
        <v>424</v>
      </c>
      <c r="AD8" s="211" t="s">
        <v>425</v>
      </c>
      <c r="AE8" s="211" t="s">
        <v>426</v>
      </c>
      <c r="AF8" s="211" t="s">
        <v>427</v>
      </c>
      <c r="AG8" s="211" t="s">
        <v>428</v>
      </c>
      <c r="AH8" s="211" t="s">
        <v>429</v>
      </c>
      <c r="AI8" s="211" t="s">
        <v>430</v>
      </c>
      <c r="AJ8" s="211" t="s">
        <v>431</v>
      </c>
      <c r="AK8" s="211" t="s">
        <v>432</v>
      </c>
      <c r="AL8" s="211" t="s">
        <v>433</v>
      </c>
      <c r="AM8" s="211" t="s">
        <v>434</v>
      </c>
      <c r="AN8" s="211" t="s">
        <v>435</v>
      </c>
      <c r="AO8" s="211" t="s">
        <v>436</v>
      </c>
      <c r="AP8" s="211" t="s">
        <v>437</v>
      </c>
      <c r="AQ8" s="211" t="s">
        <v>438</v>
      </c>
      <c r="AR8" s="211" t="s">
        <v>439</v>
      </c>
      <c r="AS8" s="211" t="s">
        <v>440</v>
      </c>
      <c r="AT8" s="211" t="s">
        <v>441</v>
      </c>
      <c r="AU8" s="211" t="s">
        <v>442</v>
      </c>
      <c r="AV8" s="211" t="s">
        <v>443</v>
      </c>
      <c r="AW8" s="211" t="s">
        <v>444</v>
      </c>
      <c r="AX8" s="211" t="s">
        <v>445</v>
      </c>
      <c r="AY8" s="211" t="s">
        <v>446</v>
      </c>
      <c r="AZ8" s="211" t="s">
        <v>447</v>
      </c>
      <c r="BA8" s="211" t="s">
        <v>466</v>
      </c>
      <c r="BB8" s="211" t="s">
        <v>467</v>
      </c>
      <c r="BC8" s="211" t="s">
        <v>468</v>
      </c>
      <c r="BD8" s="211" t="s">
        <v>469</v>
      </c>
      <c r="BE8" s="211" t="s">
        <v>470</v>
      </c>
    </row>
    <row r="10" spans="1:57" x14ac:dyDescent="0.25">
      <c r="B10" s="197" t="s">
        <v>462</v>
      </c>
    </row>
    <row r="11" spans="1:57" x14ac:dyDescent="0.25">
      <c r="A11" s="2">
        <v>1</v>
      </c>
      <c r="B11" s="73" t="s">
        <v>155</v>
      </c>
      <c r="D11" s="200">
        <f ca="1">'Gas Supply Class'!P164</f>
        <v>2728040.5732561182</v>
      </c>
      <c r="E11" s="200"/>
      <c r="F11" s="200">
        <f ca="1">'Gas Supply Class'!P180</f>
        <v>2728040.5732561182</v>
      </c>
      <c r="L11" s="200">
        <f t="shared" ref="L11:L16" ca="1" si="0">F11-H11</f>
        <v>2728040.5732561182</v>
      </c>
      <c r="N11" s="91" t="s">
        <v>248</v>
      </c>
      <c r="P11" s="200">
        <f ca="1">IF($L11&lt;&gt;0,VLOOKUP($N11,'Allocation Factors'!$B$12:$AU$603,5,FALSE)*$L11,0)+IF($H11&lt;&gt;0,(VLOOKUP($J11,'Allocation Factors'!$B$12:$AU$603,5,FALSE)*$H11),0)</f>
        <v>1019989.7454302686</v>
      </c>
      <c r="Q11" s="200">
        <f ca="1">IF($L11&lt;&gt;0,VLOOKUP($N11,'Allocation Factors'!$B$12:$AU$603,6,FALSE)*$L11,0)+IF($H11&lt;&gt;0,(VLOOKUP($J11,'Allocation Factors'!$B$12:$AU$603,6,FALSE)*$H11),0)</f>
        <v>616434.06273054087</v>
      </c>
      <c r="R11" s="200">
        <f ca="1">IF($L11&lt;&gt;0,VLOOKUP($N11,'Allocation Factors'!$B$12:$AU$603,7,FALSE)*$L11,0)+IF($H11&lt;&gt;0,(VLOOKUP($J11,'Allocation Factors'!$B$12:$AU$603,7,FALSE)*$H11),0)</f>
        <v>0</v>
      </c>
      <c r="S11" s="200">
        <f ca="1">IF($L11&lt;&gt;0,VLOOKUP($N11,'Allocation Factors'!$B$12:$AU$603,8,FALSE)*$L11,0)+IF($H11&lt;&gt;0,(VLOOKUP($J11,'Allocation Factors'!$B$12:$AU$603,8,FALSE)*$H11),0)</f>
        <v>3061.9026086228887</v>
      </c>
      <c r="T11" s="200">
        <f ca="1">IF($L11&lt;&gt;0,VLOOKUP($N11,'Allocation Factors'!$B$12:$AU$603,9,FALSE)*$L11,0)+IF($H11&lt;&gt;0,(VLOOKUP($J11,'Allocation Factors'!$B$12:$AU$603,9,FALSE)*$H11),0)</f>
        <v>21205.166030894859</v>
      </c>
      <c r="U11" s="200">
        <f ca="1">IF($L11&lt;&gt;0,VLOOKUP($N11,'Allocation Factors'!$B$12:$AU$603,10,FALSE)*$L11,0)+IF($H11&lt;&gt;0,(VLOOKUP($J11,'Allocation Factors'!$B$12:$AU$603,10,FALSE)*$H11),0)</f>
        <v>342.5997466617282</v>
      </c>
      <c r="V11" s="200">
        <f ca="1">IF($L11&lt;&gt;0,VLOOKUP($N11,'Allocation Factors'!$B$12:$AU$603,11,FALSE)*$L11,0)+IF($H11&lt;&gt;0,(VLOOKUP($J11,'Allocation Factors'!$B$12:$AU$603,11,FALSE)*$H11),0)</f>
        <v>0</v>
      </c>
      <c r="W11" s="200">
        <f ca="1">IF($L11&lt;&gt;0,VLOOKUP($N11,'Allocation Factors'!$B$12:$AU$603,12,FALSE)*$L11,0)+IF($H11&lt;&gt;0,(VLOOKUP($J11,'Allocation Factors'!$B$12:$AU$603,12,FALSE)*$H11),0)</f>
        <v>911.20796730958568</v>
      </c>
      <c r="X11" s="200">
        <f ca="1">IF($L11&lt;&gt;0,VLOOKUP($N11,'Allocation Factors'!$B$12:$AU$603,13,FALSE)*$L11,0)+IF($H11&lt;&gt;0,(VLOOKUP($J11,'Allocation Factors'!$B$12:$AU$603,13,FALSE)*$H11),0)</f>
        <v>119.02327979123238</v>
      </c>
      <c r="Y11" s="200">
        <f ca="1">IF($L11&lt;&gt;0,VLOOKUP($N11,'Allocation Factors'!$B$12:$AU$603,14,FALSE)*$L11,0)+IF($H11&lt;&gt;0,(VLOOKUP($J11,'Allocation Factors'!$B$12:$AU$603,14,FALSE)*$H11),0)</f>
        <v>1112.2057559780535</v>
      </c>
      <c r="Z11" s="200">
        <f ca="1">IF($L11&lt;&gt;0,VLOOKUP($N11,'Allocation Factors'!$B$12:$AU$603,15,FALSE)*$L11,0)+IF($H11&lt;&gt;0,(VLOOKUP($J11,'Allocation Factors'!$B$12:$AU$603,15,FALSE)*$H11),0)</f>
        <v>29112.458732969579</v>
      </c>
      <c r="AA11" s="200">
        <f ca="1">IF($L11&lt;&gt;0,VLOOKUP($N11,'Allocation Factors'!$B$12:$AU$603,16,FALSE)*$L11,0)+IF($H11&lt;&gt;0,(VLOOKUP($J11,'Allocation Factors'!$B$12:$AU$603,16,FALSE)*$H11),0)</f>
        <v>0</v>
      </c>
      <c r="AB11" s="200">
        <f ca="1">IF($L11&lt;&gt;0,VLOOKUP($N11,'Allocation Factors'!$B$12:$AU$603,17,FALSE)*$L11,0)+IF($H11&lt;&gt;0,(VLOOKUP($J11,'Allocation Factors'!$B$12:$AU$603,17,FALSE)*$H11),0)</f>
        <v>0</v>
      </c>
      <c r="AC11" s="200">
        <f ca="1">IF($L11&lt;&gt;0,VLOOKUP($N11,'Allocation Factors'!$B$12:$AU$603,18,FALSE)*$L11,0)+IF($H11&lt;&gt;0,(VLOOKUP($J11,'Allocation Factors'!$B$12:$AU$603,18,FALSE)*$H11),0)</f>
        <v>193220.38768988085</v>
      </c>
      <c r="AD11" s="200">
        <f ca="1">IF($L11&lt;&gt;0,VLOOKUP($N11,'Allocation Factors'!$B$12:$AU$603,19,FALSE)*$L11,0)+IF($H11&lt;&gt;0,(VLOOKUP($J11,'Allocation Factors'!$B$12:$AU$603,19,FALSE)*$H11),0)</f>
        <v>34151.345115240692</v>
      </c>
      <c r="AE11" s="200">
        <f ca="1">IF($L11&lt;&gt;0,VLOOKUP($N11,'Allocation Factors'!$B$12:$AU$603,20,FALSE)*$L11,0)+IF($H11&lt;&gt;0,(VLOOKUP($J11,'Allocation Factors'!$B$12:$AU$603,20,FALSE)*$H11),0)</f>
        <v>3243.3385333600131</v>
      </c>
      <c r="AF11" s="200">
        <f ca="1">IF($L11&lt;&gt;0,VLOOKUP($N11,'Allocation Factors'!$B$12:$AU$603,21,FALSE)*$L11,0)+IF($H11&lt;&gt;0,(VLOOKUP($J11,'Allocation Factors'!$B$12:$AU$603,21,FALSE)*$H11),0)</f>
        <v>1183.283319342823</v>
      </c>
      <c r="AG11" s="200">
        <f ca="1">IF($L11&lt;&gt;0,VLOOKUP($N11,'Allocation Factors'!$B$12:$AU$603,22,FALSE)*$L11,0)+IF($H11&lt;&gt;0,(VLOOKUP($J11,'Allocation Factors'!$B$12:$AU$603,22,FALSE)*$H11),0)</f>
        <v>0</v>
      </c>
      <c r="AH11" s="200">
        <f ca="1">IF($L11&lt;&gt;0,VLOOKUP($N11,'Allocation Factors'!$B$12:$AU$603,23,FALSE)*$L11,0)+IF($H11&lt;&gt;0,(VLOOKUP($J11,'Allocation Factors'!$B$12:$AU$603,23,FALSE)*$H11),0)</f>
        <v>637685.63760125893</v>
      </c>
      <c r="AI11" s="200">
        <f ca="1">IF($L11&lt;&gt;0,VLOOKUP($N11,'Allocation Factors'!$B$12:$AU$603,24,FALSE)*$L11,0)+IF($H11&lt;&gt;0,(VLOOKUP($J11,'Allocation Factors'!$B$12:$AU$603,24,FALSE)*$H11),0)</f>
        <v>142834.02358739416</v>
      </c>
      <c r="AJ11" s="200">
        <f ca="1">IF($L11&lt;&gt;0,VLOOKUP($N11,'Allocation Factors'!$B$12:$AU$603,25,FALSE)*$L11,0)+IF($H11&lt;&gt;0,(VLOOKUP($J11,'Allocation Factors'!$B$12:$AU$603,25,FALSE)*$H11),0)</f>
        <v>12317.119625111889</v>
      </c>
      <c r="AK11" s="200">
        <f ca="1">IF($L11&lt;&gt;0,VLOOKUP($N11,'Allocation Factors'!$B$12:$AU$603,26,FALSE)*$L11,0)+IF($H11&lt;&gt;0,(VLOOKUP($J11,'Allocation Factors'!$B$12:$AU$603,26,FALSE)*$H11),0)</f>
        <v>0</v>
      </c>
      <c r="AL11" s="200">
        <f ca="1">IF($L11&lt;&gt;0,VLOOKUP($N11,'Allocation Factors'!$B$12:$AU$603,27,FALSE)*$L11,0)+IF($H11&lt;&gt;0,(VLOOKUP($J11,'Allocation Factors'!$B$12:$AU$603,27,FALSE)*$H11),0)</f>
        <v>63.02485779526161</v>
      </c>
      <c r="AM11" s="200">
        <f ca="1">IF($L11&lt;&gt;0,VLOOKUP($N11,'Allocation Factors'!$B$12:$AU$603,28,FALSE)*$L11,0)+IF($H11&lt;&gt;0,(VLOOKUP($J11,'Allocation Factors'!$B$12:$AU$603,28,FALSE)*$H11),0)</f>
        <v>385.9833639956247</v>
      </c>
      <c r="AN11" s="200">
        <f ca="1">IF($L11&lt;&gt;0,VLOOKUP($N11,'Allocation Factors'!$B$12:$AU$603,29,FALSE)*$L11,0)+IF($H11&lt;&gt;0,(VLOOKUP($J11,'Allocation Factors'!$B$12:$AU$603,29,FALSE)*$H11),0)</f>
        <v>6939.5411928437325</v>
      </c>
      <c r="AO11" s="200">
        <f ca="1">IF($L11&lt;&gt;0,VLOOKUP($N11,'Allocation Factors'!$B$12:$AU$603,30,FALSE)*$L11,0)+IF($H11&lt;&gt;0,(VLOOKUP($J11,'Allocation Factors'!$B$12:$AU$603,30,FALSE)*$H11),0)</f>
        <v>451.09415098859853</v>
      </c>
      <c r="AP11" s="200">
        <f ca="1">IF($L11&lt;&gt;0,VLOOKUP($N11,'Allocation Factors'!$B$12:$AU$603,31,FALSE)*$L11,0)+IF($H11&lt;&gt;0,(VLOOKUP($J11,'Allocation Factors'!$B$12:$AU$603,31,FALSE)*$H11),0)</f>
        <v>3277.4219358687674</v>
      </c>
      <c r="AQ11" s="200">
        <f ca="1">IF($L11&lt;&gt;0,VLOOKUP($N11,'Allocation Factors'!$B$12:$AU$603,32,FALSE)*$L11,0)+IF($H11&lt;&gt;0,(VLOOKUP($J11,'Allocation Factors'!$B$12:$AU$603,32,FALSE)*$H11),0)</f>
        <v>0</v>
      </c>
      <c r="AR11" s="200">
        <f ca="1">IF($L11&lt;&gt;0,VLOOKUP($N11,'Allocation Factors'!$B$12:$AU$603,33,FALSE)*$L11,0)+IF($H11&lt;&gt;0,(VLOOKUP($J11,'Allocation Factors'!$B$12:$AU$603,33,FALSE)*$H11),0)</f>
        <v>0</v>
      </c>
      <c r="AS11" s="200">
        <f ca="1">IF($L11&lt;&gt;0,VLOOKUP($N11,'Allocation Factors'!$B$12:$AU$603,34,FALSE)*$L11,0)+IF($H11&lt;&gt;0,(VLOOKUP($J11,'Allocation Factors'!$B$12:$AU$603,34,FALSE)*$H11),0)</f>
        <v>0</v>
      </c>
      <c r="AT11" s="200">
        <f ca="1">IF($L11&lt;&gt;0,VLOOKUP($N11,'Allocation Factors'!$B$12:$AU$603,35,FALSE)*$L11,0)+IF($H11&lt;&gt;0,(VLOOKUP($J11,'Allocation Factors'!$B$12:$AU$603,35,FALSE)*$H11),0)</f>
        <v>0</v>
      </c>
      <c r="AU11" s="200">
        <f ca="1">IF($L11&lt;&gt;0,VLOOKUP($N11,'Allocation Factors'!$B$12:$AU$603,36,FALSE)*$L11,0)+IF($H11&lt;&gt;0,(VLOOKUP($J11,'Allocation Factors'!$B$12:$AU$603,36,FALSE)*$H11),0)</f>
        <v>0</v>
      </c>
      <c r="AV11" s="200">
        <f ca="1">IF($L11&lt;&gt;0,VLOOKUP($N11,'Allocation Factors'!$B$12:$AU$603,37,FALSE)*$L11,0)+IF($H11&lt;&gt;0,(VLOOKUP($J11,'Allocation Factors'!$B$12:$AU$603,37,FALSE)*$H11),0)</f>
        <v>0</v>
      </c>
      <c r="AW11" s="200">
        <f ca="1">IF($L11&lt;&gt;0,VLOOKUP($N11,'Allocation Factors'!$B$12:$AU$603,38,FALSE)*$L11,0)+IF($H11&lt;&gt;0,(VLOOKUP($J11,'Allocation Factors'!$B$12:$AU$603,38,FALSE)*$H11),0)</f>
        <v>0</v>
      </c>
      <c r="AX11" s="200">
        <f ca="1">IF($L11&lt;&gt;0,VLOOKUP($N11,'Allocation Factors'!$B$12:$AU$603,39,FALSE)*$L11,0)+IF($H11&lt;&gt;0,(VLOOKUP($J11,'Allocation Factors'!$B$12:$AU$603,39,FALSE)*$H11),0)</f>
        <v>0</v>
      </c>
      <c r="AY11" s="200">
        <f ca="1">IF($L11&lt;&gt;0,VLOOKUP($N11,'Allocation Factors'!$B$12:$AU$603,40,FALSE)*$L11,0)+IF($H11&lt;&gt;0,(VLOOKUP($J11,'Allocation Factors'!$B$12:$AU$603,40,FALSE)*$H11),0)</f>
        <v>0</v>
      </c>
      <c r="AZ11" s="200">
        <f ca="1">IF($L11&lt;&gt;0,VLOOKUP($N11,'Allocation Factors'!$B$12:$AU$603,41,FALSE)*$L11,0)+IF($H11&lt;&gt;0,(VLOOKUP($J11,'Allocation Factors'!$B$12:$AU$603,41,FALSE)*$H11),0)</f>
        <v>0</v>
      </c>
      <c r="BA11" s="200">
        <f ca="1">IF($L11&lt;&gt;0,VLOOKUP($N11,'Allocation Factors'!$B$12:$AU$603,42,FALSE)*$L11,0)+IF($H11&lt;&gt;0,(VLOOKUP($J11,'Allocation Factors'!$B$12:$AU$603,42,FALSE)*$H11),0)</f>
        <v>0</v>
      </c>
      <c r="BB11" s="200">
        <f ca="1">IF($L11&lt;&gt;0,VLOOKUP($N11,'Allocation Factors'!$B$12:$AU$603,43,FALSE)*$L11,0)+IF($H11&lt;&gt;0,(VLOOKUP($J11,'Allocation Factors'!$B$12:$AU$603,43,FALSE)*$H11),0)</f>
        <v>0</v>
      </c>
      <c r="BC11" s="200">
        <f ca="1">IF($L11&lt;&gt;0,VLOOKUP($N11,'Allocation Factors'!$B$12:$AU$603,44,FALSE)*$L11,0)+IF($H11&lt;&gt;0,(VLOOKUP($J11,'Allocation Factors'!$B$12:$AU$603,44,FALSE)*$H11),0)</f>
        <v>0</v>
      </c>
      <c r="BD11" s="200">
        <f ca="1">IF($L11&lt;&gt;0,VLOOKUP($N11,'Allocation Factors'!$B$12:$AU$603,45,FALSE)*$L11,0)+IF($H11&lt;&gt;0,(VLOOKUP($J11,'Allocation Factors'!$B$12:$AU$603,45,FALSE)*$H11),0)</f>
        <v>0</v>
      </c>
      <c r="BE11" s="200">
        <f ca="1">IF($L11&lt;&gt;0,VLOOKUP($N11,'Allocation Factors'!$B$12:$AU$603,46,FALSE)*$L11,0)+IF($H11&lt;&gt;0,(VLOOKUP($J11,'Allocation Factors'!$B$12:$AU$603,46,FALSE)*$H11),0)</f>
        <v>0</v>
      </c>
    </row>
    <row r="12" spans="1:57" x14ac:dyDescent="0.25">
      <c r="A12" s="2">
        <f>A11+1</f>
        <v>2</v>
      </c>
      <c r="B12" s="73" t="s">
        <v>463</v>
      </c>
      <c r="D12" s="200">
        <f ca="1">'Gas Supply Class'!R164</f>
        <v>175236.13783085361</v>
      </c>
      <c r="E12" s="200"/>
      <c r="F12" s="200">
        <f ca="1">'Gas Supply Class'!R180</f>
        <v>167268.06038887406</v>
      </c>
      <c r="L12" s="200">
        <f t="shared" ca="1" si="0"/>
        <v>167268.06038887406</v>
      </c>
      <c r="N12" s="91" t="s">
        <v>297</v>
      </c>
      <c r="P12" s="200">
        <f ca="1">IF($L12&lt;&gt;0,VLOOKUP($N12,'Allocation Factors'!$B$12:$AU$603,5,FALSE)*$L12,0)+IF($H12&lt;&gt;0,(VLOOKUP($J12,'Allocation Factors'!$B$12:$AU$603,5,FALSE)*$H12),0)</f>
        <v>52748.675137082624</v>
      </c>
      <c r="Q12" s="200">
        <f ca="1">IF($L12&lt;&gt;0,VLOOKUP($N12,'Allocation Factors'!$B$12:$AU$603,6,FALSE)*$L12,0)+IF($H12&lt;&gt;0,(VLOOKUP($J12,'Allocation Factors'!$B$12:$AU$603,6,FALSE)*$H12),0)</f>
        <v>45844.943813135113</v>
      </c>
      <c r="R12" s="200">
        <f ca="1">IF($L12&lt;&gt;0,VLOOKUP($N12,'Allocation Factors'!$B$12:$AU$603,7,FALSE)*$L12,0)+IF($H12&lt;&gt;0,(VLOOKUP($J12,'Allocation Factors'!$B$12:$AU$603,7,FALSE)*$H12),0)</f>
        <v>0</v>
      </c>
      <c r="S12" s="200">
        <f ca="1">IF($L12&lt;&gt;0,VLOOKUP($N12,'Allocation Factors'!$B$12:$AU$603,8,FALSE)*$L12,0)+IF($H12&lt;&gt;0,(VLOOKUP($J12,'Allocation Factors'!$B$12:$AU$603,8,FALSE)*$H12),0)</f>
        <v>122.92079710085655</v>
      </c>
      <c r="T12" s="200">
        <f ca="1">IF($L12&lt;&gt;0,VLOOKUP($N12,'Allocation Factors'!$B$12:$AU$603,9,FALSE)*$L12,0)+IF($H12&lt;&gt;0,(VLOOKUP($J12,'Allocation Factors'!$B$12:$AU$603,9,FALSE)*$H12),0)</f>
        <v>3349.7255559804548</v>
      </c>
      <c r="U12" s="200">
        <f ca="1">IF($L12&lt;&gt;0,VLOOKUP($N12,'Allocation Factors'!$B$12:$AU$603,10,FALSE)*$L12,0)+IF($H12&lt;&gt;0,(VLOOKUP($J12,'Allocation Factors'!$B$12:$AU$603,10,FALSE)*$H12),0)</f>
        <v>123.54167832879617</v>
      </c>
      <c r="V12" s="200">
        <f ca="1">IF($L12&lt;&gt;0,VLOOKUP($N12,'Allocation Factors'!$B$12:$AU$603,11,FALSE)*$L12,0)+IF($H12&lt;&gt;0,(VLOOKUP($J12,'Allocation Factors'!$B$12:$AU$603,11,FALSE)*$H12),0)</f>
        <v>0</v>
      </c>
      <c r="W12" s="200">
        <f ca="1">IF($L12&lt;&gt;0,VLOOKUP($N12,'Allocation Factors'!$B$12:$AU$603,12,FALSE)*$L12,0)+IF($H12&lt;&gt;0,(VLOOKUP($J12,'Allocation Factors'!$B$12:$AU$603,12,FALSE)*$H12),0)</f>
        <v>0</v>
      </c>
      <c r="X12" s="200">
        <f ca="1">IF($L12&lt;&gt;0,VLOOKUP($N12,'Allocation Factors'!$B$12:$AU$603,13,FALSE)*$L12,0)+IF($H12&lt;&gt;0,(VLOOKUP($J12,'Allocation Factors'!$B$12:$AU$603,13,FALSE)*$H12),0)</f>
        <v>0</v>
      </c>
      <c r="Y12" s="200">
        <f ca="1">IF($L12&lt;&gt;0,VLOOKUP($N12,'Allocation Factors'!$B$12:$AU$603,14,FALSE)*$L12,0)+IF($H12&lt;&gt;0,(VLOOKUP($J12,'Allocation Factors'!$B$12:$AU$603,14,FALSE)*$H12),0)</f>
        <v>0</v>
      </c>
      <c r="Z12" s="200">
        <f ca="1">IF($L12&lt;&gt;0,VLOOKUP($N12,'Allocation Factors'!$B$12:$AU$603,15,FALSE)*$L12,0)+IF($H12&lt;&gt;0,(VLOOKUP($J12,'Allocation Factors'!$B$12:$AU$603,15,FALSE)*$H12),0)</f>
        <v>993.74239466783081</v>
      </c>
      <c r="AA12" s="200">
        <f ca="1">IF($L12&lt;&gt;0,VLOOKUP($N12,'Allocation Factors'!$B$12:$AU$603,16,FALSE)*$L12,0)+IF($H12&lt;&gt;0,(VLOOKUP($J12,'Allocation Factors'!$B$12:$AU$603,16,FALSE)*$H12),0)</f>
        <v>0</v>
      </c>
      <c r="AB12" s="200">
        <f ca="1">IF($L12&lt;&gt;0,VLOOKUP($N12,'Allocation Factors'!$B$12:$AU$603,17,FALSE)*$L12,0)+IF($H12&lt;&gt;0,(VLOOKUP($J12,'Allocation Factors'!$B$12:$AU$603,17,FALSE)*$H12),0)</f>
        <v>1716.729148425296</v>
      </c>
      <c r="AC12" s="200">
        <f ca="1">IF($L12&lt;&gt;0,VLOOKUP($N12,'Allocation Factors'!$B$12:$AU$603,18,FALSE)*$L12,0)+IF($H12&lt;&gt;0,(VLOOKUP($J12,'Allocation Factors'!$B$12:$AU$603,18,FALSE)*$H12),0)</f>
        <v>9457.9420624781797</v>
      </c>
      <c r="AD12" s="200">
        <f ca="1">IF($L12&lt;&gt;0,VLOOKUP($N12,'Allocation Factors'!$B$12:$AU$603,19,FALSE)*$L12,0)+IF($H12&lt;&gt;0,(VLOOKUP($J12,'Allocation Factors'!$B$12:$AU$603,19,FALSE)*$H12),0)</f>
        <v>2673.6788907151354</v>
      </c>
      <c r="AE12" s="200">
        <f ca="1">IF($L12&lt;&gt;0,VLOOKUP($N12,'Allocation Factors'!$B$12:$AU$603,20,FALSE)*$L12,0)+IF($H12&lt;&gt;0,(VLOOKUP($J12,'Allocation Factors'!$B$12:$AU$603,20,FALSE)*$H12),0)</f>
        <v>378.10902992289232</v>
      </c>
      <c r="AF12" s="200">
        <f ca="1">IF($L12&lt;&gt;0,VLOOKUP($N12,'Allocation Factors'!$B$12:$AU$603,21,FALSE)*$L12,0)+IF($H12&lt;&gt;0,(VLOOKUP($J12,'Allocation Factors'!$B$12:$AU$603,21,FALSE)*$H12),0)</f>
        <v>0</v>
      </c>
      <c r="AG12" s="200">
        <f ca="1">IF($L12&lt;&gt;0,VLOOKUP($N12,'Allocation Factors'!$B$12:$AU$603,22,FALSE)*$L12,0)+IF($H12&lt;&gt;0,(VLOOKUP($J12,'Allocation Factors'!$B$12:$AU$603,22,FALSE)*$H12),0)</f>
        <v>0</v>
      </c>
      <c r="AH12" s="200">
        <f ca="1">IF($L12&lt;&gt;0,VLOOKUP($N12,'Allocation Factors'!$B$12:$AU$603,23,FALSE)*$L12,0)+IF($H12&lt;&gt;0,(VLOOKUP($J12,'Allocation Factors'!$B$12:$AU$603,23,FALSE)*$H12),0)</f>
        <v>29928.337262280795</v>
      </c>
      <c r="AI12" s="200">
        <f ca="1">IF($L12&lt;&gt;0,VLOOKUP($N12,'Allocation Factors'!$B$12:$AU$603,24,FALSE)*$L12,0)+IF($H12&lt;&gt;0,(VLOOKUP($J12,'Allocation Factors'!$B$12:$AU$603,24,FALSE)*$H12),0)</f>
        <v>10671.581948549208</v>
      </c>
      <c r="AJ12" s="200">
        <f ca="1">IF($L12&lt;&gt;0,VLOOKUP($N12,'Allocation Factors'!$B$12:$AU$603,25,FALSE)*$L12,0)+IF($H12&lt;&gt;0,(VLOOKUP($J12,'Allocation Factors'!$B$12:$AU$603,25,FALSE)*$H12),0)</f>
        <v>3341.3379100306897</v>
      </c>
      <c r="AK12" s="200">
        <f ca="1">IF($L12&lt;&gt;0,VLOOKUP($N12,'Allocation Factors'!$B$12:$AU$603,26,FALSE)*$L12,0)+IF($H12&lt;&gt;0,(VLOOKUP($J12,'Allocation Factors'!$B$12:$AU$603,26,FALSE)*$H12),0)</f>
        <v>0</v>
      </c>
      <c r="AL12" s="200">
        <f ca="1">IF($L12&lt;&gt;0,VLOOKUP($N12,'Allocation Factors'!$B$12:$AU$603,27,FALSE)*$L12,0)+IF($H12&lt;&gt;0,(VLOOKUP($J12,'Allocation Factors'!$B$12:$AU$603,27,FALSE)*$H12),0)</f>
        <v>32.337784647838554</v>
      </c>
      <c r="AM12" s="200">
        <f ca="1">IF($L12&lt;&gt;0,VLOOKUP($N12,'Allocation Factors'!$B$12:$AU$603,28,FALSE)*$L12,0)+IF($H12&lt;&gt;0,(VLOOKUP($J12,'Allocation Factors'!$B$12:$AU$603,28,FALSE)*$H12),0)</f>
        <v>0</v>
      </c>
      <c r="AN12" s="200">
        <f ca="1">IF($L12&lt;&gt;0,VLOOKUP($N12,'Allocation Factors'!$B$12:$AU$603,29,FALSE)*$L12,0)+IF($H12&lt;&gt;0,(VLOOKUP($J12,'Allocation Factors'!$B$12:$AU$603,29,FALSE)*$H12),0)</f>
        <v>5548.7881355209838</v>
      </c>
      <c r="AO12" s="200">
        <f ca="1">IF($L12&lt;&gt;0,VLOOKUP($N12,'Allocation Factors'!$B$12:$AU$603,30,FALSE)*$L12,0)+IF($H12&lt;&gt;0,(VLOOKUP($J12,'Allocation Factors'!$B$12:$AU$603,30,FALSE)*$H12),0)</f>
        <v>0</v>
      </c>
      <c r="AP12" s="200">
        <f ca="1">IF($L12&lt;&gt;0,VLOOKUP($N12,'Allocation Factors'!$B$12:$AU$603,31,FALSE)*$L12,0)+IF($H12&lt;&gt;0,(VLOOKUP($J12,'Allocation Factors'!$B$12:$AU$603,31,FALSE)*$H12),0)</f>
        <v>335.66884000737213</v>
      </c>
      <c r="AQ12" s="200">
        <f ca="1">IF($L12&lt;&gt;0,VLOOKUP($N12,'Allocation Factors'!$B$12:$AU$603,32,FALSE)*$L12,0)+IF($H12&lt;&gt;0,(VLOOKUP($J12,'Allocation Factors'!$B$12:$AU$603,32,FALSE)*$H12),0)</f>
        <v>0</v>
      </c>
      <c r="AR12" s="200">
        <f ca="1">IF($L12&lt;&gt;0,VLOOKUP($N12,'Allocation Factors'!$B$12:$AU$603,33,FALSE)*$L12,0)+IF($H12&lt;&gt;0,(VLOOKUP($J12,'Allocation Factors'!$B$12:$AU$603,33,FALSE)*$H12),0)</f>
        <v>0</v>
      </c>
      <c r="AS12" s="200">
        <f ca="1">IF($L12&lt;&gt;0,VLOOKUP($N12,'Allocation Factors'!$B$12:$AU$603,34,FALSE)*$L12,0)+IF($H12&lt;&gt;0,(VLOOKUP($J12,'Allocation Factors'!$B$12:$AU$603,34,FALSE)*$H12),0)</f>
        <v>0</v>
      </c>
      <c r="AT12" s="200">
        <f ca="1">IF($L12&lt;&gt;0,VLOOKUP($N12,'Allocation Factors'!$B$12:$AU$603,35,FALSE)*$L12,0)+IF($H12&lt;&gt;0,(VLOOKUP($J12,'Allocation Factors'!$B$12:$AU$603,35,FALSE)*$H12),0)</f>
        <v>0</v>
      </c>
      <c r="AU12" s="200">
        <f ca="1">IF($L12&lt;&gt;0,VLOOKUP($N12,'Allocation Factors'!$B$12:$AU$603,36,FALSE)*$L12,0)+IF($H12&lt;&gt;0,(VLOOKUP($J12,'Allocation Factors'!$B$12:$AU$603,36,FALSE)*$H12),0)</f>
        <v>0</v>
      </c>
      <c r="AV12" s="200">
        <f ca="1">IF($L12&lt;&gt;0,VLOOKUP($N12,'Allocation Factors'!$B$12:$AU$603,37,FALSE)*$L12,0)+IF($H12&lt;&gt;0,(VLOOKUP($J12,'Allocation Factors'!$B$12:$AU$603,37,FALSE)*$H12),0)</f>
        <v>0</v>
      </c>
      <c r="AW12" s="200">
        <f ca="1">IF($L12&lt;&gt;0,VLOOKUP($N12,'Allocation Factors'!$B$12:$AU$603,38,FALSE)*$L12,0)+IF($H12&lt;&gt;0,(VLOOKUP($J12,'Allocation Factors'!$B$12:$AU$603,38,FALSE)*$H12),0)</f>
        <v>0</v>
      </c>
      <c r="AX12" s="200">
        <f ca="1">IF($L12&lt;&gt;0,VLOOKUP($N12,'Allocation Factors'!$B$12:$AU$603,39,FALSE)*$L12,0)+IF($H12&lt;&gt;0,(VLOOKUP($J12,'Allocation Factors'!$B$12:$AU$603,39,FALSE)*$H12),0)</f>
        <v>0</v>
      </c>
      <c r="AY12" s="200">
        <f ca="1">IF($L12&lt;&gt;0,VLOOKUP($N12,'Allocation Factors'!$B$12:$AU$603,40,FALSE)*$L12,0)+IF($H12&lt;&gt;0,(VLOOKUP($J12,'Allocation Factors'!$B$12:$AU$603,40,FALSE)*$H12),0)</f>
        <v>0</v>
      </c>
      <c r="AZ12" s="200">
        <f ca="1">IF($L12&lt;&gt;0,VLOOKUP($N12,'Allocation Factors'!$B$12:$AU$603,41,FALSE)*$L12,0)+IF($H12&lt;&gt;0,(VLOOKUP($J12,'Allocation Factors'!$B$12:$AU$603,41,FALSE)*$H12),0)</f>
        <v>0</v>
      </c>
      <c r="BA12" s="200">
        <f ca="1">IF($L12&lt;&gt;0,VLOOKUP($N12,'Allocation Factors'!$B$12:$AU$603,42,FALSE)*$L12,0)+IF($H12&lt;&gt;0,(VLOOKUP($J12,'Allocation Factors'!$B$12:$AU$603,42,FALSE)*$H12),0)</f>
        <v>0</v>
      </c>
      <c r="BB12" s="200">
        <f ca="1">IF($L12&lt;&gt;0,VLOOKUP($N12,'Allocation Factors'!$B$12:$AU$603,43,FALSE)*$L12,0)+IF($H12&lt;&gt;0,(VLOOKUP($J12,'Allocation Factors'!$B$12:$AU$603,43,FALSE)*$H12),0)</f>
        <v>0</v>
      </c>
      <c r="BC12" s="200">
        <f ca="1">IF($L12&lt;&gt;0,VLOOKUP($N12,'Allocation Factors'!$B$12:$AU$603,44,FALSE)*$L12,0)+IF($H12&lt;&gt;0,(VLOOKUP($J12,'Allocation Factors'!$B$12:$AU$603,44,FALSE)*$H12),0)</f>
        <v>0</v>
      </c>
      <c r="BD12" s="200">
        <f ca="1">IF($L12&lt;&gt;0,VLOOKUP($N12,'Allocation Factors'!$B$12:$AU$603,45,FALSE)*$L12,0)+IF($H12&lt;&gt;0,(VLOOKUP($J12,'Allocation Factors'!$B$12:$AU$603,45,FALSE)*$H12),0)</f>
        <v>0</v>
      </c>
      <c r="BE12" s="200">
        <f ca="1">IF($L12&lt;&gt;0,VLOOKUP($N12,'Allocation Factors'!$B$12:$AU$603,46,FALSE)*$L12,0)+IF($H12&lt;&gt;0,(VLOOKUP($J12,'Allocation Factors'!$B$12:$AU$603,46,FALSE)*$H12),0)</f>
        <v>0</v>
      </c>
    </row>
    <row r="13" spans="1:57" x14ac:dyDescent="0.25">
      <c r="A13" s="2">
        <f t="shared" ref="A13:A17" si="1">A12+1</f>
        <v>3</v>
      </c>
      <c r="B13" s="73" t="s">
        <v>464</v>
      </c>
      <c r="D13" s="200">
        <f ca="1">'Gas Supply Class'!T164</f>
        <v>23590.657623593441</v>
      </c>
      <c r="E13" s="200"/>
      <c r="F13" s="200">
        <f ca="1">'Gas Supply Class'!T180</f>
        <v>23590.657623593441</v>
      </c>
      <c r="L13" s="200">
        <f t="shared" ca="1" si="0"/>
        <v>23590.657623593441</v>
      </c>
      <c r="N13" s="91" t="s">
        <v>180</v>
      </c>
      <c r="P13" s="200">
        <f ca="1">IF($L13&lt;&gt;0,VLOOKUP($N13,'Allocation Factors'!$B$12:$AU$603,5,FALSE)*$L13,0)+IF($H13&lt;&gt;0,(VLOOKUP($J13,'Allocation Factors'!$B$12:$AU$603,5,FALSE)*$H13),0)</f>
        <v>7058.9650746348625</v>
      </c>
      <c r="Q13" s="200">
        <f ca="1">IF($L13&lt;&gt;0,VLOOKUP($N13,'Allocation Factors'!$B$12:$AU$603,6,FALSE)*$L13,0)+IF($H13&lt;&gt;0,(VLOOKUP($J13,'Allocation Factors'!$B$12:$AU$603,6,FALSE)*$H13),0)</f>
        <v>6135.0897702075772</v>
      </c>
      <c r="R13" s="200">
        <f ca="1">IF($L13&lt;&gt;0,VLOOKUP($N13,'Allocation Factors'!$B$12:$AU$603,7,FALSE)*$L13,0)+IF($H13&lt;&gt;0,(VLOOKUP($J13,'Allocation Factors'!$B$12:$AU$603,7,FALSE)*$H13),0)</f>
        <v>0</v>
      </c>
      <c r="S13" s="200">
        <f ca="1">IF($L13&lt;&gt;0,VLOOKUP($N13,'Allocation Factors'!$B$12:$AU$603,8,FALSE)*$L13,0)+IF($H13&lt;&gt;0,(VLOOKUP($J13,'Allocation Factors'!$B$12:$AU$603,8,FALSE)*$H13),0)</f>
        <v>16.449581177655606</v>
      </c>
      <c r="T13" s="200">
        <f ca="1">IF($L13&lt;&gt;0,VLOOKUP($N13,'Allocation Factors'!$B$12:$AU$603,9,FALSE)*$L13,0)+IF($H13&lt;&gt;0,(VLOOKUP($J13,'Allocation Factors'!$B$12:$AU$603,9,FALSE)*$H13),0)</f>
        <v>448.26899723695414</v>
      </c>
      <c r="U13" s="200">
        <f ca="1">IF($L13&lt;&gt;0,VLOOKUP($N13,'Allocation Factors'!$B$12:$AU$603,10,FALSE)*$L13,0)+IF($H13&lt;&gt;0,(VLOOKUP($J13,'Allocation Factors'!$B$12:$AU$603,10,FALSE)*$H13),0)</f>
        <v>16.532669120473745</v>
      </c>
      <c r="V13" s="200">
        <f ca="1">IF($L13&lt;&gt;0,VLOOKUP($N13,'Allocation Factors'!$B$12:$AU$603,11,FALSE)*$L13,0)+IF($H13&lt;&gt;0,(VLOOKUP($J13,'Allocation Factors'!$B$12:$AU$603,11,FALSE)*$H13),0)</f>
        <v>0</v>
      </c>
      <c r="W13" s="200">
        <f ca="1">IF($L13&lt;&gt;0,VLOOKUP($N13,'Allocation Factors'!$B$12:$AU$603,12,FALSE)*$L13,0)+IF($H13&lt;&gt;0,(VLOOKUP($J13,'Allocation Factors'!$B$12:$AU$603,12,FALSE)*$H13),0)</f>
        <v>0</v>
      </c>
      <c r="X13" s="200">
        <f ca="1">IF($L13&lt;&gt;0,VLOOKUP($N13,'Allocation Factors'!$B$12:$AU$603,13,FALSE)*$L13,0)+IF($H13&lt;&gt;0,(VLOOKUP($J13,'Allocation Factors'!$B$12:$AU$603,13,FALSE)*$H13),0)</f>
        <v>0</v>
      </c>
      <c r="Y13" s="200">
        <f ca="1">IF($L13&lt;&gt;0,VLOOKUP($N13,'Allocation Factors'!$B$12:$AU$603,14,FALSE)*$L13,0)+IF($H13&lt;&gt;0,(VLOOKUP($J13,'Allocation Factors'!$B$12:$AU$603,14,FALSE)*$H13),0)</f>
        <v>0</v>
      </c>
      <c r="Z13" s="200">
        <f ca="1">IF($L13&lt;&gt;0,VLOOKUP($N13,'Allocation Factors'!$B$12:$AU$603,15,FALSE)*$L13,0)+IF($H13&lt;&gt;0,(VLOOKUP($J13,'Allocation Factors'!$B$12:$AU$603,15,FALSE)*$H13),0)</f>
        <v>132.98519515256589</v>
      </c>
      <c r="AA13" s="200">
        <f ca="1">IF($L13&lt;&gt;0,VLOOKUP($N13,'Allocation Factors'!$B$12:$AU$603,16,FALSE)*$L13,0)+IF($H13&lt;&gt;0,(VLOOKUP($J13,'Allocation Factors'!$B$12:$AU$603,16,FALSE)*$H13),0)</f>
        <v>0</v>
      </c>
      <c r="AB13" s="200">
        <f ca="1">IF($L13&lt;&gt;0,VLOOKUP($N13,'Allocation Factors'!$B$12:$AU$603,17,FALSE)*$L13,0)+IF($H13&lt;&gt;0,(VLOOKUP($J13,'Allocation Factors'!$B$12:$AU$603,17,FALSE)*$H13),0)</f>
        <v>54.512124223278057</v>
      </c>
      <c r="AC13" s="200">
        <f ca="1">IF($L13&lt;&gt;0,VLOOKUP($N13,'Allocation Factors'!$B$12:$AU$603,18,FALSE)*$L13,0)+IF($H13&lt;&gt;0,(VLOOKUP($J13,'Allocation Factors'!$B$12:$AU$603,18,FALSE)*$H13),0)</f>
        <v>1265.6864371180864</v>
      </c>
      <c r="AD13" s="200">
        <f ca="1">IF($L13&lt;&gt;0,VLOOKUP($N13,'Allocation Factors'!$B$12:$AU$603,19,FALSE)*$L13,0)+IF($H13&lt;&gt;0,(VLOOKUP($J13,'Allocation Factors'!$B$12:$AU$603,19,FALSE)*$H13),0)</f>
        <v>357.79867193438787</v>
      </c>
      <c r="AE13" s="200">
        <f ca="1">IF($L13&lt;&gt;0,VLOOKUP($N13,'Allocation Factors'!$B$12:$AU$603,20,FALSE)*$L13,0)+IF($H13&lt;&gt;0,(VLOOKUP($J13,'Allocation Factors'!$B$12:$AU$603,20,FALSE)*$H13),0)</f>
        <v>50.599535053599894</v>
      </c>
      <c r="AF13" s="200">
        <f ca="1">IF($L13&lt;&gt;0,VLOOKUP($N13,'Allocation Factors'!$B$12:$AU$603,21,FALSE)*$L13,0)+IF($H13&lt;&gt;0,(VLOOKUP($J13,'Allocation Factors'!$B$12:$AU$603,21,FALSE)*$H13),0)</f>
        <v>0</v>
      </c>
      <c r="AG13" s="200">
        <f ca="1">IF($L13&lt;&gt;0,VLOOKUP($N13,'Allocation Factors'!$B$12:$AU$603,22,FALSE)*$L13,0)+IF($H13&lt;&gt;0,(VLOOKUP($J13,'Allocation Factors'!$B$12:$AU$603,22,FALSE)*$H13),0)</f>
        <v>0</v>
      </c>
      <c r="AH13" s="200">
        <f ca="1">IF($L13&lt;&gt;0,VLOOKUP($N13,'Allocation Factors'!$B$12:$AU$603,23,FALSE)*$L13,0)+IF($H13&lt;&gt;0,(VLOOKUP($J13,'Allocation Factors'!$B$12:$AU$603,23,FALSE)*$H13),0)</f>
        <v>4005.0880316388102</v>
      </c>
      <c r="AI13" s="200">
        <f ca="1">IF($L13&lt;&gt;0,VLOOKUP($N13,'Allocation Factors'!$B$12:$AU$603,24,FALSE)*$L13,0)+IF($H13&lt;&gt;0,(VLOOKUP($J13,'Allocation Factors'!$B$12:$AU$603,24,FALSE)*$H13),0)</f>
        <v>1428.0988872259861</v>
      </c>
      <c r="AJ13" s="200">
        <f ca="1">IF($L13&lt;&gt;0,VLOOKUP($N13,'Allocation Factors'!$B$12:$AU$603,25,FALSE)*$L13,0)+IF($H13&lt;&gt;0,(VLOOKUP($J13,'Allocation Factors'!$B$12:$AU$603,25,FALSE)*$H13),0)</f>
        <v>447.14654061289815</v>
      </c>
      <c r="AK13" s="200">
        <f ca="1">IF($L13&lt;&gt;0,VLOOKUP($N13,'Allocation Factors'!$B$12:$AU$603,26,FALSE)*$L13,0)+IF($H13&lt;&gt;0,(VLOOKUP($J13,'Allocation Factors'!$B$12:$AU$603,26,FALSE)*$H13),0)</f>
        <v>0</v>
      </c>
      <c r="AL13" s="200">
        <f ca="1">IF($L13&lt;&gt;0,VLOOKUP($N13,'Allocation Factors'!$B$12:$AU$603,27,FALSE)*$L13,0)+IF($H13&lt;&gt;0,(VLOOKUP($J13,'Allocation Factors'!$B$12:$AU$603,27,FALSE)*$H13),0)</f>
        <v>4.3275265554429021</v>
      </c>
      <c r="AM13" s="200">
        <f ca="1">IF($L13&lt;&gt;0,VLOOKUP($N13,'Allocation Factors'!$B$12:$AU$603,28,FALSE)*$L13,0)+IF($H13&lt;&gt;0,(VLOOKUP($J13,'Allocation Factors'!$B$12:$AU$603,28,FALSE)*$H13),0)</f>
        <v>0</v>
      </c>
      <c r="AN13" s="200">
        <f ca="1">IF($L13&lt;&gt;0,VLOOKUP($N13,'Allocation Factors'!$B$12:$AU$603,29,FALSE)*$L13,0)+IF($H13&lt;&gt;0,(VLOOKUP($J13,'Allocation Factors'!$B$12:$AU$603,29,FALSE)*$H13),0)</f>
        <v>742.55327841694191</v>
      </c>
      <c r="AO13" s="200">
        <f ca="1">IF($L13&lt;&gt;0,VLOOKUP($N13,'Allocation Factors'!$B$12:$AU$603,30,FALSE)*$L13,0)+IF($H13&lt;&gt;0,(VLOOKUP($J13,'Allocation Factors'!$B$12:$AU$603,30,FALSE)*$H13),0)</f>
        <v>0</v>
      </c>
      <c r="AP13" s="200">
        <f ca="1">IF($L13&lt;&gt;0,VLOOKUP($N13,'Allocation Factors'!$B$12:$AU$603,31,FALSE)*$L13,0)+IF($H13&lt;&gt;0,(VLOOKUP($J13,'Allocation Factors'!$B$12:$AU$603,31,FALSE)*$H13),0)</f>
        <v>44.920078316611281</v>
      </c>
      <c r="AQ13" s="200">
        <f ca="1">IF($L13&lt;&gt;0,VLOOKUP($N13,'Allocation Factors'!$B$12:$AU$603,32,FALSE)*$L13,0)+IF($H13&lt;&gt;0,(VLOOKUP($J13,'Allocation Factors'!$B$12:$AU$603,32,FALSE)*$H13),0)</f>
        <v>0</v>
      </c>
      <c r="AR13" s="200">
        <f ca="1">IF($L13&lt;&gt;0,VLOOKUP($N13,'Allocation Factors'!$B$12:$AU$603,33,FALSE)*$L13,0)+IF($H13&lt;&gt;0,(VLOOKUP($J13,'Allocation Factors'!$B$12:$AU$603,33,FALSE)*$H13),0)</f>
        <v>156.30484664232657</v>
      </c>
      <c r="AS13" s="200">
        <f ca="1">IF($L13&lt;&gt;0,VLOOKUP($N13,'Allocation Factors'!$B$12:$AU$603,34,FALSE)*$L13,0)+IF($H13&lt;&gt;0,(VLOOKUP($J13,'Allocation Factors'!$B$12:$AU$603,34,FALSE)*$H13),0)</f>
        <v>0</v>
      </c>
      <c r="AT13" s="200">
        <f ca="1">IF($L13&lt;&gt;0,VLOOKUP($N13,'Allocation Factors'!$B$12:$AU$603,35,FALSE)*$L13,0)+IF($H13&lt;&gt;0,(VLOOKUP($J13,'Allocation Factors'!$B$12:$AU$603,35,FALSE)*$H13),0)</f>
        <v>975.0563032466282</v>
      </c>
      <c r="AU13" s="200">
        <f ca="1">IF($L13&lt;&gt;0,VLOOKUP($N13,'Allocation Factors'!$B$12:$AU$603,36,FALSE)*$L13,0)+IF($H13&lt;&gt;0,(VLOOKUP($J13,'Allocation Factors'!$B$12:$AU$603,36,FALSE)*$H13),0)</f>
        <v>0</v>
      </c>
      <c r="AV13" s="200">
        <f ca="1">IF($L13&lt;&gt;0,VLOOKUP($N13,'Allocation Factors'!$B$12:$AU$603,37,FALSE)*$L13,0)+IF($H13&lt;&gt;0,(VLOOKUP($J13,'Allocation Factors'!$B$12:$AU$603,37,FALSE)*$H13),0)</f>
        <v>250.2740750783625</v>
      </c>
      <c r="AW13" s="200">
        <f ca="1">IF($L13&lt;&gt;0,VLOOKUP($N13,'Allocation Factors'!$B$12:$AU$603,38,FALSE)*$L13,0)+IF($H13&lt;&gt;0,(VLOOKUP($J13,'Allocation Factors'!$B$12:$AU$603,38,FALSE)*$H13),0)</f>
        <v>0</v>
      </c>
      <c r="AX13" s="200">
        <f ca="1">IF($L13&lt;&gt;0,VLOOKUP($N13,'Allocation Factors'!$B$12:$AU$603,39,FALSE)*$L13,0)+IF($H13&lt;&gt;0,(VLOOKUP($J13,'Allocation Factors'!$B$12:$AU$603,39,FALSE)*$H13),0)</f>
        <v>0</v>
      </c>
      <c r="AY13" s="200">
        <f ca="1">IF($L13&lt;&gt;0,VLOOKUP($N13,'Allocation Factors'!$B$12:$AU$603,40,FALSE)*$L13,0)+IF($H13&lt;&gt;0,(VLOOKUP($J13,'Allocation Factors'!$B$12:$AU$603,40,FALSE)*$H13),0)</f>
        <v>0</v>
      </c>
      <c r="AZ13" s="200">
        <f ca="1">IF($L13&lt;&gt;0,VLOOKUP($N13,'Allocation Factors'!$B$12:$AU$603,41,FALSE)*$L13,0)+IF($H13&lt;&gt;0,(VLOOKUP($J13,'Allocation Factors'!$B$12:$AU$603,41,FALSE)*$H13),0)</f>
        <v>0</v>
      </c>
      <c r="BA13" s="200">
        <f ca="1">IF($L13&lt;&gt;0,VLOOKUP($N13,'Allocation Factors'!$B$12:$AU$603,42,FALSE)*$L13,0)+IF($H13&lt;&gt;0,(VLOOKUP($J13,'Allocation Factors'!$B$12:$AU$603,42,FALSE)*$H13),0)</f>
        <v>0</v>
      </c>
      <c r="BB13" s="200">
        <f ca="1">IF($L13&lt;&gt;0,VLOOKUP($N13,'Allocation Factors'!$B$12:$AU$603,43,FALSE)*$L13,0)+IF($H13&lt;&gt;0,(VLOOKUP($J13,'Allocation Factors'!$B$12:$AU$603,43,FALSE)*$H13),0)</f>
        <v>0</v>
      </c>
      <c r="BC13" s="200">
        <f ca="1">IF($L13&lt;&gt;0,VLOOKUP($N13,'Allocation Factors'!$B$12:$AU$603,44,FALSE)*$L13,0)+IF($H13&lt;&gt;0,(VLOOKUP($J13,'Allocation Factors'!$B$12:$AU$603,44,FALSE)*$H13),0)</f>
        <v>0</v>
      </c>
      <c r="BD13" s="200">
        <f ca="1">IF($L13&lt;&gt;0,VLOOKUP($N13,'Allocation Factors'!$B$12:$AU$603,45,FALSE)*$L13,0)+IF($H13&lt;&gt;0,(VLOOKUP($J13,'Allocation Factors'!$B$12:$AU$603,45,FALSE)*$H13),0)</f>
        <v>0</v>
      </c>
      <c r="BE13" s="200">
        <f ca="1">IF($L13&lt;&gt;0,VLOOKUP($N13,'Allocation Factors'!$B$12:$AU$603,46,FALSE)*$L13,0)+IF($H13&lt;&gt;0,(VLOOKUP($J13,'Allocation Factors'!$B$12:$AU$603,46,FALSE)*$H13),0)</f>
        <v>0</v>
      </c>
    </row>
    <row r="14" spans="1:57" x14ac:dyDescent="0.25">
      <c r="A14" s="2">
        <f t="shared" si="1"/>
        <v>4</v>
      </c>
      <c r="B14" s="73" t="s">
        <v>138</v>
      </c>
      <c r="D14" s="200">
        <f ca="1">'Gas Supply Class'!V164</f>
        <v>162050.40026244638</v>
      </c>
      <c r="E14" s="200"/>
      <c r="F14" s="200">
        <f ca="1">'Gas Supply Class'!V180</f>
        <v>154681.88509897413</v>
      </c>
      <c r="H14" s="113">
        <f ca="1">F14-D14</f>
        <v>-7368.5151634722424</v>
      </c>
      <c r="J14" s="91" t="s">
        <v>390</v>
      </c>
      <c r="L14" s="200">
        <f t="shared" ca="1" si="0"/>
        <v>162050.40026244638</v>
      </c>
      <c r="N14" s="91" t="s">
        <v>296</v>
      </c>
      <c r="P14" s="200">
        <f ca="1">IF($L14&lt;&gt;0,VLOOKUP($N14,'Allocation Factors'!$B$12:$AU$603,5,FALSE)*$L14,0)+IF($H14&lt;&gt;0,(VLOOKUP($J14,'Allocation Factors'!$B$12:$AU$603,5,FALSE)*$H14),0)</f>
        <v>38538.245465688582</v>
      </c>
      <c r="Q14" s="200">
        <f ca="1">IF($L14&lt;&gt;0,VLOOKUP($N14,'Allocation Factors'!$B$12:$AU$603,6,FALSE)*$L14,0)+IF($H14&lt;&gt;0,(VLOOKUP($J14,'Allocation Factors'!$B$12:$AU$603,6,FALSE)*$H14),0)</f>
        <v>39988.963186971756</v>
      </c>
      <c r="R14" s="200">
        <f ca="1">IF($L14&lt;&gt;0,VLOOKUP($N14,'Allocation Factors'!$B$12:$AU$603,7,FALSE)*$L14,0)+IF($H14&lt;&gt;0,(VLOOKUP($J14,'Allocation Factors'!$B$12:$AU$603,7,FALSE)*$H14),0)</f>
        <v>0</v>
      </c>
      <c r="S14" s="200">
        <f ca="1">IF($L14&lt;&gt;0,VLOOKUP($N14,'Allocation Factors'!$B$12:$AU$603,8,FALSE)*$L14,0)+IF($H14&lt;&gt;0,(VLOOKUP($J14,'Allocation Factors'!$B$12:$AU$603,8,FALSE)*$H14),0)</f>
        <v>209.83586150319701</v>
      </c>
      <c r="T14" s="200">
        <f ca="1">IF($L14&lt;&gt;0,VLOOKUP($N14,'Allocation Factors'!$B$12:$AU$603,9,FALSE)*$L14,0)+IF($H14&lt;&gt;0,(VLOOKUP($J14,'Allocation Factors'!$B$12:$AU$603,9,FALSE)*$H14),0)</f>
        <v>8380.6184719839002</v>
      </c>
      <c r="U14" s="200">
        <f ca="1">IF($L14&lt;&gt;0,VLOOKUP($N14,'Allocation Factors'!$B$12:$AU$603,10,FALSE)*$L14,0)+IF($H14&lt;&gt;0,(VLOOKUP($J14,'Allocation Factors'!$B$12:$AU$603,10,FALSE)*$H14),0)</f>
        <v>2921.3680372541171</v>
      </c>
      <c r="V14" s="200">
        <f ca="1">IF($L14&lt;&gt;0,VLOOKUP($N14,'Allocation Factors'!$B$12:$AU$603,11,FALSE)*$L14,0)+IF($H14&lt;&gt;0,(VLOOKUP($J14,'Allocation Factors'!$B$12:$AU$603,11,FALSE)*$H14),0)</f>
        <v>0</v>
      </c>
      <c r="W14" s="200">
        <f ca="1">IF($L14&lt;&gt;0,VLOOKUP($N14,'Allocation Factors'!$B$12:$AU$603,12,FALSE)*$L14,0)+IF($H14&lt;&gt;0,(VLOOKUP($J14,'Allocation Factors'!$B$12:$AU$603,12,FALSE)*$H14),0)</f>
        <v>402.75121251075257</v>
      </c>
      <c r="X14" s="200">
        <f ca="1">IF($L14&lt;&gt;0,VLOOKUP($N14,'Allocation Factors'!$B$12:$AU$603,13,FALSE)*$L14,0)+IF($H14&lt;&gt;0,(VLOOKUP($J14,'Allocation Factors'!$B$12:$AU$603,13,FALSE)*$H14),0)</f>
        <v>120.21114927451478</v>
      </c>
      <c r="Y14" s="200">
        <f ca="1">IF($L14&lt;&gt;0,VLOOKUP($N14,'Allocation Factors'!$B$12:$AU$603,14,FALSE)*$L14,0)+IF($H14&lt;&gt;0,(VLOOKUP($J14,'Allocation Factors'!$B$12:$AU$603,14,FALSE)*$H14),0)</f>
        <v>2472.9249324634243</v>
      </c>
      <c r="Z14" s="200">
        <f ca="1">IF($L14&lt;&gt;0,VLOOKUP($N14,'Allocation Factors'!$B$12:$AU$603,15,FALSE)*$L14,0)+IF($H14&lt;&gt;0,(VLOOKUP($J14,'Allocation Factors'!$B$12:$AU$603,15,FALSE)*$H14),0)</f>
        <v>1444.7755680218456</v>
      </c>
      <c r="AA14" s="200">
        <f ca="1">IF($L14&lt;&gt;0,VLOOKUP($N14,'Allocation Factors'!$B$12:$AU$603,16,FALSE)*$L14,0)+IF($H14&lt;&gt;0,(VLOOKUP($J14,'Allocation Factors'!$B$12:$AU$603,16,FALSE)*$H14),0)</f>
        <v>0</v>
      </c>
      <c r="AB14" s="200">
        <f ca="1">IF($L14&lt;&gt;0,VLOOKUP($N14,'Allocation Factors'!$B$12:$AU$603,17,FALSE)*$L14,0)+IF($H14&lt;&gt;0,(VLOOKUP($J14,'Allocation Factors'!$B$12:$AU$603,17,FALSE)*$H14),0)</f>
        <v>236.39010100724275</v>
      </c>
      <c r="AC14" s="200">
        <f ca="1">IF($L14&lt;&gt;0,VLOOKUP($N14,'Allocation Factors'!$B$12:$AU$603,18,FALSE)*$L14,0)+IF($H14&lt;&gt;0,(VLOOKUP($J14,'Allocation Factors'!$B$12:$AU$603,18,FALSE)*$H14),0)</f>
        <v>7804.2743576209969</v>
      </c>
      <c r="AD14" s="200">
        <f ca="1">IF($L14&lt;&gt;0,VLOOKUP($N14,'Allocation Factors'!$B$12:$AU$603,19,FALSE)*$L14,0)+IF($H14&lt;&gt;0,(VLOOKUP($J14,'Allocation Factors'!$B$12:$AU$603,19,FALSE)*$H14),0)</f>
        <v>3136.6024605671605</v>
      </c>
      <c r="AE14" s="200">
        <f ca="1">IF($L14&lt;&gt;0,VLOOKUP($N14,'Allocation Factors'!$B$12:$AU$603,20,FALSE)*$L14,0)+IF($H14&lt;&gt;0,(VLOOKUP($J14,'Allocation Factors'!$B$12:$AU$603,20,FALSE)*$H14),0)</f>
        <v>1579.446362772605</v>
      </c>
      <c r="AF14" s="200">
        <f ca="1">IF($L14&lt;&gt;0,VLOOKUP($N14,'Allocation Factors'!$B$12:$AU$603,21,FALSE)*$L14,0)+IF($H14&lt;&gt;0,(VLOOKUP($J14,'Allocation Factors'!$B$12:$AU$603,21,FALSE)*$H14),0)</f>
        <v>43.626687396673198</v>
      </c>
      <c r="AG14" s="200">
        <f ca="1">IF($L14&lt;&gt;0,VLOOKUP($N14,'Allocation Factors'!$B$12:$AU$603,22,FALSE)*$L14,0)+IF($H14&lt;&gt;0,(VLOOKUP($J14,'Allocation Factors'!$B$12:$AU$603,22,FALSE)*$H14),0)</f>
        <v>0</v>
      </c>
      <c r="AH14" s="200">
        <f ca="1">IF($L14&lt;&gt;0,VLOOKUP($N14,'Allocation Factors'!$B$12:$AU$603,23,FALSE)*$L14,0)+IF($H14&lt;&gt;0,(VLOOKUP($J14,'Allocation Factors'!$B$12:$AU$603,23,FALSE)*$H14),0)</f>
        <v>24902.101411904929</v>
      </c>
      <c r="AI14" s="200">
        <f ca="1">IF($L14&lt;&gt;0,VLOOKUP($N14,'Allocation Factors'!$B$12:$AU$603,24,FALSE)*$L14,0)+IF($H14&lt;&gt;0,(VLOOKUP($J14,'Allocation Factors'!$B$12:$AU$603,24,FALSE)*$H14),0)</f>
        <v>10093.367529628236</v>
      </c>
      <c r="AJ14" s="200">
        <f ca="1">IF($L14&lt;&gt;0,VLOOKUP($N14,'Allocation Factors'!$B$12:$AU$603,25,FALSE)*$L14,0)+IF($H14&lt;&gt;0,(VLOOKUP($J14,'Allocation Factors'!$B$12:$AU$603,25,FALSE)*$H14),0)</f>
        <v>4541.5716877790774</v>
      </c>
      <c r="AK14" s="200">
        <f ca="1">IF($L14&lt;&gt;0,VLOOKUP($N14,'Allocation Factors'!$B$12:$AU$603,26,FALSE)*$L14,0)+IF($H14&lt;&gt;0,(VLOOKUP($J14,'Allocation Factors'!$B$12:$AU$603,26,FALSE)*$H14),0)</f>
        <v>1.8207986541013714</v>
      </c>
      <c r="AL14" s="200">
        <f ca="1">IF($L14&lt;&gt;0,VLOOKUP($N14,'Allocation Factors'!$B$12:$AU$603,27,FALSE)*$L14,0)+IF($H14&lt;&gt;0,(VLOOKUP($J14,'Allocation Factors'!$B$12:$AU$603,27,FALSE)*$H14),0)</f>
        <v>33.705424722357378</v>
      </c>
      <c r="AM14" s="200">
        <f ca="1">IF($L14&lt;&gt;0,VLOOKUP($N14,'Allocation Factors'!$B$12:$AU$603,28,FALSE)*$L14,0)+IF($H14&lt;&gt;0,(VLOOKUP($J14,'Allocation Factors'!$B$12:$AU$603,28,FALSE)*$H14),0)</f>
        <v>421.42149434035809</v>
      </c>
      <c r="AN14" s="200">
        <f ca="1">IF($L14&lt;&gt;0,VLOOKUP($N14,'Allocation Factors'!$B$12:$AU$603,29,FALSE)*$L14,0)+IF($H14&lt;&gt;0,(VLOOKUP($J14,'Allocation Factors'!$B$12:$AU$603,29,FALSE)*$H14),0)</f>
        <v>5460.1676936014173</v>
      </c>
      <c r="AO14" s="200">
        <f ca="1">IF($L14&lt;&gt;0,VLOOKUP($N14,'Allocation Factors'!$B$12:$AU$603,30,FALSE)*$L14,0)+IF($H14&lt;&gt;0,(VLOOKUP($J14,'Allocation Factors'!$B$12:$AU$603,30,FALSE)*$H14),0)</f>
        <v>581.4004831216522</v>
      </c>
      <c r="AP14" s="200">
        <f ca="1">IF($L14&lt;&gt;0,VLOOKUP($N14,'Allocation Factors'!$B$12:$AU$603,31,FALSE)*$L14,0)+IF($H14&lt;&gt;0,(VLOOKUP($J14,'Allocation Factors'!$B$12:$AU$603,31,FALSE)*$H14),0)</f>
        <v>689.07113370256661</v>
      </c>
      <c r="AQ14" s="200">
        <f ca="1">IF($L14&lt;&gt;0,VLOOKUP($N14,'Allocation Factors'!$B$12:$AU$603,32,FALSE)*$L14,0)+IF($H14&lt;&gt;0,(VLOOKUP($J14,'Allocation Factors'!$B$12:$AU$603,32,FALSE)*$H14),0)</f>
        <v>0</v>
      </c>
      <c r="AR14" s="200">
        <f ca="1">IF($L14&lt;&gt;0,VLOOKUP($N14,'Allocation Factors'!$B$12:$AU$603,33,FALSE)*$L14,0)+IF($H14&lt;&gt;0,(VLOOKUP($J14,'Allocation Factors'!$B$12:$AU$603,33,FALSE)*$H14),0)</f>
        <v>46.89645696803273</v>
      </c>
      <c r="AS14" s="200">
        <f ca="1">IF($L14&lt;&gt;0,VLOOKUP($N14,'Allocation Factors'!$B$12:$AU$603,34,FALSE)*$L14,0)+IF($H14&lt;&gt;0,(VLOOKUP($J14,'Allocation Factors'!$B$12:$AU$603,34,FALSE)*$H14),0)</f>
        <v>4.4705121644242158</v>
      </c>
      <c r="AT14" s="200">
        <f ca="1">IF($L14&lt;&gt;0,VLOOKUP($N14,'Allocation Factors'!$B$12:$AU$603,35,FALSE)*$L14,0)+IF($H14&lt;&gt;0,(VLOOKUP($J14,'Allocation Factors'!$B$12:$AU$603,35,FALSE)*$H14),0)</f>
        <v>591.20273572886697</v>
      </c>
      <c r="AU14" s="200">
        <f ca="1">IF($L14&lt;&gt;0,VLOOKUP($N14,'Allocation Factors'!$B$12:$AU$603,36,FALSE)*$L14,0)+IF($H14&lt;&gt;0,(VLOOKUP($J14,'Allocation Factors'!$B$12:$AU$603,36,FALSE)*$H14),0)</f>
        <v>4.973918559551521</v>
      </c>
      <c r="AV14" s="200">
        <f ca="1">IF($L14&lt;&gt;0,VLOOKUP($N14,'Allocation Factors'!$B$12:$AU$603,37,FALSE)*$L14,0)+IF($H14&lt;&gt;0,(VLOOKUP($J14,'Allocation Factors'!$B$12:$AU$603,37,FALSE)*$H14),0)</f>
        <v>29.679963061740334</v>
      </c>
      <c r="AW14" s="200">
        <f ca="1">IF($L14&lt;&gt;0,VLOOKUP($N14,'Allocation Factors'!$B$12:$AU$603,38,FALSE)*$L14,0)+IF($H14&lt;&gt;0,(VLOOKUP($J14,'Allocation Factors'!$B$12:$AU$603,38,FALSE)*$H14),0)</f>
        <v>0</v>
      </c>
      <c r="AX14" s="200">
        <f ca="1">IF($L14&lt;&gt;0,VLOOKUP($N14,'Allocation Factors'!$B$12:$AU$603,39,FALSE)*$L14,0)+IF($H14&lt;&gt;0,(VLOOKUP($J14,'Allocation Factors'!$B$12:$AU$603,39,FALSE)*$H14),0)</f>
        <v>0</v>
      </c>
      <c r="AY14" s="200">
        <f ca="1">IF($L14&lt;&gt;0,VLOOKUP($N14,'Allocation Factors'!$B$12:$AU$603,40,FALSE)*$L14,0)+IF($H14&lt;&gt;0,(VLOOKUP($J14,'Allocation Factors'!$B$12:$AU$603,40,FALSE)*$H14),0)</f>
        <v>0</v>
      </c>
      <c r="AZ14" s="200">
        <f ca="1">IF($L14&lt;&gt;0,VLOOKUP($N14,'Allocation Factors'!$B$12:$AU$603,41,FALSE)*$L14,0)+IF($H14&lt;&gt;0,(VLOOKUP($J14,'Allocation Factors'!$B$12:$AU$603,41,FALSE)*$H14),0)</f>
        <v>0</v>
      </c>
      <c r="BA14" s="200">
        <f ca="1">IF($L14&lt;&gt;0,VLOOKUP($N14,'Allocation Factors'!$B$12:$AU$603,42,FALSE)*$L14,0)+IF($H14&lt;&gt;0,(VLOOKUP($J14,'Allocation Factors'!$B$12:$AU$603,42,FALSE)*$H14),0)</f>
        <v>0</v>
      </c>
      <c r="BB14" s="200">
        <f ca="1">IF($L14&lt;&gt;0,VLOOKUP($N14,'Allocation Factors'!$B$12:$AU$603,43,FALSE)*$L14,0)+IF($H14&lt;&gt;0,(VLOOKUP($J14,'Allocation Factors'!$B$12:$AU$603,43,FALSE)*$H14),0)</f>
        <v>0</v>
      </c>
      <c r="BC14" s="200">
        <f ca="1">IF($L14&lt;&gt;0,VLOOKUP($N14,'Allocation Factors'!$B$12:$AU$603,44,FALSE)*$L14,0)+IF($H14&lt;&gt;0,(VLOOKUP($J14,'Allocation Factors'!$B$12:$AU$603,44,FALSE)*$H14),0)</f>
        <v>0</v>
      </c>
      <c r="BD14" s="200">
        <f ca="1">IF($L14&lt;&gt;0,VLOOKUP($N14,'Allocation Factors'!$B$12:$AU$603,45,FALSE)*$L14,0)+IF($H14&lt;&gt;0,(VLOOKUP($J14,'Allocation Factors'!$B$12:$AU$603,45,FALSE)*$H14),0)</f>
        <v>0</v>
      </c>
      <c r="BE14" s="200">
        <f ca="1">IF($L14&lt;&gt;0,VLOOKUP($N14,'Allocation Factors'!$B$12:$AU$603,46,FALSE)*$L14,0)+IF($H14&lt;&gt;0,(VLOOKUP($J14,'Allocation Factors'!$B$12:$AU$603,46,FALSE)*$H14),0)</f>
        <v>0</v>
      </c>
    </row>
    <row r="15" spans="1:57" x14ac:dyDescent="0.25">
      <c r="A15" s="2">
        <f t="shared" si="1"/>
        <v>5</v>
      </c>
      <c r="B15" s="73" t="s">
        <v>156</v>
      </c>
      <c r="D15" s="200">
        <f ca="1">'Gas Supply Class'!X164</f>
        <v>23898.700496907863</v>
      </c>
      <c r="E15" s="200"/>
      <c r="F15" s="200">
        <f ca="1">'Gas Supply Class'!X180</f>
        <v>23898.700496907863</v>
      </c>
      <c r="L15" s="200">
        <f t="shared" ca="1" si="0"/>
        <v>23898.700496907863</v>
      </c>
      <c r="N15" s="91" t="s">
        <v>298</v>
      </c>
      <c r="P15" s="200">
        <f ca="1">IF($L15&lt;&gt;0,VLOOKUP($N15,'Allocation Factors'!$B$12:$AU$603,5,FALSE)*$L15,0)+IF($H15&lt;&gt;0,(VLOOKUP($J15,'Allocation Factors'!$B$12:$AU$603,5,FALSE)*$H15),0)</f>
        <v>6125.7510426480694</v>
      </c>
      <c r="Q15" s="200">
        <f ca="1">IF($L15&lt;&gt;0,VLOOKUP($N15,'Allocation Factors'!$B$12:$AU$603,6,FALSE)*$L15,0)+IF($H15&lt;&gt;0,(VLOOKUP($J15,'Allocation Factors'!$B$12:$AU$603,6,FALSE)*$H15),0)</f>
        <v>5874.2384491795456</v>
      </c>
      <c r="R15" s="200">
        <f ca="1">IF($L15&lt;&gt;0,VLOOKUP($N15,'Allocation Factors'!$B$12:$AU$603,7,FALSE)*$L15,0)+IF($H15&lt;&gt;0,(VLOOKUP($J15,'Allocation Factors'!$B$12:$AU$603,7,FALSE)*$H15),0)</f>
        <v>0</v>
      </c>
      <c r="S15" s="200">
        <f ca="1">IF($L15&lt;&gt;0,VLOOKUP($N15,'Allocation Factors'!$B$12:$AU$603,8,FALSE)*$L15,0)+IF($H15&lt;&gt;0,(VLOOKUP($J15,'Allocation Factors'!$B$12:$AU$603,8,FALSE)*$H15),0)</f>
        <v>33.597928529908032</v>
      </c>
      <c r="T15" s="200">
        <f ca="1">IF($L15&lt;&gt;0,VLOOKUP($N15,'Allocation Factors'!$B$12:$AU$603,9,FALSE)*$L15,0)+IF($H15&lt;&gt;0,(VLOOKUP($J15,'Allocation Factors'!$B$12:$AU$603,9,FALSE)*$H15),0)</f>
        <v>1308.5361750890627</v>
      </c>
      <c r="U15" s="200">
        <f ca="1">IF($L15&lt;&gt;0,VLOOKUP($N15,'Allocation Factors'!$B$12:$AU$603,10,FALSE)*$L15,0)+IF($H15&lt;&gt;0,(VLOOKUP($J15,'Allocation Factors'!$B$12:$AU$603,10,FALSE)*$H15),0)</f>
        <v>467.75567256279555</v>
      </c>
      <c r="V15" s="200">
        <f ca="1">IF($L15&lt;&gt;0,VLOOKUP($N15,'Allocation Factors'!$B$12:$AU$603,11,FALSE)*$L15,0)+IF($H15&lt;&gt;0,(VLOOKUP($J15,'Allocation Factors'!$B$12:$AU$603,11,FALSE)*$H15),0)</f>
        <v>0</v>
      </c>
      <c r="W15" s="200">
        <f ca="1">IF($L15&lt;&gt;0,VLOOKUP($N15,'Allocation Factors'!$B$12:$AU$603,12,FALSE)*$L15,0)+IF($H15&lt;&gt;0,(VLOOKUP($J15,'Allocation Factors'!$B$12:$AU$603,12,FALSE)*$H15),0)</f>
        <v>64.486624718644208</v>
      </c>
      <c r="X15" s="200">
        <f ca="1">IF($L15&lt;&gt;0,VLOOKUP($N15,'Allocation Factors'!$B$12:$AU$603,13,FALSE)*$L15,0)+IF($H15&lt;&gt;0,(VLOOKUP($J15,'Allocation Factors'!$B$12:$AU$603,13,FALSE)*$H15),0)</f>
        <v>19.247642289979677</v>
      </c>
      <c r="Y15" s="200">
        <f ca="1">IF($L15&lt;&gt;0,VLOOKUP($N15,'Allocation Factors'!$B$12:$AU$603,14,FALSE)*$L15,0)+IF($H15&lt;&gt;0,(VLOOKUP($J15,'Allocation Factors'!$B$12:$AU$603,14,FALSE)*$H15),0)</f>
        <v>395.95307754136155</v>
      </c>
      <c r="Z15" s="200">
        <f ca="1">IF($L15&lt;&gt;0,VLOOKUP($N15,'Allocation Factors'!$B$12:$AU$603,15,FALSE)*$L15,0)+IF($H15&lt;&gt;0,(VLOOKUP($J15,'Allocation Factors'!$B$12:$AU$603,15,FALSE)*$H15),0)</f>
        <v>231.32468760967902</v>
      </c>
      <c r="AA15" s="200">
        <f ca="1">IF($L15&lt;&gt;0,VLOOKUP($N15,'Allocation Factors'!$B$12:$AU$603,16,FALSE)*$L15,0)+IF($H15&lt;&gt;0,(VLOOKUP($J15,'Allocation Factors'!$B$12:$AU$603,16,FALSE)*$H15),0)</f>
        <v>0</v>
      </c>
      <c r="AB15" s="200">
        <f ca="1">IF($L15&lt;&gt;0,VLOOKUP($N15,'Allocation Factors'!$B$12:$AU$603,17,FALSE)*$L15,0)+IF($H15&lt;&gt;0,(VLOOKUP($J15,'Allocation Factors'!$B$12:$AU$603,17,FALSE)*$H15),0)</f>
        <v>19.662249806094451</v>
      </c>
      <c r="AC15" s="200">
        <f ca="1">IF($L15&lt;&gt;0,VLOOKUP($N15,'Allocation Factors'!$B$12:$AU$603,18,FALSE)*$L15,0)+IF($H15&lt;&gt;0,(VLOOKUP($J15,'Allocation Factors'!$B$12:$AU$603,18,FALSE)*$H15),0)</f>
        <v>1211.4304519863383</v>
      </c>
      <c r="AD15" s="200">
        <f ca="1">IF($L15&lt;&gt;0,VLOOKUP($N15,'Allocation Factors'!$B$12:$AU$603,19,FALSE)*$L15,0)+IF($H15&lt;&gt;0,(VLOOKUP($J15,'Allocation Factors'!$B$12:$AU$603,19,FALSE)*$H15),0)</f>
        <v>396.98125616745489</v>
      </c>
      <c r="AE15" s="200">
        <f ca="1">IF($L15&lt;&gt;0,VLOOKUP($N15,'Allocation Factors'!$B$12:$AU$603,20,FALSE)*$L15,0)+IF($H15&lt;&gt;0,(VLOOKUP($J15,'Allocation Factors'!$B$12:$AU$603,20,FALSE)*$H15),0)</f>
        <v>165.75927617033878</v>
      </c>
      <c r="AF15" s="200">
        <f ca="1">IF($L15&lt;&gt;0,VLOOKUP($N15,'Allocation Factors'!$B$12:$AU$603,21,FALSE)*$L15,0)+IF($H15&lt;&gt;0,(VLOOKUP($J15,'Allocation Factors'!$B$12:$AU$603,21,FALSE)*$H15),0)</f>
        <v>6.9852994366634213</v>
      </c>
      <c r="AG15" s="200">
        <f ca="1">IF($L15&lt;&gt;0,VLOOKUP($N15,'Allocation Factors'!$B$12:$AU$603,22,FALSE)*$L15,0)+IF($H15&lt;&gt;0,(VLOOKUP($J15,'Allocation Factors'!$B$12:$AU$603,22,FALSE)*$H15),0)</f>
        <v>0</v>
      </c>
      <c r="AH15" s="200">
        <f ca="1">IF($L15&lt;&gt;0,VLOOKUP($N15,'Allocation Factors'!$B$12:$AU$603,23,FALSE)*$L15,0)+IF($H15&lt;&gt;0,(VLOOKUP($J15,'Allocation Factors'!$B$12:$AU$603,23,FALSE)*$H15),0)</f>
        <v>3987.2070364338383</v>
      </c>
      <c r="AI15" s="200">
        <f ca="1">IF($L15&lt;&gt;0,VLOOKUP($N15,'Allocation Factors'!$B$12:$AU$603,24,FALSE)*$L15,0)+IF($H15&lt;&gt;0,(VLOOKUP($J15,'Allocation Factors'!$B$12:$AU$603,24,FALSE)*$H15),0)</f>
        <v>1616.102407173033</v>
      </c>
      <c r="AJ15" s="200">
        <f ca="1">IF($L15&lt;&gt;0,VLOOKUP($N15,'Allocation Factors'!$B$12:$AU$603,25,FALSE)*$L15,0)+IF($H15&lt;&gt;0,(VLOOKUP($J15,'Allocation Factors'!$B$12:$AU$603,25,FALSE)*$H15),0)</f>
        <v>727.17503998776874</v>
      </c>
      <c r="AK15" s="200">
        <f ca="1">IF($L15&lt;&gt;0,VLOOKUP($N15,'Allocation Factors'!$B$12:$AU$603,26,FALSE)*$L15,0)+IF($H15&lt;&gt;0,(VLOOKUP($J15,'Allocation Factors'!$B$12:$AU$603,26,FALSE)*$H15),0)</f>
        <v>0.29153769336476626</v>
      </c>
      <c r="AL15" s="200">
        <f ca="1">IF($L15&lt;&gt;0,VLOOKUP($N15,'Allocation Factors'!$B$12:$AU$603,27,FALSE)*$L15,0)+IF($H15&lt;&gt;0,(VLOOKUP($J15,'Allocation Factors'!$B$12:$AU$603,27,FALSE)*$H15),0)</f>
        <v>5.3967536472534992</v>
      </c>
      <c r="AM15" s="200">
        <f ca="1">IF($L15&lt;&gt;0,VLOOKUP($N15,'Allocation Factors'!$B$12:$AU$603,28,FALSE)*$L15,0)+IF($H15&lt;&gt;0,(VLOOKUP($J15,'Allocation Factors'!$B$12:$AU$603,28,FALSE)*$H15),0)</f>
        <v>67.476022193654771</v>
      </c>
      <c r="AN15" s="200">
        <f ca="1">IF($L15&lt;&gt;0,VLOOKUP($N15,'Allocation Factors'!$B$12:$AU$603,29,FALSE)*$L15,0)+IF($H15&lt;&gt;0,(VLOOKUP($J15,'Allocation Factors'!$B$12:$AU$603,29,FALSE)*$H15),0)</f>
        <v>874.25630021843619</v>
      </c>
      <c r="AO15" s="200">
        <f ca="1">IF($L15&lt;&gt;0,VLOOKUP($N15,'Allocation Factors'!$B$12:$AU$603,30,FALSE)*$L15,0)+IF($H15&lt;&gt;0,(VLOOKUP($J15,'Allocation Factors'!$B$12:$AU$603,30,FALSE)*$H15),0)</f>
        <v>93.091103395010762</v>
      </c>
      <c r="AP15" s="200">
        <f ca="1">IF($L15&lt;&gt;0,VLOOKUP($N15,'Allocation Factors'!$B$12:$AU$603,31,FALSE)*$L15,0)+IF($H15&lt;&gt;0,(VLOOKUP($J15,'Allocation Factors'!$B$12:$AU$603,31,FALSE)*$H15),0)</f>
        <v>110.33082017684001</v>
      </c>
      <c r="AQ15" s="200">
        <f ca="1">IF($L15&lt;&gt;0,VLOOKUP($N15,'Allocation Factors'!$B$12:$AU$603,32,FALSE)*$L15,0)+IF($H15&lt;&gt;0,(VLOOKUP($J15,'Allocation Factors'!$B$12:$AU$603,32,FALSE)*$H15),0)</f>
        <v>0</v>
      </c>
      <c r="AR15" s="200">
        <f ca="1">IF($L15&lt;&gt;0,VLOOKUP($N15,'Allocation Factors'!$B$12:$AU$603,33,FALSE)*$L15,0)+IF($H15&lt;&gt;0,(VLOOKUP($J15,'Allocation Factors'!$B$12:$AU$603,33,FALSE)*$H15),0)</f>
        <v>6.624526924130822</v>
      </c>
      <c r="AS15" s="200">
        <f ca="1">IF($L15&lt;&gt;0,VLOOKUP($N15,'Allocation Factors'!$B$12:$AU$603,34,FALSE)*$L15,0)+IF($H15&lt;&gt;0,(VLOOKUP($J15,'Allocation Factors'!$B$12:$AU$603,34,FALSE)*$H15),0)</f>
        <v>0.63149820077175245</v>
      </c>
      <c r="AT15" s="200">
        <f ca="1">IF($L15&lt;&gt;0,VLOOKUP($N15,'Allocation Factors'!$B$12:$AU$603,35,FALSE)*$L15,0)+IF($H15&lt;&gt;0,(VLOOKUP($J15,'Allocation Factors'!$B$12:$AU$603,35,FALSE)*$H15),0)</f>
        <v>83.512459014235219</v>
      </c>
      <c r="AU15" s="200">
        <f ca="1">IF($L15&lt;&gt;0,VLOOKUP($N15,'Allocation Factors'!$B$12:$AU$603,36,FALSE)*$L15,0)+IF($H15&lt;&gt;0,(VLOOKUP($J15,'Allocation Factors'!$B$12:$AU$603,36,FALSE)*$H15),0)</f>
        <v>0.70260867337256483</v>
      </c>
      <c r="AV15" s="200">
        <f ca="1">IF($L15&lt;&gt;0,VLOOKUP($N15,'Allocation Factors'!$B$12:$AU$603,37,FALSE)*$L15,0)+IF($H15&lt;&gt;0,(VLOOKUP($J15,'Allocation Factors'!$B$12:$AU$603,37,FALSE)*$H15),0)</f>
        <v>4.1925494402217112</v>
      </c>
      <c r="AW15" s="200">
        <f ca="1">IF($L15&lt;&gt;0,VLOOKUP($N15,'Allocation Factors'!$B$12:$AU$603,38,FALSE)*$L15,0)+IF($H15&lt;&gt;0,(VLOOKUP($J15,'Allocation Factors'!$B$12:$AU$603,38,FALSE)*$H15),0)</f>
        <v>0</v>
      </c>
      <c r="AX15" s="200">
        <f ca="1">IF($L15&lt;&gt;0,VLOOKUP($N15,'Allocation Factors'!$B$12:$AU$603,39,FALSE)*$L15,0)+IF($H15&lt;&gt;0,(VLOOKUP($J15,'Allocation Factors'!$B$12:$AU$603,39,FALSE)*$H15),0)</f>
        <v>0</v>
      </c>
      <c r="AY15" s="200">
        <f ca="1">IF($L15&lt;&gt;0,VLOOKUP($N15,'Allocation Factors'!$B$12:$AU$603,40,FALSE)*$L15,0)+IF($H15&lt;&gt;0,(VLOOKUP($J15,'Allocation Factors'!$B$12:$AU$603,40,FALSE)*$H15),0)</f>
        <v>0</v>
      </c>
      <c r="AZ15" s="200">
        <f ca="1">IF($L15&lt;&gt;0,VLOOKUP($N15,'Allocation Factors'!$B$12:$AU$603,41,FALSE)*$L15,0)+IF($H15&lt;&gt;0,(VLOOKUP($J15,'Allocation Factors'!$B$12:$AU$603,41,FALSE)*$H15),0)</f>
        <v>0</v>
      </c>
      <c r="BA15" s="200">
        <f ca="1">IF($L15&lt;&gt;0,VLOOKUP($N15,'Allocation Factors'!$B$12:$AU$603,42,FALSE)*$L15,0)+IF($H15&lt;&gt;0,(VLOOKUP($J15,'Allocation Factors'!$B$12:$AU$603,42,FALSE)*$H15),0)</f>
        <v>0</v>
      </c>
      <c r="BB15" s="200">
        <f ca="1">IF($L15&lt;&gt;0,VLOOKUP($N15,'Allocation Factors'!$B$12:$AU$603,43,FALSE)*$L15,0)+IF($H15&lt;&gt;0,(VLOOKUP($J15,'Allocation Factors'!$B$12:$AU$603,43,FALSE)*$H15),0)</f>
        <v>0</v>
      </c>
      <c r="BC15" s="200">
        <f ca="1">IF($L15&lt;&gt;0,VLOOKUP($N15,'Allocation Factors'!$B$12:$AU$603,44,FALSE)*$L15,0)+IF($H15&lt;&gt;0,(VLOOKUP($J15,'Allocation Factors'!$B$12:$AU$603,44,FALSE)*$H15),0)</f>
        <v>0</v>
      </c>
      <c r="BD15" s="200">
        <f ca="1">IF($L15&lt;&gt;0,VLOOKUP($N15,'Allocation Factors'!$B$12:$AU$603,45,FALSE)*$L15,0)+IF($H15&lt;&gt;0,(VLOOKUP($J15,'Allocation Factors'!$B$12:$AU$603,45,FALSE)*$H15),0)</f>
        <v>0</v>
      </c>
      <c r="BE15" s="200">
        <f ca="1">IF($L15&lt;&gt;0,VLOOKUP($N15,'Allocation Factors'!$B$12:$AU$603,46,FALSE)*$L15,0)+IF($H15&lt;&gt;0,(VLOOKUP($J15,'Allocation Factors'!$B$12:$AU$603,46,FALSE)*$H15),0)</f>
        <v>0</v>
      </c>
    </row>
    <row r="16" spans="1:57" x14ac:dyDescent="0.25">
      <c r="A16" s="2">
        <f t="shared" si="1"/>
        <v>6</v>
      </c>
      <c r="B16" s="73" t="s">
        <v>158</v>
      </c>
      <c r="D16" s="200">
        <f ca="1">'Gas Supply Class'!Z164</f>
        <v>20855.923243351954</v>
      </c>
      <c r="E16" s="200"/>
      <c r="F16" s="200">
        <f ca="1">ROUND('Gas Supply Class'!Z180,3)</f>
        <v>15491.673000000001</v>
      </c>
      <c r="L16" s="200">
        <f t="shared" ca="1" si="0"/>
        <v>15491.673000000001</v>
      </c>
      <c r="N16" s="91" t="s">
        <v>248</v>
      </c>
      <c r="P16" s="200">
        <f ca="1">IF($L16&lt;&gt;0,VLOOKUP($N16,'Allocation Factors'!$B$12:$AU$603,5,FALSE)*$L16,0)+IF($H16&lt;&gt;0,(VLOOKUP($J16,'Allocation Factors'!$B$12:$AU$603,5,FALSE)*$H16),0)</f>
        <v>5792.196697682868</v>
      </c>
      <c r="Q16" s="200">
        <f ca="1">IF($L16&lt;&gt;0,VLOOKUP($N16,'Allocation Factors'!$B$12:$AU$603,6,FALSE)*$L16,0)+IF($H16&lt;&gt;0,(VLOOKUP($J16,'Allocation Factors'!$B$12:$AU$603,6,FALSE)*$H16),0)</f>
        <v>3500.5325871986133</v>
      </c>
      <c r="R16" s="200">
        <f ca="1">IF($L16&lt;&gt;0,VLOOKUP($N16,'Allocation Factors'!$B$12:$AU$603,7,FALSE)*$L16,0)+IF($H16&lt;&gt;0,(VLOOKUP($J16,'Allocation Factors'!$B$12:$AU$603,7,FALSE)*$H16),0)</f>
        <v>0</v>
      </c>
      <c r="S16" s="200">
        <f ca="1">IF($L16&lt;&gt;0,VLOOKUP($N16,'Allocation Factors'!$B$12:$AU$603,8,FALSE)*$L16,0)+IF($H16&lt;&gt;0,(VLOOKUP($J16,'Allocation Factors'!$B$12:$AU$603,8,FALSE)*$H16),0)</f>
        <v>17.387569098364541</v>
      </c>
      <c r="T16" s="200">
        <f ca="1">IF($L16&lt;&gt;0,VLOOKUP($N16,'Allocation Factors'!$B$12:$AU$603,9,FALSE)*$L16,0)+IF($H16&lt;&gt;0,(VLOOKUP($J16,'Allocation Factors'!$B$12:$AU$603,9,FALSE)*$H16),0)</f>
        <v>120.41737988861283</v>
      </c>
      <c r="U16" s="200">
        <f ca="1">IF($L16&lt;&gt;0,VLOOKUP($N16,'Allocation Factors'!$B$12:$AU$603,10,FALSE)*$L16,0)+IF($H16&lt;&gt;0,(VLOOKUP($J16,'Allocation Factors'!$B$12:$AU$603,10,FALSE)*$H16),0)</f>
        <v>1.9455147761352789</v>
      </c>
      <c r="V16" s="200">
        <f ca="1">IF($L16&lt;&gt;0,VLOOKUP($N16,'Allocation Factors'!$B$12:$AU$603,11,FALSE)*$L16,0)+IF($H16&lt;&gt;0,(VLOOKUP($J16,'Allocation Factors'!$B$12:$AU$603,11,FALSE)*$H16),0)</f>
        <v>0</v>
      </c>
      <c r="W16" s="200">
        <f ca="1">IF($L16&lt;&gt;0,VLOOKUP($N16,'Allocation Factors'!$B$12:$AU$603,12,FALSE)*$L16,0)+IF($H16&lt;&gt;0,(VLOOKUP($J16,'Allocation Factors'!$B$12:$AU$603,12,FALSE)*$H16),0)</f>
        <v>5.1744596480492007</v>
      </c>
      <c r="X16" s="200">
        <f ca="1">IF($L16&lt;&gt;0,VLOOKUP($N16,'Allocation Factors'!$B$12:$AU$603,13,FALSE)*$L16,0)+IF($H16&lt;&gt;0,(VLOOKUP($J16,'Allocation Factors'!$B$12:$AU$603,13,FALSE)*$H16),0)</f>
        <v>0.67589527369546609</v>
      </c>
      <c r="Y16" s="200">
        <f ca="1">IF($L16&lt;&gt;0,VLOOKUP($N16,'Allocation Factors'!$B$12:$AU$603,14,FALSE)*$L16,0)+IF($H16&lt;&gt;0,(VLOOKUP($J16,'Allocation Factors'!$B$12:$AU$603,14,FALSE)*$H16),0)</f>
        <v>6.3158620327133219</v>
      </c>
      <c r="Z16" s="200">
        <f ca="1">IF($L16&lt;&gt;0,VLOOKUP($N16,'Allocation Factors'!$B$12:$AU$603,15,FALSE)*$L16,0)+IF($H16&lt;&gt;0,(VLOOKUP($J16,'Allocation Factors'!$B$12:$AU$603,15,FALSE)*$H16),0)</f>
        <v>165.32037512142145</v>
      </c>
      <c r="AA16" s="200">
        <f ca="1">IF($L16&lt;&gt;0,VLOOKUP($N16,'Allocation Factors'!$B$12:$AU$603,16,FALSE)*$L16,0)+IF($H16&lt;&gt;0,(VLOOKUP($J16,'Allocation Factors'!$B$12:$AU$603,16,FALSE)*$H16),0)</f>
        <v>0</v>
      </c>
      <c r="AB16" s="200">
        <f ca="1">IF($L16&lt;&gt;0,VLOOKUP($N16,'Allocation Factors'!$B$12:$AU$603,17,FALSE)*$L16,0)+IF($H16&lt;&gt;0,(VLOOKUP($J16,'Allocation Factors'!$B$12:$AU$603,17,FALSE)*$H16),0)</f>
        <v>0</v>
      </c>
      <c r="AC16" s="200">
        <f ca="1">IF($L16&lt;&gt;0,VLOOKUP($N16,'Allocation Factors'!$B$12:$AU$603,18,FALSE)*$L16,0)+IF($H16&lt;&gt;0,(VLOOKUP($J16,'Allocation Factors'!$B$12:$AU$603,18,FALSE)*$H16),0)</f>
        <v>1097.2370031330313</v>
      </c>
      <c r="AD16" s="200">
        <f ca="1">IF($L16&lt;&gt;0,VLOOKUP($N16,'Allocation Factors'!$B$12:$AU$603,19,FALSE)*$L16,0)+IF($H16&lt;&gt;0,(VLOOKUP($J16,'Allocation Factors'!$B$12:$AU$603,19,FALSE)*$H16),0)</f>
        <v>193.93460501358385</v>
      </c>
      <c r="AE16" s="200">
        <f ca="1">IF($L16&lt;&gt;0,VLOOKUP($N16,'Allocation Factors'!$B$12:$AU$603,20,FALSE)*$L16,0)+IF($H16&lt;&gt;0,(VLOOKUP($J16,'Allocation Factors'!$B$12:$AU$603,20,FALSE)*$H16),0)</f>
        <v>18.417885892049657</v>
      </c>
      <c r="AF16" s="200">
        <f ca="1">IF($L16&lt;&gt;0,VLOOKUP($N16,'Allocation Factors'!$B$12:$AU$603,21,FALSE)*$L16,0)+IF($H16&lt;&gt;0,(VLOOKUP($J16,'Allocation Factors'!$B$12:$AU$603,21,FALSE)*$H16),0)</f>
        <v>6.7194888629292411</v>
      </c>
      <c r="AG16" s="200">
        <f ca="1">IF($L16&lt;&gt;0,VLOOKUP($N16,'Allocation Factors'!$B$12:$AU$603,22,FALSE)*$L16,0)+IF($H16&lt;&gt;0,(VLOOKUP($J16,'Allocation Factors'!$B$12:$AU$603,22,FALSE)*$H16),0)</f>
        <v>0</v>
      </c>
      <c r="AH16" s="200">
        <f ca="1">IF($L16&lt;&gt;0,VLOOKUP($N16,'Allocation Factors'!$B$12:$AU$603,23,FALSE)*$L16,0)+IF($H16&lt;&gt;0,(VLOOKUP($J16,'Allocation Factors'!$B$12:$AU$603,23,FALSE)*$H16),0)</f>
        <v>3621.2135080982716</v>
      </c>
      <c r="AI16" s="200">
        <f ca="1">IF($L16&lt;&gt;0,VLOOKUP($N16,'Allocation Factors'!$B$12:$AU$603,24,FALSE)*$L16,0)+IF($H16&lt;&gt;0,(VLOOKUP($J16,'Allocation Factors'!$B$12:$AU$603,24,FALSE)*$H16),0)</f>
        <v>811.10889932591101</v>
      </c>
      <c r="AJ16" s="200">
        <f ca="1">IF($L16&lt;&gt;0,VLOOKUP($N16,'Allocation Factors'!$B$12:$AU$603,25,FALSE)*$L16,0)+IF($H16&lt;&gt;0,(VLOOKUP($J16,'Allocation Factors'!$B$12:$AU$603,25,FALSE)*$H16),0)</f>
        <v>69.944996934692512</v>
      </c>
      <c r="AK16" s="200">
        <f ca="1">IF($L16&lt;&gt;0,VLOOKUP($N16,'Allocation Factors'!$B$12:$AU$603,26,FALSE)*$L16,0)+IF($H16&lt;&gt;0,(VLOOKUP($J16,'Allocation Factors'!$B$12:$AU$603,26,FALSE)*$H16),0)</f>
        <v>0</v>
      </c>
      <c r="AL16" s="200">
        <f ca="1">IF($L16&lt;&gt;0,VLOOKUP($N16,'Allocation Factors'!$B$12:$AU$603,27,FALSE)*$L16,0)+IF($H16&lt;&gt;0,(VLOOKUP($J16,'Allocation Factors'!$B$12:$AU$603,27,FALSE)*$H16),0)</f>
        <v>0.35789808165145259</v>
      </c>
      <c r="AM16" s="200">
        <f ca="1">IF($L16&lt;&gt;0,VLOOKUP($N16,'Allocation Factors'!$B$12:$AU$603,28,FALSE)*$L16,0)+IF($H16&lt;&gt;0,(VLOOKUP($J16,'Allocation Factors'!$B$12:$AU$603,28,FALSE)*$H16),0)</f>
        <v>2.1918765127907105</v>
      </c>
      <c r="AN16" s="200">
        <f ca="1">IF($L16&lt;&gt;0,VLOOKUP($N16,'Allocation Factors'!$B$12:$AU$603,29,FALSE)*$L16,0)+IF($H16&lt;&gt;0,(VLOOKUP($J16,'Allocation Factors'!$B$12:$AU$603,29,FALSE)*$H16),0)</f>
        <v>39.407442830386408</v>
      </c>
      <c r="AO16" s="200">
        <f ca="1">IF($L16&lt;&gt;0,VLOOKUP($N16,'Allocation Factors'!$B$12:$AU$603,30,FALSE)*$L16,0)+IF($H16&lt;&gt;0,(VLOOKUP($J16,'Allocation Factors'!$B$12:$AU$603,30,FALSE)*$H16),0)</f>
        <v>2.5616199215787536</v>
      </c>
      <c r="AP16" s="200">
        <f ca="1">IF($L16&lt;&gt;0,VLOOKUP($N16,'Allocation Factors'!$B$12:$AU$603,31,FALSE)*$L16,0)+IF($H16&lt;&gt;0,(VLOOKUP($J16,'Allocation Factors'!$B$12:$AU$603,31,FALSE)*$H16),0)</f>
        <v>18.611434672654038</v>
      </c>
      <c r="AQ16" s="200">
        <f ca="1">IF($L16&lt;&gt;0,VLOOKUP($N16,'Allocation Factors'!$B$12:$AU$603,32,FALSE)*$L16,0)+IF($H16&lt;&gt;0,(VLOOKUP($J16,'Allocation Factors'!$B$12:$AU$603,32,FALSE)*$H16),0)</f>
        <v>0</v>
      </c>
      <c r="AR16" s="200">
        <f ca="1">IF($L16&lt;&gt;0,VLOOKUP($N16,'Allocation Factors'!$B$12:$AU$603,33,FALSE)*$L16,0)+IF($H16&lt;&gt;0,(VLOOKUP($J16,'Allocation Factors'!$B$12:$AU$603,33,FALSE)*$H16),0)</f>
        <v>0</v>
      </c>
      <c r="AS16" s="200">
        <f ca="1">IF($L16&lt;&gt;0,VLOOKUP($N16,'Allocation Factors'!$B$12:$AU$603,34,FALSE)*$L16,0)+IF($H16&lt;&gt;0,(VLOOKUP($J16,'Allocation Factors'!$B$12:$AU$603,34,FALSE)*$H16),0)</f>
        <v>0</v>
      </c>
      <c r="AT16" s="200">
        <f ca="1">IF($L16&lt;&gt;0,VLOOKUP($N16,'Allocation Factors'!$B$12:$AU$603,35,FALSE)*$L16,0)+IF($H16&lt;&gt;0,(VLOOKUP($J16,'Allocation Factors'!$B$12:$AU$603,35,FALSE)*$H16),0)</f>
        <v>0</v>
      </c>
      <c r="AU16" s="200">
        <f ca="1">IF($L16&lt;&gt;0,VLOOKUP($N16,'Allocation Factors'!$B$12:$AU$603,36,FALSE)*$L16,0)+IF($H16&lt;&gt;0,(VLOOKUP($J16,'Allocation Factors'!$B$12:$AU$603,36,FALSE)*$H16),0)</f>
        <v>0</v>
      </c>
      <c r="AV16" s="200">
        <f ca="1">IF($L16&lt;&gt;0,VLOOKUP($N16,'Allocation Factors'!$B$12:$AU$603,37,FALSE)*$L16,0)+IF($H16&lt;&gt;0,(VLOOKUP($J16,'Allocation Factors'!$B$12:$AU$603,37,FALSE)*$H16),0)</f>
        <v>0</v>
      </c>
      <c r="AW16" s="200">
        <f ca="1">IF($L16&lt;&gt;0,VLOOKUP($N16,'Allocation Factors'!$B$12:$AU$603,38,FALSE)*$L16,0)+IF($H16&lt;&gt;0,(VLOOKUP($J16,'Allocation Factors'!$B$12:$AU$603,38,FALSE)*$H16),0)</f>
        <v>0</v>
      </c>
      <c r="AX16" s="200">
        <f ca="1">IF($L16&lt;&gt;0,VLOOKUP($N16,'Allocation Factors'!$B$12:$AU$603,39,FALSE)*$L16,0)+IF($H16&lt;&gt;0,(VLOOKUP($J16,'Allocation Factors'!$B$12:$AU$603,39,FALSE)*$H16),0)</f>
        <v>0</v>
      </c>
      <c r="AY16" s="200">
        <f ca="1">IF($L16&lt;&gt;0,VLOOKUP($N16,'Allocation Factors'!$B$12:$AU$603,40,FALSE)*$L16,0)+IF($H16&lt;&gt;0,(VLOOKUP($J16,'Allocation Factors'!$B$12:$AU$603,40,FALSE)*$H16),0)</f>
        <v>0</v>
      </c>
      <c r="AZ16" s="200">
        <f ca="1">IF($L16&lt;&gt;0,VLOOKUP($N16,'Allocation Factors'!$B$12:$AU$603,41,FALSE)*$L16,0)+IF($H16&lt;&gt;0,(VLOOKUP($J16,'Allocation Factors'!$B$12:$AU$603,41,FALSE)*$H16),0)</f>
        <v>0</v>
      </c>
      <c r="BA16" s="200">
        <f ca="1">IF($L16&lt;&gt;0,VLOOKUP($N16,'Allocation Factors'!$B$12:$AU$603,42,FALSE)*$L16,0)+IF($H16&lt;&gt;0,(VLOOKUP($J16,'Allocation Factors'!$B$12:$AU$603,42,FALSE)*$H16),0)</f>
        <v>0</v>
      </c>
      <c r="BB16" s="200">
        <f ca="1">IF($L16&lt;&gt;0,VLOOKUP($N16,'Allocation Factors'!$B$12:$AU$603,43,FALSE)*$L16,0)+IF($H16&lt;&gt;0,(VLOOKUP($J16,'Allocation Factors'!$B$12:$AU$603,43,FALSE)*$H16),0)</f>
        <v>0</v>
      </c>
      <c r="BC16" s="200">
        <f ca="1">IF($L16&lt;&gt;0,VLOOKUP($N16,'Allocation Factors'!$B$12:$AU$603,44,FALSE)*$L16,0)+IF($H16&lt;&gt;0,(VLOOKUP($J16,'Allocation Factors'!$B$12:$AU$603,44,FALSE)*$H16),0)</f>
        <v>0</v>
      </c>
      <c r="BD16" s="200">
        <f ca="1">IF($L16&lt;&gt;0,VLOOKUP($N16,'Allocation Factors'!$B$12:$AU$603,45,FALSE)*$L16,0)+IF($H16&lt;&gt;0,(VLOOKUP($J16,'Allocation Factors'!$B$12:$AU$603,45,FALSE)*$H16),0)</f>
        <v>0</v>
      </c>
      <c r="BE16" s="200">
        <f ca="1">IF($L16&lt;&gt;0,VLOOKUP($N16,'Allocation Factors'!$B$12:$AU$603,46,FALSE)*$L16,0)+IF($H16&lt;&gt;0,(VLOOKUP($J16,'Allocation Factors'!$B$12:$AU$603,46,FALSE)*$H16),0)</f>
        <v>0</v>
      </c>
    </row>
    <row r="17" spans="1:57" x14ac:dyDescent="0.25">
      <c r="A17" s="2">
        <f t="shared" si="1"/>
        <v>7</v>
      </c>
      <c r="B17" s="73" t="s">
        <v>461</v>
      </c>
      <c r="D17" s="204">
        <f ca="1">SUM(D11:D16)</f>
        <v>3133672.3927132711</v>
      </c>
      <c r="E17" s="200"/>
      <c r="F17" s="204">
        <f ca="1">SUM(F11:F16)</f>
        <v>3112971.5498644677</v>
      </c>
      <c r="H17" s="204">
        <f ca="1">SUM(H11:H16)</f>
        <v>-7368.5151634722424</v>
      </c>
      <c r="L17" s="79">
        <f ca="1">SUM(L11:L16)</f>
        <v>3120340.0650279401</v>
      </c>
      <c r="P17" s="79">
        <f t="shared" ref="P17:BE17" ca="1" si="2">SUM(P11:P16)</f>
        <v>1130253.5788480055</v>
      </c>
      <c r="Q17" s="79">
        <f t="shared" ca="1" si="2"/>
        <v>717777.8305372335</v>
      </c>
      <c r="R17" s="79">
        <f t="shared" ca="1" si="2"/>
        <v>0</v>
      </c>
      <c r="S17" s="79">
        <f t="shared" ca="1" si="2"/>
        <v>3462.0943460328704</v>
      </c>
      <c r="T17" s="79">
        <f t="shared" ca="1" si="2"/>
        <v>34812.73261107385</v>
      </c>
      <c r="U17" s="79">
        <f t="shared" ca="1" si="2"/>
        <v>3873.743318704046</v>
      </c>
      <c r="V17" s="79">
        <f t="shared" ca="1" si="2"/>
        <v>0</v>
      </c>
      <c r="W17" s="79">
        <f t="shared" ca="1" si="2"/>
        <v>1383.6202641870316</v>
      </c>
      <c r="X17" s="79">
        <f t="shared" ca="1" si="2"/>
        <v>259.15796662942233</v>
      </c>
      <c r="Y17" s="79">
        <f t="shared" ca="1" si="2"/>
        <v>3987.3996280155529</v>
      </c>
      <c r="Z17" s="79">
        <f t="shared" ca="1" si="2"/>
        <v>32080.606953542923</v>
      </c>
      <c r="AA17" s="79">
        <f t="shared" ca="1" si="2"/>
        <v>0</v>
      </c>
      <c r="AB17" s="79">
        <f t="shared" ca="1" si="2"/>
        <v>2027.2936234619112</v>
      </c>
      <c r="AC17" s="79">
        <f t="shared" ca="1" si="2"/>
        <v>214056.95800221752</v>
      </c>
      <c r="AD17" s="79">
        <f t="shared" ca="1" si="2"/>
        <v>40910.340999638422</v>
      </c>
      <c r="AE17" s="79">
        <f t="shared" ca="1" si="2"/>
        <v>5435.6706231714988</v>
      </c>
      <c r="AF17" s="79">
        <f t="shared" ca="1" si="2"/>
        <v>1240.6147950390887</v>
      </c>
      <c r="AG17" s="79">
        <f t="shared" ca="1" si="2"/>
        <v>0</v>
      </c>
      <c r="AH17" s="79">
        <f t="shared" ca="1" si="2"/>
        <v>704129.58485161548</v>
      </c>
      <c r="AI17" s="79">
        <f t="shared" ca="1" si="2"/>
        <v>167454.28325929653</v>
      </c>
      <c r="AJ17" s="79">
        <f t="shared" ca="1" si="2"/>
        <v>21444.295800457014</v>
      </c>
      <c r="AK17" s="79">
        <f t="shared" ca="1" si="2"/>
        <v>2.1123363474661376</v>
      </c>
      <c r="AL17" s="79">
        <f t="shared" ca="1" si="2"/>
        <v>139.15024544980537</v>
      </c>
      <c r="AM17" s="79">
        <f t="shared" ca="1" si="2"/>
        <v>877.07275704242829</v>
      </c>
      <c r="AN17" s="79">
        <f t="shared" ca="1" si="2"/>
        <v>19604.714043431897</v>
      </c>
      <c r="AO17" s="79">
        <f t="shared" ca="1" si="2"/>
        <v>1128.1473574268402</v>
      </c>
      <c r="AP17" s="79">
        <f t="shared" ca="1" si="2"/>
        <v>4476.0242427448111</v>
      </c>
      <c r="AQ17" s="79">
        <f t="shared" ca="1" si="2"/>
        <v>0</v>
      </c>
      <c r="AR17" s="79">
        <f t="shared" ca="1" si="2"/>
        <v>209.82583053449014</v>
      </c>
      <c r="AS17" s="79">
        <f t="shared" ca="1" si="2"/>
        <v>5.1020103651959685</v>
      </c>
      <c r="AT17" s="79">
        <f t="shared" ca="1" si="2"/>
        <v>1649.7714979897303</v>
      </c>
      <c r="AU17" s="79">
        <f t="shared" ca="1" si="2"/>
        <v>5.6765272329240855</v>
      </c>
      <c r="AV17" s="79">
        <f t="shared" ca="1" si="2"/>
        <v>284.14658758032454</v>
      </c>
      <c r="AW17" s="79">
        <f t="shared" ca="1" si="2"/>
        <v>0</v>
      </c>
      <c r="AX17" s="79">
        <f t="shared" ca="1" si="2"/>
        <v>0</v>
      </c>
      <c r="AY17" s="79">
        <f t="shared" ca="1" si="2"/>
        <v>0</v>
      </c>
      <c r="AZ17" s="79">
        <f t="shared" ca="1" si="2"/>
        <v>0</v>
      </c>
      <c r="BA17" s="79">
        <f t="shared" ca="1" si="2"/>
        <v>0</v>
      </c>
      <c r="BB17" s="79">
        <f t="shared" ca="1" si="2"/>
        <v>0</v>
      </c>
      <c r="BC17" s="79">
        <f t="shared" ca="1" si="2"/>
        <v>0</v>
      </c>
      <c r="BD17" s="79">
        <f t="shared" ca="1" si="2"/>
        <v>0</v>
      </c>
      <c r="BE17" s="79">
        <f t="shared" ca="1" si="2"/>
        <v>0</v>
      </c>
    </row>
    <row r="18" spans="1:57" x14ac:dyDescent="0.25">
      <c r="D18" s="200"/>
      <c r="E18" s="200"/>
      <c r="F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</row>
    <row r="19" spans="1:57" x14ac:dyDescent="0.25">
      <c r="B19" s="197" t="s">
        <v>120</v>
      </c>
      <c r="D19" s="200"/>
      <c r="E19" s="200"/>
      <c r="F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</row>
    <row r="20" spans="1:57" x14ac:dyDescent="0.25">
      <c r="A20" s="2">
        <f>A17+1</f>
        <v>8</v>
      </c>
      <c r="B20" s="73" t="s">
        <v>112</v>
      </c>
      <c r="D20" s="200">
        <f ca="1">'Storage Class'!P164</f>
        <v>113409.54535994586</v>
      </c>
      <c r="E20" s="200"/>
      <c r="F20" s="200">
        <f ca="1">'Storage Class'!P180</f>
        <v>113409.54535994586</v>
      </c>
      <c r="L20" s="200">
        <f ca="1">F20-H20</f>
        <v>113409.54535994586</v>
      </c>
      <c r="N20" s="91" t="s">
        <v>180</v>
      </c>
      <c r="P20" s="200">
        <f ca="1">IF($L20&lt;&gt;0,VLOOKUP($N20,'Allocation Factors'!$B$12:$AU$603,5,FALSE)*$L20,0)+IF($H20&lt;&gt;0,(VLOOKUP($J20,'Allocation Factors'!$B$12:$AU$603,5,FALSE)*$H20),0)</f>
        <v>33935.214210621562</v>
      </c>
      <c r="Q20" s="200">
        <f ca="1">IF($L20&lt;&gt;0,VLOOKUP($N20,'Allocation Factors'!$B$12:$AU$603,6,FALSE)*$L20,0)+IF($H20&lt;&gt;0,(VLOOKUP($J20,'Allocation Factors'!$B$12:$AU$603,6,FALSE)*$H20),0)</f>
        <v>29493.783203645675</v>
      </c>
      <c r="R20" s="200">
        <f ca="1">IF($L20&lt;&gt;0,VLOOKUP($N20,'Allocation Factors'!$B$12:$AU$603,7,FALSE)*$L20,0)+IF($H20&lt;&gt;0,(VLOOKUP($J20,'Allocation Factors'!$B$12:$AU$603,7,FALSE)*$H20),0)</f>
        <v>0</v>
      </c>
      <c r="S20" s="200">
        <f ca="1">IF($L20&lt;&gt;0,VLOOKUP($N20,'Allocation Factors'!$B$12:$AU$603,8,FALSE)*$L20,0)+IF($H20&lt;&gt;0,(VLOOKUP($J20,'Allocation Factors'!$B$12:$AU$603,8,FALSE)*$H20),0)</f>
        <v>79.079589576752014</v>
      </c>
      <c r="T20" s="200">
        <f ca="1">IF($L20&lt;&gt;0,VLOOKUP($N20,'Allocation Factors'!$B$12:$AU$603,9,FALSE)*$L20,0)+IF($H20&lt;&gt;0,(VLOOKUP($J20,'Allocation Factors'!$B$12:$AU$603,9,FALSE)*$H20),0)</f>
        <v>2155.004917063347</v>
      </c>
      <c r="U20" s="200">
        <f ca="1">IF($L20&lt;&gt;0,VLOOKUP($N20,'Allocation Factors'!$B$12:$AU$603,10,FALSE)*$L20,0)+IF($H20&lt;&gt;0,(VLOOKUP($J20,'Allocation Factors'!$B$12:$AU$603,10,FALSE)*$H20),0)</f>
        <v>79.479025911688012</v>
      </c>
      <c r="V20" s="200">
        <f ca="1">IF($L20&lt;&gt;0,VLOOKUP($N20,'Allocation Factors'!$B$12:$AU$603,11,FALSE)*$L20,0)+IF($H20&lt;&gt;0,(VLOOKUP($J20,'Allocation Factors'!$B$12:$AU$603,11,FALSE)*$H20),0)</f>
        <v>0</v>
      </c>
      <c r="W20" s="200">
        <f ca="1">IF($L20&lt;&gt;0,VLOOKUP($N20,'Allocation Factors'!$B$12:$AU$603,12,FALSE)*$L20,0)+IF($H20&lt;&gt;0,(VLOOKUP($J20,'Allocation Factors'!$B$12:$AU$603,12,FALSE)*$H20),0)</f>
        <v>0</v>
      </c>
      <c r="X20" s="200">
        <f ca="1">IF($L20&lt;&gt;0,VLOOKUP($N20,'Allocation Factors'!$B$12:$AU$603,13,FALSE)*$L20,0)+IF($H20&lt;&gt;0,(VLOOKUP($J20,'Allocation Factors'!$B$12:$AU$603,13,FALSE)*$H20),0)</f>
        <v>0</v>
      </c>
      <c r="Y20" s="200">
        <f ca="1">IF($L20&lt;&gt;0,VLOOKUP($N20,'Allocation Factors'!$B$12:$AU$603,14,FALSE)*$L20,0)+IF($H20&lt;&gt;0,(VLOOKUP($J20,'Allocation Factors'!$B$12:$AU$603,14,FALSE)*$H20),0)</f>
        <v>0</v>
      </c>
      <c r="Z20" s="200">
        <f ca="1">IF($L20&lt;&gt;0,VLOOKUP($N20,'Allocation Factors'!$B$12:$AU$603,15,FALSE)*$L20,0)+IF($H20&lt;&gt;0,(VLOOKUP($J20,'Allocation Factors'!$B$12:$AU$603,15,FALSE)*$H20),0)</f>
        <v>639.31200064438235</v>
      </c>
      <c r="AA20" s="200">
        <f ca="1">IF($L20&lt;&gt;0,VLOOKUP($N20,'Allocation Factors'!$B$12:$AU$603,16,FALSE)*$L20,0)+IF($H20&lt;&gt;0,(VLOOKUP($J20,'Allocation Factors'!$B$12:$AU$603,16,FALSE)*$H20),0)</f>
        <v>0</v>
      </c>
      <c r="AB20" s="200">
        <f ca="1">IF($L20&lt;&gt;0,VLOOKUP($N20,'Allocation Factors'!$B$12:$AU$603,17,FALSE)*$L20,0)+IF($H20&lt;&gt;0,(VLOOKUP($J20,'Allocation Factors'!$B$12:$AU$603,17,FALSE)*$H20),0)</f>
        <v>262.06116520397177</v>
      </c>
      <c r="AC20" s="200">
        <f ca="1">IF($L20&lt;&gt;0,VLOOKUP($N20,'Allocation Factors'!$B$12:$AU$603,18,FALSE)*$L20,0)+IF($H20&lt;&gt;0,(VLOOKUP($J20,'Allocation Factors'!$B$12:$AU$603,18,FALSE)*$H20),0)</f>
        <v>6084.6512077837979</v>
      </c>
      <c r="AD20" s="200">
        <f ca="1">IF($L20&lt;&gt;0,VLOOKUP($N20,'Allocation Factors'!$B$12:$AU$603,19,FALSE)*$L20,0)+IF($H20&lt;&gt;0,(VLOOKUP($J20,'Allocation Factors'!$B$12:$AU$603,19,FALSE)*$H20),0)</f>
        <v>1720.0785735573888</v>
      </c>
      <c r="AE20" s="200">
        <f ca="1">IF($L20&lt;&gt;0,VLOOKUP($N20,'Allocation Factors'!$B$12:$AU$603,20,FALSE)*$L20,0)+IF($H20&lt;&gt;0,(VLOOKUP($J20,'Allocation Factors'!$B$12:$AU$603,20,FALSE)*$H20),0)</f>
        <v>243.25181423150579</v>
      </c>
      <c r="AF20" s="200">
        <f ca="1">IF($L20&lt;&gt;0,VLOOKUP($N20,'Allocation Factors'!$B$12:$AU$603,21,FALSE)*$L20,0)+IF($H20&lt;&gt;0,(VLOOKUP($J20,'Allocation Factors'!$B$12:$AU$603,21,FALSE)*$H20),0)</f>
        <v>0</v>
      </c>
      <c r="AG20" s="200">
        <f ca="1">IF($L20&lt;&gt;0,VLOOKUP($N20,'Allocation Factors'!$B$12:$AU$603,22,FALSE)*$L20,0)+IF($H20&lt;&gt;0,(VLOOKUP($J20,'Allocation Factors'!$B$12:$AU$603,22,FALSE)*$H20),0)</f>
        <v>0</v>
      </c>
      <c r="AH20" s="200">
        <f ca="1">IF($L20&lt;&gt;0,VLOOKUP($N20,'Allocation Factors'!$B$12:$AU$603,23,FALSE)*$L20,0)+IF($H20&lt;&gt;0,(VLOOKUP($J20,'Allocation Factors'!$B$12:$AU$603,23,FALSE)*$H20),0)</f>
        <v>19254.029287443394</v>
      </c>
      <c r="AI20" s="200">
        <f ca="1">IF($L20&lt;&gt;0,VLOOKUP($N20,'Allocation Factors'!$B$12:$AU$603,24,FALSE)*$L20,0)+IF($H20&lt;&gt;0,(VLOOKUP($J20,'Allocation Factors'!$B$12:$AU$603,24,FALSE)*$H20),0)</f>
        <v>6865.4315667471901</v>
      </c>
      <c r="AJ20" s="200">
        <f ca="1">IF($L20&lt;&gt;0,VLOOKUP($N20,'Allocation Factors'!$B$12:$AU$603,25,FALSE)*$L20,0)+IF($H20&lt;&gt;0,(VLOOKUP($J20,'Allocation Factors'!$B$12:$AU$603,25,FALSE)*$H20),0)</f>
        <v>2149.6088277532658</v>
      </c>
      <c r="AK20" s="200">
        <f ca="1">IF($L20&lt;&gt;0,VLOOKUP($N20,'Allocation Factors'!$B$12:$AU$603,26,FALSE)*$L20,0)+IF($H20&lt;&gt;0,(VLOOKUP($J20,'Allocation Factors'!$B$12:$AU$603,26,FALSE)*$H20),0)</f>
        <v>0</v>
      </c>
      <c r="AL20" s="200">
        <f ca="1">IF($L20&lt;&gt;0,VLOOKUP($N20,'Allocation Factors'!$B$12:$AU$603,27,FALSE)*$L20,0)+IF($H20&lt;&gt;0,(VLOOKUP($J20,'Allocation Factors'!$B$12:$AU$603,27,FALSE)*$H20),0)</f>
        <v>20.804117757829324</v>
      </c>
      <c r="AM20" s="200">
        <f ca="1">IF($L20&lt;&gt;0,VLOOKUP($N20,'Allocation Factors'!$B$12:$AU$603,28,FALSE)*$L20,0)+IF($H20&lt;&gt;0,(VLOOKUP($J20,'Allocation Factors'!$B$12:$AU$603,28,FALSE)*$H20),0)</f>
        <v>0</v>
      </c>
      <c r="AN20" s="200">
        <f ca="1">IF($L20&lt;&gt;0,VLOOKUP($N20,'Allocation Factors'!$B$12:$AU$603,29,FALSE)*$L20,0)+IF($H20&lt;&gt;0,(VLOOKUP($J20,'Allocation Factors'!$B$12:$AU$603,29,FALSE)*$H20),0)</f>
        <v>3569.7448987848525</v>
      </c>
      <c r="AO20" s="200">
        <f ca="1">IF($L20&lt;&gt;0,VLOOKUP($N20,'Allocation Factors'!$B$12:$AU$603,30,FALSE)*$L20,0)+IF($H20&lt;&gt;0,(VLOOKUP($J20,'Allocation Factors'!$B$12:$AU$603,30,FALSE)*$H20),0)</f>
        <v>0</v>
      </c>
      <c r="AP20" s="200">
        <f ca="1">IF($L20&lt;&gt;0,VLOOKUP($N20,'Allocation Factors'!$B$12:$AU$603,31,FALSE)*$L20,0)+IF($H20&lt;&gt;0,(VLOOKUP($J20,'Allocation Factors'!$B$12:$AU$603,31,FALSE)*$H20),0)</f>
        <v>215.94843775465932</v>
      </c>
      <c r="AQ20" s="200">
        <f ca="1">IF($L20&lt;&gt;0,VLOOKUP($N20,'Allocation Factors'!$B$12:$AU$603,32,FALSE)*$L20,0)+IF($H20&lt;&gt;0,(VLOOKUP($J20,'Allocation Factors'!$B$12:$AU$603,32,FALSE)*$H20),0)</f>
        <v>0</v>
      </c>
      <c r="AR20" s="200">
        <f ca="1">IF($L20&lt;&gt;0,VLOOKUP($N20,'Allocation Factors'!$B$12:$AU$603,33,FALSE)*$L20,0)+IF($H20&lt;&gt;0,(VLOOKUP($J20,'Allocation Factors'!$B$12:$AU$603,33,FALSE)*$H20),0)</f>
        <v>751.41871320847622</v>
      </c>
      <c r="AS20" s="200">
        <f ca="1">IF($L20&lt;&gt;0,VLOOKUP($N20,'Allocation Factors'!$B$12:$AU$603,34,FALSE)*$L20,0)+IF($H20&lt;&gt;0,(VLOOKUP($J20,'Allocation Factors'!$B$12:$AU$603,34,FALSE)*$H20),0)</f>
        <v>0</v>
      </c>
      <c r="AT20" s="200">
        <f ca="1">IF($L20&lt;&gt;0,VLOOKUP($N20,'Allocation Factors'!$B$12:$AU$603,35,FALSE)*$L20,0)+IF($H20&lt;&gt;0,(VLOOKUP($J20,'Allocation Factors'!$B$12:$AU$603,35,FALSE)*$H20),0)</f>
        <v>4687.4781456264227</v>
      </c>
      <c r="AU20" s="200">
        <f ca="1">IF($L20&lt;&gt;0,VLOOKUP($N20,'Allocation Factors'!$B$12:$AU$603,36,FALSE)*$L20,0)+IF($H20&lt;&gt;0,(VLOOKUP($J20,'Allocation Factors'!$B$12:$AU$603,36,FALSE)*$H20),0)</f>
        <v>0</v>
      </c>
      <c r="AV20" s="200">
        <f ca="1">IF($L20&lt;&gt;0,VLOOKUP($N20,'Allocation Factors'!$B$12:$AU$603,37,FALSE)*$L20,0)+IF($H20&lt;&gt;0,(VLOOKUP($J20,'Allocation Factors'!$B$12:$AU$603,37,FALSE)*$H20),0)</f>
        <v>1203.165656629734</v>
      </c>
      <c r="AW20" s="200">
        <f ca="1">IF($L20&lt;&gt;0,VLOOKUP($N20,'Allocation Factors'!$B$12:$AU$603,38,FALSE)*$L20,0)+IF($H20&lt;&gt;0,(VLOOKUP($J20,'Allocation Factors'!$B$12:$AU$603,38,FALSE)*$H20),0)</f>
        <v>0</v>
      </c>
      <c r="AX20" s="200">
        <f ca="1">IF($L20&lt;&gt;0,VLOOKUP($N20,'Allocation Factors'!$B$12:$AU$603,39,FALSE)*$L20,0)+IF($H20&lt;&gt;0,(VLOOKUP($J20,'Allocation Factors'!$B$12:$AU$603,39,FALSE)*$H20),0)</f>
        <v>0</v>
      </c>
      <c r="AY20" s="200">
        <f ca="1">IF($L20&lt;&gt;0,VLOOKUP($N20,'Allocation Factors'!$B$12:$AU$603,40,FALSE)*$L20,0)+IF($H20&lt;&gt;0,(VLOOKUP($J20,'Allocation Factors'!$B$12:$AU$603,40,FALSE)*$H20),0)</f>
        <v>0</v>
      </c>
      <c r="AZ20" s="200">
        <f ca="1">IF($L20&lt;&gt;0,VLOOKUP($N20,'Allocation Factors'!$B$12:$AU$603,41,FALSE)*$L20,0)+IF($H20&lt;&gt;0,(VLOOKUP($J20,'Allocation Factors'!$B$12:$AU$603,41,FALSE)*$H20),0)</f>
        <v>0</v>
      </c>
      <c r="BA20" s="200">
        <f ca="1">IF($L20&lt;&gt;0,VLOOKUP($N20,'Allocation Factors'!$B$12:$AU$603,42,FALSE)*$L20,0)+IF($H20&lt;&gt;0,(VLOOKUP($J20,'Allocation Factors'!$B$12:$AU$603,42,FALSE)*$H20),0)</f>
        <v>0</v>
      </c>
      <c r="BB20" s="200">
        <f ca="1">IF($L20&lt;&gt;0,VLOOKUP($N20,'Allocation Factors'!$B$12:$AU$603,43,FALSE)*$L20,0)+IF($H20&lt;&gt;0,(VLOOKUP($J20,'Allocation Factors'!$B$12:$AU$603,43,FALSE)*$H20),0)</f>
        <v>0</v>
      </c>
      <c r="BC20" s="200">
        <f ca="1">IF($L20&lt;&gt;0,VLOOKUP($N20,'Allocation Factors'!$B$12:$AU$603,44,FALSE)*$L20,0)+IF($H20&lt;&gt;0,(VLOOKUP($J20,'Allocation Factors'!$B$12:$AU$603,44,FALSE)*$H20),0)</f>
        <v>0</v>
      </c>
      <c r="BD20" s="200">
        <f ca="1">IF($L20&lt;&gt;0,VLOOKUP($N20,'Allocation Factors'!$B$12:$AU$603,45,FALSE)*$L20,0)+IF($H20&lt;&gt;0,(VLOOKUP($J20,'Allocation Factors'!$B$12:$AU$603,45,FALSE)*$H20),0)</f>
        <v>0</v>
      </c>
      <c r="BE20" s="200">
        <f ca="1">IF($L20&lt;&gt;0,VLOOKUP($N20,'Allocation Factors'!$B$12:$AU$603,46,FALSE)*$L20,0)+IF($H20&lt;&gt;0,(VLOOKUP($J20,'Allocation Factors'!$B$12:$AU$603,46,FALSE)*$H20),0)</f>
        <v>0</v>
      </c>
    </row>
    <row r="21" spans="1:57" x14ac:dyDescent="0.25">
      <c r="A21" s="2">
        <f>A20+1</f>
        <v>9</v>
      </c>
      <c r="B21" s="73" t="s">
        <v>113</v>
      </c>
      <c r="D21" s="200">
        <f ca="1">'Storage Class'!R164</f>
        <v>82370.647938411828</v>
      </c>
      <c r="E21" s="200"/>
      <c r="F21" s="200">
        <f ca="1">'Storage Class'!R180</f>
        <v>82370.647938411828</v>
      </c>
      <c r="H21" s="200">
        <f ca="1">+'Storage Class'!AC93</f>
        <v>39116.721621913879</v>
      </c>
      <c r="J21" s="91" t="s">
        <v>378</v>
      </c>
      <c r="L21" s="200">
        <f ca="1">F21-H21</f>
        <v>43253.926316497949</v>
      </c>
      <c r="N21" s="91" t="s">
        <v>181</v>
      </c>
      <c r="P21" s="200">
        <f ca="1">IF($L21&lt;&gt;0,VLOOKUP($N21,'Allocation Factors'!$B$12:$AU$603,5,FALSE)*$L21,0)+IF($H21&lt;&gt;0,(VLOOKUP($J21,'Allocation Factors'!$B$12:$AU$603,5,FALSE)*$H21),0)</f>
        <v>25565.623033691882</v>
      </c>
      <c r="Q21" s="200">
        <f ca="1">IF($L21&lt;&gt;0,VLOOKUP($N21,'Allocation Factors'!$B$12:$AU$603,6,FALSE)*$L21,0)+IF($H21&lt;&gt;0,(VLOOKUP($J21,'Allocation Factors'!$B$12:$AU$603,6,FALSE)*$H21),0)</f>
        <v>20685.299396613715</v>
      </c>
      <c r="R21" s="200">
        <f ca="1">IF($L21&lt;&gt;0,VLOOKUP($N21,'Allocation Factors'!$B$12:$AU$603,7,FALSE)*$L21,0)+IF($H21&lt;&gt;0,(VLOOKUP($J21,'Allocation Factors'!$B$12:$AU$603,7,FALSE)*$H21),0)</f>
        <v>0</v>
      </c>
      <c r="S21" s="200">
        <f ca="1">IF($L21&lt;&gt;0,VLOOKUP($N21,'Allocation Factors'!$B$12:$AU$603,8,FALSE)*$L21,0)+IF($H21&lt;&gt;0,(VLOOKUP($J21,'Allocation Factors'!$B$12:$AU$603,8,FALSE)*$H21),0)</f>
        <v>81.825228424111117</v>
      </c>
      <c r="T21" s="200">
        <f ca="1">IF($L21&lt;&gt;0,VLOOKUP($N21,'Allocation Factors'!$B$12:$AU$603,9,FALSE)*$L21,0)+IF($H21&lt;&gt;0,(VLOOKUP($J21,'Allocation Factors'!$B$12:$AU$603,9,FALSE)*$H21),0)</f>
        <v>1746.2941490675662</v>
      </c>
      <c r="U21" s="200">
        <f ca="1">IF($L21&lt;&gt;0,VLOOKUP($N21,'Allocation Factors'!$B$12:$AU$603,10,FALSE)*$L21,0)+IF($H21&lt;&gt;0,(VLOOKUP($J21,'Allocation Factors'!$B$12:$AU$603,10,FALSE)*$H21),0)</f>
        <v>224.91131385511758</v>
      </c>
      <c r="V21" s="200">
        <f ca="1">IF($L21&lt;&gt;0,VLOOKUP($N21,'Allocation Factors'!$B$12:$AU$603,11,FALSE)*$L21,0)+IF($H21&lt;&gt;0,(VLOOKUP($J21,'Allocation Factors'!$B$12:$AU$603,11,FALSE)*$H21),0)</f>
        <v>0</v>
      </c>
      <c r="W21" s="200">
        <f ca="1">IF($L21&lt;&gt;0,VLOOKUP($N21,'Allocation Factors'!$B$12:$AU$603,12,FALSE)*$L21,0)+IF($H21&lt;&gt;0,(VLOOKUP($J21,'Allocation Factors'!$B$12:$AU$603,12,FALSE)*$H21),0)</f>
        <v>0</v>
      </c>
      <c r="X21" s="200">
        <f ca="1">IF($L21&lt;&gt;0,VLOOKUP($N21,'Allocation Factors'!$B$12:$AU$603,13,FALSE)*$L21,0)+IF($H21&lt;&gt;0,(VLOOKUP($J21,'Allocation Factors'!$B$12:$AU$603,13,FALSE)*$H21),0)</f>
        <v>42.692836427854211</v>
      </c>
      <c r="Y21" s="200">
        <f ca="1">IF($L21&lt;&gt;0,VLOOKUP($N21,'Allocation Factors'!$B$12:$AU$603,14,FALSE)*$L21,0)+IF($H21&lt;&gt;0,(VLOOKUP($J21,'Allocation Factors'!$B$12:$AU$603,14,FALSE)*$H21),0)</f>
        <v>192.67356381895905</v>
      </c>
      <c r="Z21" s="200">
        <f ca="1">IF($L21&lt;&gt;0,VLOOKUP($N21,'Allocation Factors'!$B$12:$AU$603,15,FALSE)*$L21,0)+IF($H21&lt;&gt;0,(VLOOKUP($J21,'Allocation Factors'!$B$12:$AU$603,15,FALSE)*$H21),0)</f>
        <v>741.28005155820824</v>
      </c>
      <c r="AA21" s="200">
        <f ca="1">IF($L21&lt;&gt;0,VLOOKUP($N21,'Allocation Factors'!$B$12:$AU$603,16,FALSE)*$L21,0)+IF($H21&lt;&gt;0,(VLOOKUP($J21,'Allocation Factors'!$B$12:$AU$603,16,FALSE)*$H21),0)</f>
        <v>0</v>
      </c>
      <c r="AB21" s="200">
        <f ca="1">IF($L21&lt;&gt;0,VLOOKUP($N21,'Allocation Factors'!$B$12:$AU$603,17,FALSE)*$L21,0)+IF($H21&lt;&gt;0,(VLOOKUP($J21,'Allocation Factors'!$B$12:$AU$603,17,FALSE)*$H21),0)</f>
        <v>195.18560772835608</v>
      </c>
      <c r="AC21" s="200">
        <f ca="1">IF($L21&lt;&gt;0,VLOOKUP($N21,'Allocation Factors'!$B$12:$AU$603,18,FALSE)*$L21,0)+IF($H21&lt;&gt;0,(VLOOKUP($J21,'Allocation Factors'!$B$12:$AU$603,18,FALSE)*$H21),0)</f>
        <v>5082.7772001590229</v>
      </c>
      <c r="AD21" s="200">
        <f ca="1">IF($L21&lt;&gt;0,VLOOKUP($N21,'Allocation Factors'!$B$12:$AU$603,19,FALSE)*$L21,0)+IF($H21&lt;&gt;0,(VLOOKUP($J21,'Allocation Factors'!$B$12:$AU$603,19,FALSE)*$H21),0)</f>
        <v>1262.6516102195678</v>
      </c>
      <c r="AE21" s="200">
        <f ca="1">IF($L21&lt;&gt;0,VLOOKUP($N21,'Allocation Factors'!$B$12:$AU$603,20,FALSE)*$L21,0)+IF($H21&lt;&gt;0,(VLOOKUP($J21,'Allocation Factors'!$B$12:$AU$603,20,FALSE)*$H21),0)</f>
        <v>172.71314752453071</v>
      </c>
      <c r="AF21" s="200">
        <f ca="1">IF($L21&lt;&gt;0,VLOOKUP($N21,'Allocation Factors'!$B$12:$AU$603,21,FALSE)*$L21,0)+IF($H21&lt;&gt;0,(VLOOKUP($J21,'Allocation Factors'!$B$12:$AU$603,21,FALSE)*$H21),0)</f>
        <v>0</v>
      </c>
      <c r="AG21" s="200">
        <f ca="1">IF($L21&lt;&gt;0,VLOOKUP($N21,'Allocation Factors'!$B$12:$AU$603,22,FALSE)*$L21,0)+IF($H21&lt;&gt;0,(VLOOKUP($J21,'Allocation Factors'!$B$12:$AU$603,22,FALSE)*$H21),0)</f>
        <v>0</v>
      </c>
      <c r="AH21" s="200">
        <f ca="1">IF($L21&lt;&gt;0,VLOOKUP($N21,'Allocation Factors'!$B$12:$AU$603,23,FALSE)*$L21,0)+IF($H21&lt;&gt;0,(VLOOKUP($J21,'Allocation Factors'!$B$12:$AU$603,23,FALSE)*$H21),0)</f>
        <v>16086.116496879367</v>
      </c>
      <c r="AI21" s="200">
        <f ca="1">IF($L21&lt;&gt;0,VLOOKUP($N21,'Allocation Factors'!$B$12:$AU$603,24,FALSE)*$L21,0)+IF($H21&lt;&gt;0,(VLOOKUP($J21,'Allocation Factors'!$B$12:$AU$603,24,FALSE)*$H21),0)</f>
        <v>4841.562106427873</v>
      </c>
      <c r="AJ21" s="200">
        <f ca="1">IF($L21&lt;&gt;0,VLOOKUP($N21,'Allocation Factors'!$B$12:$AU$603,25,FALSE)*$L21,0)+IF($H21&lt;&gt;0,(VLOOKUP($J21,'Allocation Factors'!$B$12:$AU$603,25,FALSE)*$H21),0)</f>
        <v>995.26799082747198</v>
      </c>
      <c r="AK21" s="200">
        <f ca="1">IF($L21&lt;&gt;0,VLOOKUP($N21,'Allocation Factors'!$B$12:$AU$603,26,FALSE)*$L21,0)+IF($H21&lt;&gt;0,(VLOOKUP($J21,'Allocation Factors'!$B$12:$AU$603,26,FALSE)*$H21),0)</f>
        <v>2.1438509237298868</v>
      </c>
      <c r="AL21" s="200">
        <f ca="1">IF($L21&lt;&gt;0,VLOOKUP($N21,'Allocation Factors'!$B$12:$AU$603,27,FALSE)*$L21,0)+IF($H21&lt;&gt;0,(VLOOKUP($J21,'Allocation Factors'!$B$12:$AU$603,27,FALSE)*$H21),0)</f>
        <v>3.9486089307908898</v>
      </c>
      <c r="AM21" s="200">
        <f ca="1">IF($L21&lt;&gt;0,VLOOKUP($N21,'Allocation Factors'!$B$12:$AU$603,28,FALSE)*$L21,0)+IF($H21&lt;&gt;0,(VLOOKUP($J21,'Allocation Factors'!$B$12:$AU$603,28,FALSE)*$H21),0)</f>
        <v>0</v>
      </c>
      <c r="AN21" s="200">
        <f ca="1">IF($L21&lt;&gt;0,VLOOKUP($N21,'Allocation Factors'!$B$12:$AU$603,29,FALSE)*$L21,0)+IF($H21&lt;&gt;0,(VLOOKUP($J21,'Allocation Factors'!$B$12:$AU$603,29,FALSE)*$H21),0)</f>
        <v>1367.4651342101481</v>
      </c>
      <c r="AO21" s="200">
        <f ca="1">IF($L21&lt;&gt;0,VLOOKUP($N21,'Allocation Factors'!$B$12:$AU$603,30,FALSE)*$L21,0)+IF($H21&lt;&gt;0,(VLOOKUP($J21,'Allocation Factors'!$B$12:$AU$603,30,FALSE)*$H21),0)</f>
        <v>142.07798384751487</v>
      </c>
      <c r="AP21" s="200">
        <f ca="1">IF($L21&lt;&gt;0,VLOOKUP($N21,'Allocation Factors'!$B$12:$AU$603,31,FALSE)*$L21,0)+IF($H21&lt;&gt;0,(VLOOKUP($J21,'Allocation Factors'!$B$12:$AU$603,31,FALSE)*$H21),0)</f>
        <v>138.52110859035577</v>
      </c>
      <c r="AQ21" s="200">
        <f ca="1">IF($L21&lt;&gt;0,VLOOKUP($N21,'Allocation Factors'!$B$12:$AU$603,32,FALSE)*$L21,0)+IF($H21&lt;&gt;0,(VLOOKUP($J21,'Allocation Factors'!$B$12:$AU$603,32,FALSE)*$H21),0)</f>
        <v>0</v>
      </c>
      <c r="AR21" s="200">
        <f ca="1">IF($L21&lt;&gt;0,VLOOKUP($N21,'Allocation Factors'!$B$12:$AU$603,33,FALSE)*$L21,0)+IF($H21&lt;&gt;0,(VLOOKUP($J21,'Allocation Factors'!$B$12:$AU$603,33,FALSE)*$H21),0)</f>
        <v>294.902874576329</v>
      </c>
      <c r="AS21" s="200">
        <f ca="1">IF($L21&lt;&gt;0,VLOOKUP($N21,'Allocation Factors'!$B$12:$AU$603,34,FALSE)*$L21,0)+IF($H21&lt;&gt;0,(VLOOKUP($J21,'Allocation Factors'!$B$12:$AU$603,34,FALSE)*$H21),0)</f>
        <v>0</v>
      </c>
      <c r="AT21" s="200">
        <f ca="1">IF($L21&lt;&gt;0,VLOOKUP($N21,'Allocation Factors'!$B$12:$AU$603,35,FALSE)*$L21,0)+IF($H21&lt;&gt;0,(VLOOKUP($J21,'Allocation Factors'!$B$12:$AU$603,35,FALSE)*$H21),0)</f>
        <v>1867.8681794278082</v>
      </c>
      <c r="AU21" s="200">
        <f ca="1">IF($L21&lt;&gt;0,VLOOKUP($N21,'Allocation Factors'!$B$12:$AU$603,36,FALSE)*$L21,0)+IF($H21&lt;&gt;0,(VLOOKUP($J21,'Allocation Factors'!$B$12:$AU$603,36,FALSE)*$H21),0)</f>
        <v>0</v>
      </c>
      <c r="AV21" s="200">
        <f ca="1">IF($L21&lt;&gt;0,VLOOKUP($N21,'Allocation Factors'!$B$12:$AU$603,37,FALSE)*$L21,0)+IF($H21&lt;&gt;0,(VLOOKUP($J21,'Allocation Factors'!$B$12:$AU$603,37,FALSE)*$H21),0)</f>
        <v>636.84646468154267</v>
      </c>
      <c r="AW21" s="200">
        <f ca="1">IF($L21&lt;&gt;0,VLOOKUP($N21,'Allocation Factors'!$B$12:$AU$603,38,FALSE)*$L21,0)+IF($H21&lt;&gt;0,(VLOOKUP($J21,'Allocation Factors'!$B$12:$AU$603,38,FALSE)*$H21),0)</f>
        <v>0</v>
      </c>
      <c r="AX21" s="200">
        <f ca="1">IF($L21&lt;&gt;0,VLOOKUP($N21,'Allocation Factors'!$B$12:$AU$603,39,FALSE)*$L21,0)+IF($H21&lt;&gt;0,(VLOOKUP($J21,'Allocation Factors'!$B$12:$AU$603,39,FALSE)*$H21),0)</f>
        <v>0</v>
      </c>
      <c r="AY21" s="200">
        <f ca="1">IF($L21&lt;&gt;0,VLOOKUP($N21,'Allocation Factors'!$B$12:$AU$603,40,FALSE)*$L21,0)+IF($H21&lt;&gt;0,(VLOOKUP($J21,'Allocation Factors'!$B$12:$AU$603,40,FALSE)*$H21),0)</f>
        <v>0</v>
      </c>
      <c r="AZ21" s="200">
        <f ca="1">IF($L21&lt;&gt;0,VLOOKUP($N21,'Allocation Factors'!$B$12:$AU$603,41,FALSE)*$L21,0)+IF($H21&lt;&gt;0,(VLOOKUP($J21,'Allocation Factors'!$B$12:$AU$603,41,FALSE)*$H21),0)</f>
        <v>0</v>
      </c>
      <c r="BA21" s="200">
        <f ca="1">IF($L21&lt;&gt;0,VLOOKUP($N21,'Allocation Factors'!$B$12:$AU$603,42,FALSE)*$L21,0)+IF($H21&lt;&gt;0,(VLOOKUP($J21,'Allocation Factors'!$B$12:$AU$603,42,FALSE)*$H21),0)</f>
        <v>0</v>
      </c>
      <c r="BB21" s="200">
        <f ca="1">IF($L21&lt;&gt;0,VLOOKUP($N21,'Allocation Factors'!$B$12:$AU$603,43,FALSE)*$L21,0)+IF($H21&lt;&gt;0,(VLOOKUP($J21,'Allocation Factors'!$B$12:$AU$603,43,FALSE)*$H21),0)</f>
        <v>0</v>
      </c>
      <c r="BC21" s="200">
        <f ca="1">IF($L21&lt;&gt;0,VLOOKUP($N21,'Allocation Factors'!$B$12:$AU$603,44,FALSE)*$L21,0)+IF($H21&lt;&gt;0,(VLOOKUP($J21,'Allocation Factors'!$B$12:$AU$603,44,FALSE)*$H21),0)</f>
        <v>0</v>
      </c>
      <c r="BD21" s="200">
        <f ca="1">IF($L21&lt;&gt;0,VLOOKUP($N21,'Allocation Factors'!$B$12:$AU$603,45,FALSE)*$L21,0)+IF($H21&lt;&gt;0,(VLOOKUP($J21,'Allocation Factors'!$B$12:$AU$603,45,FALSE)*$H21),0)</f>
        <v>0</v>
      </c>
      <c r="BE21" s="200">
        <f ca="1">IF($L21&lt;&gt;0,VLOOKUP($N21,'Allocation Factors'!$B$12:$AU$603,46,FALSE)*$L21,0)+IF($H21&lt;&gt;0,(VLOOKUP($J21,'Allocation Factors'!$B$12:$AU$603,46,FALSE)*$H21),0)</f>
        <v>0</v>
      </c>
    </row>
    <row r="22" spans="1:57" x14ac:dyDescent="0.25">
      <c r="A22" s="2">
        <f t="shared" ref="A22:A24" si="3">A21+1</f>
        <v>10</v>
      </c>
      <c r="B22" s="73" t="s">
        <v>393</v>
      </c>
      <c r="D22" s="200">
        <f ca="1">'Storage Class'!T164</f>
        <v>7187.0902823989782</v>
      </c>
      <c r="E22" s="200"/>
      <c r="F22" s="200">
        <f ca="1">'Storage Class'!T180</f>
        <v>7187.0902823989782</v>
      </c>
      <c r="L22" s="200">
        <f ca="1">F22-H22</f>
        <v>7187.0902823989782</v>
      </c>
      <c r="N22" s="91" t="s">
        <v>394</v>
      </c>
      <c r="P22" s="200">
        <f ca="1">IF($L22&lt;&gt;0,VLOOKUP($N22,'Allocation Factors'!$B$12:$AU$603,5,FALSE)*$L22,0)+IF($H22&lt;&gt;0,(VLOOKUP($J22,'Allocation Factors'!$B$12:$AU$603,5,FALSE)*$H22),0)</f>
        <v>2045.5370771922462</v>
      </c>
      <c r="Q22" s="200">
        <f ca="1">IF($L22&lt;&gt;0,VLOOKUP($N22,'Allocation Factors'!$B$12:$AU$603,6,FALSE)*$L22,0)+IF($H22&lt;&gt;0,(VLOOKUP($J22,'Allocation Factors'!$B$12:$AU$603,6,FALSE)*$H22),0)</f>
        <v>1807.0584001049335</v>
      </c>
      <c r="R22" s="200">
        <f ca="1">IF($L22&lt;&gt;0,VLOOKUP($N22,'Allocation Factors'!$B$12:$AU$603,7,FALSE)*$L22,0)+IF($H22&lt;&gt;0,(VLOOKUP($J22,'Allocation Factors'!$B$12:$AU$603,7,FALSE)*$H22),0)</f>
        <v>0</v>
      </c>
      <c r="S22" s="200">
        <f ca="1">IF($L22&lt;&gt;0,VLOOKUP($N22,'Allocation Factors'!$B$12:$AU$603,8,FALSE)*$L22,0)+IF($H22&lt;&gt;0,(VLOOKUP($J22,'Allocation Factors'!$B$12:$AU$603,8,FALSE)*$H22),0)</f>
        <v>1.9279566980881546</v>
      </c>
      <c r="T22" s="200">
        <f ca="1">IF($L22&lt;&gt;0,VLOOKUP($N22,'Allocation Factors'!$B$12:$AU$603,9,FALSE)*$L22,0)+IF($H22&lt;&gt;0,(VLOOKUP($J22,'Allocation Factors'!$B$12:$AU$603,9,FALSE)*$H22),0)</f>
        <v>55.449573073136953</v>
      </c>
      <c r="U22" s="200">
        <f ca="1">IF($L22&lt;&gt;0,VLOOKUP($N22,'Allocation Factors'!$B$12:$AU$603,10,FALSE)*$L22,0)+IF($H22&lt;&gt;0,(VLOOKUP($J22,'Allocation Factors'!$B$12:$AU$603,10,FALSE)*$H22),0)</f>
        <v>13.00617631606552</v>
      </c>
      <c r="V22" s="200">
        <f ca="1">IF($L22&lt;&gt;0,VLOOKUP($N22,'Allocation Factors'!$B$12:$AU$603,11,FALSE)*$L22,0)+IF($H22&lt;&gt;0,(VLOOKUP($J22,'Allocation Factors'!$B$12:$AU$603,11,FALSE)*$H22),0)</f>
        <v>15.73806982884358</v>
      </c>
      <c r="W22" s="200">
        <f ca="1">IF($L22&lt;&gt;0,VLOOKUP($N22,'Allocation Factors'!$B$12:$AU$603,12,FALSE)*$L22,0)+IF($H22&lt;&gt;0,(VLOOKUP($J22,'Allocation Factors'!$B$12:$AU$603,12,FALSE)*$H22),0)</f>
        <v>1.0559209442238249</v>
      </c>
      <c r="X22" s="200">
        <f ca="1">IF($L22&lt;&gt;0,VLOOKUP($N22,'Allocation Factors'!$B$12:$AU$603,13,FALSE)*$L22,0)+IF($H22&lt;&gt;0,(VLOOKUP($J22,'Allocation Factors'!$B$12:$AU$603,13,FALSE)*$H22),0)</f>
        <v>0.79527573672556007</v>
      </c>
      <c r="Y22" s="200">
        <f ca="1">IF($L22&lt;&gt;0,VLOOKUP($N22,'Allocation Factors'!$B$12:$AU$603,14,FALSE)*$L22,0)+IF($H22&lt;&gt;0,(VLOOKUP($J22,'Allocation Factors'!$B$12:$AU$603,14,FALSE)*$H22),0)</f>
        <v>8.4029720637552998</v>
      </c>
      <c r="Z22" s="200">
        <f ca="1">IF($L22&lt;&gt;0,VLOOKUP($N22,'Allocation Factors'!$B$12:$AU$603,15,FALSE)*$L22,0)+IF($H22&lt;&gt;0,(VLOOKUP($J22,'Allocation Factors'!$B$12:$AU$603,15,FALSE)*$H22),0)</f>
        <v>15.638304583538943</v>
      </c>
      <c r="AA22" s="200">
        <f ca="1">IF($L22&lt;&gt;0,VLOOKUP($N22,'Allocation Factors'!$B$12:$AU$603,16,FALSE)*$L22,0)+IF($H22&lt;&gt;0,(VLOOKUP($J22,'Allocation Factors'!$B$12:$AU$603,16,FALSE)*$H22),0)</f>
        <v>0</v>
      </c>
      <c r="AB22" s="200">
        <f ca="1">IF($L22&lt;&gt;0,VLOOKUP($N22,'Allocation Factors'!$B$12:$AU$603,17,FALSE)*$L22,0)+IF($H22&lt;&gt;0,(VLOOKUP($J22,'Allocation Factors'!$B$12:$AU$603,17,FALSE)*$H22),0)</f>
        <v>5.4200675596146111</v>
      </c>
      <c r="AC22" s="200">
        <f ca="1">IF($L22&lt;&gt;0,VLOOKUP($N22,'Allocation Factors'!$B$12:$AU$603,18,FALSE)*$L22,0)+IF($H22&lt;&gt;0,(VLOOKUP($J22,'Allocation Factors'!$B$12:$AU$603,18,FALSE)*$H22),0)</f>
        <v>403.56691353774812</v>
      </c>
      <c r="AD22" s="200">
        <f ca="1">IF($L22&lt;&gt;0,VLOOKUP($N22,'Allocation Factors'!$B$12:$AU$603,19,FALSE)*$L22,0)+IF($H22&lt;&gt;0,(VLOOKUP($J22,'Allocation Factors'!$B$12:$AU$603,19,FALSE)*$H22),0)</f>
        <v>117.06626312521448</v>
      </c>
      <c r="AE22" s="200">
        <f ca="1">IF($L22&lt;&gt;0,VLOOKUP($N22,'Allocation Factors'!$B$12:$AU$603,20,FALSE)*$L22,0)+IF($H22&lt;&gt;0,(VLOOKUP($J22,'Allocation Factors'!$B$12:$AU$603,20,FALSE)*$H22),0)</f>
        <v>21.51032420304966</v>
      </c>
      <c r="AF22" s="200">
        <f ca="1">IF($L22&lt;&gt;0,VLOOKUP($N22,'Allocation Factors'!$B$12:$AU$603,21,FALSE)*$L22,0)+IF($H22&lt;&gt;0,(VLOOKUP($J22,'Allocation Factors'!$B$12:$AU$603,21,FALSE)*$H22),0)</f>
        <v>2.4195662547411994</v>
      </c>
      <c r="AG22" s="200">
        <f ca="1">IF($L22&lt;&gt;0,VLOOKUP($N22,'Allocation Factors'!$B$12:$AU$603,22,FALSE)*$L22,0)+IF($H22&lt;&gt;0,(VLOOKUP($J22,'Allocation Factors'!$B$12:$AU$603,22,FALSE)*$H22),0)</f>
        <v>20.534197556870101</v>
      </c>
      <c r="AH22" s="200">
        <f ca="1">IF($L22&lt;&gt;0,VLOOKUP($N22,'Allocation Factors'!$B$12:$AU$603,23,FALSE)*$L22,0)+IF($H22&lt;&gt;0,(VLOOKUP($J22,'Allocation Factors'!$B$12:$AU$603,23,FALSE)*$H22),0)</f>
        <v>1301.514870047165</v>
      </c>
      <c r="AI22" s="200">
        <f ca="1">IF($L22&lt;&gt;0,VLOOKUP($N22,'Allocation Factors'!$B$12:$AU$603,24,FALSE)*$L22,0)+IF($H22&lt;&gt;0,(VLOOKUP($J22,'Allocation Factors'!$B$12:$AU$603,24,FALSE)*$H22),0)</f>
        <v>461.09053078959897</v>
      </c>
      <c r="AJ22" s="200">
        <f ca="1">IF($L22&lt;&gt;0,VLOOKUP($N22,'Allocation Factors'!$B$12:$AU$603,25,FALSE)*$L22,0)+IF($H22&lt;&gt;0,(VLOOKUP($J22,'Allocation Factors'!$B$12:$AU$603,25,FALSE)*$H22),0)</f>
        <v>34.107039426795161</v>
      </c>
      <c r="AK22" s="200">
        <f ca="1">IF($L22&lt;&gt;0,VLOOKUP($N22,'Allocation Factors'!$B$12:$AU$603,26,FALSE)*$L22,0)+IF($H22&lt;&gt;0,(VLOOKUP($J22,'Allocation Factors'!$B$12:$AU$603,26,FALSE)*$H22),0)</f>
        <v>2.9422635959175575E-2</v>
      </c>
      <c r="AL22" s="200">
        <f ca="1">IF($L22&lt;&gt;0,VLOOKUP($N22,'Allocation Factors'!$B$12:$AU$603,27,FALSE)*$L22,0)+IF($H22&lt;&gt;0,(VLOOKUP($J22,'Allocation Factors'!$B$12:$AU$603,27,FALSE)*$H22),0)</f>
        <v>0.22853565329289349</v>
      </c>
      <c r="AM22" s="200">
        <f ca="1">IF($L22&lt;&gt;0,VLOOKUP($N22,'Allocation Factors'!$B$12:$AU$603,28,FALSE)*$L22,0)+IF($H22&lt;&gt;0,(VLOOKUP($J22,'Allocation Factors'!$B$12:$AU$603,28,FALSE)*$H22),0)</f>
        <v>1.0509020585585727</v>
      </c>
      <c r="AN22" s="200">
        <f ca="1">IF($L22&lt;&gt;0,VLOOKUP($N22,'Allocation Factors'!$B$12:$AU$603,29,FALSE)*$L22,0)+IF($H22&lt;&gt;0,(VLOOKUP($J22,'Allocation Factors'!$B$12:$AU$603,29,FALSE)*$H22),0)</f>
        <v>46.098882252396052</v>
      </c>
      <c r="AO22" s="200">
        <f ca="1">IF($L22&lt;&gt;0,VLOOKUP($N22,'Allocation Factors'!$B$12:$AU$603,30,FALSE)*$L22,0)+IF($H22&lt;&gt;0,(VLOOKUP($J22,'Allocation Factors'!$B$12:$AU$603,30,FALSE)*$H22),0)</f>
        <v>3.0988372574920531</v>
      </c>
      <c r="AP22" s="200">
        <f ca="1">IF($L22&lt;&gt;0,VLOOKUP($N22,'Allocation Factors'!$B$12:$AU$603,31,FALSE)*$L22,0)+IF($H22&lt;&gt;0,(VLOOKUP($J22,'Allocation Factors'!$B$12:$AU$603,31,FALSE)*$H22),0)</f>
        <v>4.6821782774057921</v>
      </c>
      <c r="AQ22" s="200">
        <f ca="1">IF($L22&lt;&gt;0,VLOOKUP($N22,'Allocation Factors'!$B$12:$AU$603,32,FALSE)*$L22,0)+IF($H22&lt;&gt;0,(VLOOKUP($J22,'Allocation Factors'!$B$12:$AU$603,32,FALSE)*$H22),0)</f>
        <v>0</v>
      </c>
      <c r="AR22" s="200">
        <f ca="1">IF($L22&lt;&gt;0,VLOOKUP($N22,'Allocation Factors'!$B$12:$AU$603,33,FALSE)*$L22,0)+IF($H22&lt;&gt;0,(VLOOKUP($J22,'Allocation Factors'!$B$12:$AU$603,33,FALSE)*$H22),0)</f>
        <v>18.617576508642358</v>
      </c>
      <c r="AS22" s="200">
        <f ca="1">IF($L22&lt;&gt;0,VLOOKUP($N22,'Allocation Factors'!$B$12:$AU$603,34,FALSE)*$L22,0)+IF($H22&lt;&gt;0,(VLOOKUP($J22,'Allocation Factors'!$B$12:$AU$603,34,FALSE)*$H22),0)</f>
        <v>0</v>
      </c>
      <c r="AT22" s="200">
        <f ca="1">IF($L22&lt;&gt;0,VLOOKUP($N22,'Allocation Factors'!$B$12:$AU$603,35,FALSE)*$L22,0)+IF($H22&lt;&gt;0,(VLOOKUP($J22,'Allocation Factors'!$B$12:$AU$603,35,FALSE)*$H22),0)</f>
        <v>184.23130022607631</v>
      </c>
      <c r="AU22" s="200">
        <f ca="1">IF($L22&lt;&gt;0,VLOOKUP($N22,'Allocation Factors'!$B$12:$AU$603,36,FALSE)*$L22,0)+IF($H22&lt;&gt;0,(VLOOKUP($J22,'Allocation Factors'!$B$12:$AU$603,36,FALSE)*$H22),0)</f>
        <v>0</v>
      </c>
      <c r="AV22" s="200">
        <f ca="1">IF($L22&lt;&gt;0,VLOOKUP($N22,'Allocation Factors'!$B$12:$AU$603,37,FALSE)*$L22,0)+IF($H22&lt;&gt;0,(VLOOKUP($J22,'Allocation Factors'!$B$12:$AU$603,37,FALSE)*$H22),0)</f>
        <v>23.888810164229408</v>
      </c>
      <c r="AW22" s="200">
        <f ca="1">IF($L22&lt;&gt;0,VLOOKUP($N22,'Allocation Factors'!$B$12:$AU$603,38,FALSE)*$L22,0)+IF($H22&lt;&gt;0,(VLOOKUP($J22,'Allocation Factors'!$B$12:$AU$603,38,FALSE)*$H22),0)</f>
        <v>5.5984842465225819</v>
      </c>
      <c r="AX22" s="200">
        <f ca="1">IF($L22&lt;&gt;0,VLOOKUP($N22,'Allocation Factors'!$B$12:$AU$603,39,FALSE)*$L22,0)+IF($H22&lt;&gt;0,(VLOOKUP($J22,'Allocation Factors'!$B$12:$AU$603,39,FALSE)*$H22),0)</f>
        <v>46.969377162757951</v>
      </c>
      <c r="AY22" s="200">
        <f ca="1">IF($L22&lt;&gt;0,VLOOKUP($N22,'Allocation Factors'!$B$12:$AU$603,40,FALSE)*$L22,0)+IF($H22&lt;&gt;0,(VLOOKUP($J22,'Allocation Factors'!$B$12:$AU$603,40,FALSE)*$H22),0)</f>
        <v>0</v>
      </c>
      <c r="AZ22" s="200">
        <f ca="1">IF($L22&lt;&gt;0,VLOOKUP($N22,'Allocation Factors'!$B$12:$AU$603,41,FALSE)*$L22,0)+IF($H22&lt;&gt;0,(VLOOKUP($J22,'Allocation Factors'!$B$12:$AU$603,41,FALSE)*$H22),0)</f>
        <v>121.46239388566299</v>
      </c>
      <c r="BA22" s="200">
        <f ca="1">IF($L22&lt;&gt;0,VLOOKUP($N22,'Allocation Factors'!$B$12:$AU$603,42,FALSE)*$L22,0)+IF($H22&lt;&gt;0,(VLOOKUP($J22,'Allocation Factors'!$B$12:$AU$603,42,FALSE)*$H22),0)</f>
        <v>21.024242032685336</v>
      </c>
      <c r="BB22" s="200">
        <f ca="1">IF($L22&lt;&gt;0,VLOOKUP($N22,'Allocation Factors'!$B$12:$AU$603,43,FALSE)*$L22,0)+IF($H22&lt;&gt;0,(VLOOKUP($J22,'Allocation Factors'!$B$12:$AU$603,43,FALSE)*$H22),0)</f>
        <v>369.83127006899406</v>
      </c>
      <c r="BC22" s="200">
        <f ca="1">IF($L22&lt;&gt;0,VLOOKUP($N22,'Allocation Factors'!$B$12:$AU$603,44,FALSE)*$L22,0)+IF($H22&lt;&gt;0,(VLOOKUP($J22,'Allocation Factors'!$B$12:$AU$603,44,FALSE)*$H22),0)</f>
        <v>2.2058360187833879</v>
      </c>
      <c r="BD22" s="200">
        <f ca="1">IF($L22&lt;&gt;0,VLOOKUP($N22,'Allocation Factors'!$B$12:$AU$603,45,FALSE)*$L22,0)+IF($H22&lt;&gt;0,(VLOOKUP($J22,'Allocation Factors'!$B$12:$AU$603,45,FALSE)*$H22),0)</f>
        <v>5.0133959794646312</v>
      </c>
      <c r="BE22" s="200">
        <f ca="1">IF($L22&lt;&gt;0,VLOOKUP($N22,'Allocation Factors'!$B$12:$AU$603,46,FALSE)*$L22,0)+IF($H22&lt;&gt;0,(VLOOKUP($J22,'Allocation Factors'!$B$12:$AU$603,46,FALSE)*$H22),0)</f>
        <v>1.2193389276999911</v>
      </c>
    </row>
    <row r="23" spans="1:57" x14ac:dyDescent="0.25">
      <c r="A23" s="2">
        <f t="shared" si="3"/>
        <v>11</v>
      </c>
      <c r="B23" s="73" t="s">
        <v>114</v>
      </c>
      <c r="D23" s="200">
        <f ca="1">'Storage Class'!V164</f>
        <v>21450.679716287705</v>
      </c>
      <c r="E23" s="200"/>
      <c r="F23" s="200">
        <f ca="1">'Storage Class'!V180</f>
        <v>21450.679716287705</v>
      </c>
      <c r="L23" s="200">
        <f ca="1">F23-H23</f>
        <v>21450.679716287705</v>
      </c>
      <c r="N23" s="91" t="s">
        <v>379</v>
      </c>
      <c r="P23" s="200">
        <f ca="1">IF($L23&lt;&gt;0,VLOOKUP($N23,'Allocation Factors'!$B$12:$AU$603,5,FALSE)*$L23,0)+IF($H23&lt;&gt;0,(VLOOKUP($J23,'Allocation Factors'!$B$12:$AU$603,5,FALSE)*$H23),0)</f>
        <v>5055.9225144881275</v>
      </c>
      <c r="Q23" s="200">
        <f ca="1">IF($L23&lt;&gt;0,VLOOKUP($N23,'Allocation Factors'!$B$12:$AU$603,6,FALSE)*$L23,0)+IF($H23&lt;&gt;0,(VLOOKUP($J23,'Allocation Factors'!$B$12:$AU$603,6,FALSE)*$H23),0)</f>
        <v>4848.3352039458587</v>
      </c>
      <c r="R23" s="200">
        <f ca="1">IF($L23&lt;&gt;0,VLOOKUP($N23,'Allocation Factors'!$B$12:$AU$603,7,FALSE)*$L23,0)+IF($H23&lt;&gt;0,(VLOOKUP($J23,'Allocation Factors'!$B$12:$AU$603,7,FALSE)*$H23),0)</f>
        <v>0</v>
      </c>
      <c r="S23" s="200">
        <f ca="1">IF($L23&lt;&gt;0,VLOOKUP($N23,'Allocation Factors'!$B$12:$AU$603,8,FALSE)*$L23,0)+IF($H23&lt;&gt;0,(VLOOKUP($J23,'Allocation Factors'!$B$12:$AU$603,8,FALSE)*$H23),0)</f>
        <v>27.730236196653102</v>
      </c>
      <c r="T23" s="200">
        <f ca="1">IF($L23&lt;&gt;0,VLOOKUP($N23,'Allocation Factors'!$B$12:$AU$603,9,FALSE)*$L23,0)+IF($H23&lt;&gt;0,(VLOOKUP($J23,'Allocation Factors'!$B$12:$AU$603,9,FALSE)*$H23),0)</f>
        <v>1080.0075717401396</v>
      </c>
      <c r="U23" s="200">
        <f ca="1">IF($L23&lt;&gt;0,VLOOKUP($N23,'Allocation Factors'!$B$12:$AU$603,10,FALSE)*$L23,0)+IF($H23&lt;&gt;0,(VLOOKUP($J23,'Allocation Factors'!$B$12:$AU$603,10,FALSE)*$H23),0)</f>
        <v>386.06473226300892</v>
      </c>
      <c r="V23" s="200">
        <f ca="1">IF($L23&lt;&gt;0,VLOOKUP($N23,'Allocation Factors'!$B$12:$AU$603,11,FALSE)*$L23,0)+IF($H23&lt;&gt;0,(VLOOKUP($J23,'Allocation Factors'!$B$12:$AU$603,11,FALSE)*$H23),0)</f>
        <v>0</v>
      </c>
      <c r="W23" s="200">
        <f ca="1">IF($L23&lt;&gt;0,VLOOKUP($N23,'Allocation Factors'!$B$12:$AU$603,12,FALSE)*$L23,0)+IF($H23&lt;&gt;0,(VLOOKUP($J23,'Allocation Factors'!$B$12:$AU$603,12,FALSE)*$H23),0)</f>
        <v>53.224392491373251</v>
      </c>
      <c r="X23" s="200">
        <f ca="1">IF($L23&lt;&gt;0,VLOOKUP($N23,'Allocation Factors'!$B$12:$AU$603,13,FALSE)*$L23,0)+IF($H23&lt;&gt;0,(VLOOKUP($J23,'Allocation Factors'!$B$12:$AU$603,13,FALSE)*$H23),0)</f>
        <v>15.886148053880826</v>
      </c>
      <c r="Y23" s="200">
        <f ca="1">IF($L23&lt;&gt;0,VLOOKUP($N23,'Allocation Factors'!$B$12:$AU$603,14,FALSE)*$L23,0)+IF($H23&lt;&gt;0,(VLOOKUP($J23,'Allocation Factors'!$B$12:$AU$603,14,FALSE)*$H23),0)</f>
        <v>326.80206320576144</v>
      </c>
      <c r="Z23" s="200">
        <f ca="1">IF($L23&lt;&gt;0,VLOOKUP($N23,'Allocation Factors'!$B$12:$AU$603,15,FALSE)*$L23,0)+IF($H23&lt;&gt;0,(VLOOKUP($J23,'Allocation Factors'!$B$12:$AU$603,15,FALSE)*$H23),0)</f>
        <v>190.92511074970591</v>
      </c>
      <c r="AA23" s="200">
        <f ca="1">IF($L23&lt;&gt;0,VLOOKUP($N23,'Allocation Factors'!$B$12:$AU$603,16,FALSE)*$L23,0)+IF($H23&lt;&gt;0,(VLOOKUP($J23,'Allocation Factors'!$B$12:$AU$603,16,FALSE)*$H23),0)</f>
        <v>0</v>
      </c>
      <c r="AB23" s="200">
        <f ca="1">IF($L23&lt;&gt;0,VLOOKUP($N23,'Allocation Factors'!$B$12:$AU$603,17,FALSE)*$L23,0)+IF($H23&lt;&gt;0,(VLOOKUP($J23,'Allocation Factors'!$B$12:$AU$603,17,FALSE)*$H23),0)</f>
        <v>23.121667829314955</v>
      </c>
      <c r="AC23" s="200">
        <f ca="1">IF($L23&lt;&gt;0,VLOOKUP($N23,'Allocation Factors'!$B$12:$AU$603,18,FALSE)*$L23,0)+IF($H23&lt;&gt;0,(VLOOKUP($J23,'Allocation Factors'!$B$12:$AU$603,18,FALSE)*$H23),0)</f>
        <v>999.86082592846537</v>
      </c>
      <c r="AD23" s="200">
        <f ca="1">IF($L23&lt;&gt;0,VLOOKUP($N23,'Allocation Factors'!$B$12:$AU$603,19,FALSE)*$L23,0)+IF($H23&lt;&gt;0,(VLOOKUP($J23,'Allocation Factors'!$B$12:$AU$603,19,FALSE)*$H23),0)</f>
        <v>327.65067612332683</v>
      </c>
      <c r="AE23" s="200">
        <f ca="1">IF($L23&lt;&gt;0,VLOOKUP($N23,'Allocation Factors'!$B$12:$AU$603,20,FALSE)*$L23,0)+IF($H23&lt;&gt;0,(VLOOKUP($J23,'Allocation Factors'!$B$12:$AU$603,20,FALSE)*$H23),0)</f>
        <v>136.81033566989166</v>
      </c>
      <c r="AF23" s="200">
        <f ca="1">IF($L23&lt;&gt;0,VLOOKUP($N23,'Allocation Factors'!$B$12:$AU$603,21,FALSE)*$L23,0)+IF($H23&lt;&gt;0,(VLOOKUP($J23,'Allocation Factors'!$B$12:$AU$603,21,FALSE)*$H23),0)</f>
        <v>5.7653555370413434</v>
      </c>
      <c r="AG23" s="200">
        <f ca="1">IF($L23&lt;&gt;0,VLOOKUP($N23,'Allocation Factors'!$B$12:$AU$603,22,FALSE)*$L23,0)+IF($H23&lt;&gt;0,(VLOOKUP($J23,'Allocation Factors'!$B$12:$AU$603,22,FALSE)*$H23),0)</f>
        <v>0</v>
      </c>
      <c r="AH23" s="200">
        <f ca="1">IF($L23&lt;&gt;0,VLOOKUP($N23,'Allocation Factors'!$B$12:$AU$603,23,FALSE)*$L23,0)+IF($H23&lt;&gt;0,(VLOOKUP($J23,'Allocation Factors'!$B$12:$AU$603,23,FALSE)*$H23),0)</f>
        <v>3290.8633872128262</v>
      </c>
      <c r="AI23" s="200">
        <f ca="1">IF($L23&lt;&gt;0,VLOOKUP($N23,'Allocation Factors'!$B$12:$AU$603,24,FALSE)*$L23,0)+IF($H23&lt;&gt;0,(VLOOKUP($J23,'Allocation Factors'!$B$12:$AU$603,24,FALSE)*$H23),0)</f>
        <v>1333.8590630370188</v>
      </c>
      <c r="AJ23" s="200">
        <f ca="1">IF($L23&lt;&gt;0,VLOOKUP($N23,'Allocation Factors'!$B$12:$AU$603,25,FALSE)*$L23,0)+IF($H23&lt;&gt;0,(VLOOKUP($J23,'Allocation Factors'!$B$12:$AU$603,25,FALSE)*$H23),0)</f>
        <v>600.17794243539015</v>
      </c>
      <c r="AK23" s="200">
        <f ca="1">IF($L23&lt;&gt;0,VLOOKUP($N23,'Allocation Factors'!$B$12:$AU$603,26,FALSE)*$L23,0)+IF($H23&lt;&gt;0,(VLOOKUP($J23,'Allocation Factors'!$B$12:$AU$603,26,FALSE)*$H23),0)</f>
        <v>0</v>
      </c>
      <c r="AL23" s="200">
        <f ca="1">IF($L23&lt;&gt;0,VLOOKUP($N23,'Allocation Factors'!$B$12:$AU$603,27,FALSE)*$L23,0)+IF($H23&lt;&gt;0,(VLOOKUP($J23,'Allocation Factors'!$B$12:$AU$603,27,FALSE)*$H23),0)</f>
        <v>4.4542404809353382</v>
      </c>
      <c r="AM23" s="200">
        <f ca="1">IF($L23&lt;&gt;0,VLOOKUP($N23,'Allocation Factors'!$B$12:$AU$603,28,FALSE)*$L23,0)+IF($H23&lt;&gt;0,(VLOOKUP($J23,'Allocation Factors'!$B$12:$AU$603,28,FALSE)*$H23),0)</f>
        <v>55.691708236566576</v>
      </c>
      <c r="AN23" s="200">
        <f ca="1">IF($L23&lt;&gt;0,VLOOKUP($N23,'Allocation Factors'!$B$12:$AU$603,29,FALSE)*$L23,0)+IF($H23&lt;&gt;0,(VLOOKUP($J23,'Allocation Factors'!$B$12:$AU$603,29,FALSE)*$H23),0)</f>
        <v>721.57227431115268</v>
      </c>
      <c r="AO23" s="200">
        <f ca="1">IF($L23&lt;&gt;0,VLOOKUP($N23,'Allocation Factors'!$B$12:$AU$603,30,FALSE)*$L23,0)+IF($H23&lt;&gt;0,(VLOOKUP($J23,'Allocation Factors'!$B$12:$AU$603,30,FALSE)*$H23),0)</f>
        <v>76.833257224556945</v>
      </c>
      <c r="AP23" s="200">
        <f ca="1">IF($L23&lt;&gt;0,VLOOKUP($N23,'Allocation Factors'!$B$12:$AU$603,31,FALSE)*$L23,0)+IF($H23&lt;&gt;0,(VLOOKUP($J23,'Allocation Factors'!$B$12:$AU$603,31,FALSE)*$H23),0)</f>
        <v>91.06215285120166</v>
      </c>
      <c r="AQ23" s="200">
        <f ca="1">IF($L23&lt;&gt;0,VLOOKUP($N23,'Allocation Factors'!$B$12:$AU$603,32,FALSE)*$L23,0)+IF($H23&lt;&gt;0,(VLOOKUP($J23,'Allocation Factors'!$B$12:$AU$603,32,FALSE)*$H23),0)</f>
        <v>0</v>
      </c>
      <c r="AR23" s="200">
        <f ca="1">IF($L23&lt;&gt;0,VLOOKUP($N23,'Allocation Factors'!$B$12:$AU$603,33,FALSE)*$L23,0)+IF($H23&lt;&gt;0,(VLOOKUP($J23,'Allocation Factors'!$B$12:$AU$603,33,FALSE)*$H23),0)</f>
        <v>132.33592338791621</v>
      </c>
      <c r="AS23" s="200">
        <f ca="1">IF($L23&lt;&gt;0,VLOOKUP($N23,'Allocation Factors'!$B$12:$AU$603,34,FALSE)*$L23,0)+IF($H23&lt;&gt;0,(VLOOKUP($J23,'Allocation Factors'!$B$12:$AU$603,34,FALSE)*$H23),0)</f>
        <v>0</v>
      </c>
      <c r="AT23" s="200">
        <f ca="1">IF($L23&lt;&gt;0,VLOOKUP($N23,'Allocation Factors'!$B$12:$AU$603,35,FALSE)*$L23,0)+IF($H23&lt;&gt;0,(VLOOKUP($J23,'Allocation Factors'!$B$12:$AU$603,35,FALSE)*$H23),0)</f>
        <v>1380.960876907481</v>
      </c>
      <c r="AU23" s="200">
        <f ca="1">IF($L23&lt;&gt;0,VLOOKUP($N23,'Allocation Factors'!$B$12:$AU$603,36,FALSE)*$L23,0)+IF($H23&lt;&gt;0,(VLOOKUP($J23,'Allocation Factors'!$B$12:$AU$603,36,FALSE)*$H23),0)</f>
        <v>0</v>
      </c>
      <c r="AV23" s="200">
        <f ca="1">IF($L23&lt;&gt;0,VLOOKUP($N23,'Allocation Factors'!$B$12:$AU$603,37,FALSE)*$L23,0)+IF($H23&lt;&gt;0,(VLOOKUP($J23,'Allocation Factors'!$B$12:$AU$603,37,FALSE)*$H23),0)</f>
        <v>284.76205598010353</v>
      </c>
      <c r="AW23" s="200">
        <f ca="1">IF($L23&lt;&gt;0,VLOOKUP($N23,'Allocation Factors'!$B$12:$AU$603,38,FALSE)*$L23,0)+IF($H23&lt;&gt;0,(VLOOKUP($J23,'Allocation Factors'!$B$12:$AU$603,38,FALSE)*$H23),0)</f>
        <v>0</v>
      </c>
      <c r="AX23" s="200">
        <f ca="1">IF($L23&lt;&gt;0,VLOOKUP($N23,'Allocation Factors'!$B$12:$AU$603,39,FALSE)*$L23,0)+IF($H23&lt;&gt;0,(VLOOKUP($J23,'Allocation Factors'!$B$12:$AU$603,39,FALSE)*$H23),0)</f>
        <v>0</v>
      </c>
      <c r="AY23" s="200">
        <f ca="1">IF($L23&lt;&gt;0,VLOOKUP($N23,'Allocation Factors'!$B$12:$AU$603,40,FALSE)*$L23,0)+IF($H23&lt;&gt;0,(VLOOKUP($J23,'Allocation Factors'!$B$12:$AU$603,40,FALSE)*$H23),0)</f>
        <v>0</v>
      </c>
      <c r="AZ23" s="205">
        <f ca="1">IF($L23&lt;&gt;0,VLOOKUP($N23,'Allocation Factors'!$B$12:$AU$603,41,FALSE)*$L23,0)+IF($H23&lt;&gt;0,(VLOOKUP($J23,'Allocation Factors'!$B$12:$AU$603,41,FALSE)*$H23),0)</f>
        <v>0</v>
      </c>
      <c r="BA23" s="205">
        <f ca="1">IF($L23&lt;&gt;0,VLOOKUP($N23,'Allocation Factors'!$B$12:$AU$603,42,FALSE)*$L23,0)+IF($H23&lt;&gt;0,(VLOOKUP($J23,'Allocation Factors'!$B$12:$AU$603,42,FALSE)*$H23),0)</f>
        <v>0</v>
      </c>
      <c r="BB23" s="205">
        <f ca="1">IF($L23&lt;&gt;0,VLOOKUP($N23,'Allocation Factors'!$B$12:$AU$603,43,FALSE)*$L23,0)+IF($H23&lt;&gt;0,(VLOOKUP($J23,'Allocation Factors'!$B$12:$AU$603,43,FALSE)*$H23),0)</f>
        <v>0</v>
      </c>
      <c r="BC23" s="205">
        <f ca="1">IF($L23&lt;&gt;0,VLOOKUP($N23,'Allocation Factors'!$B$12:$AU$603,44,FALSE)*$L23,0)+IF($H23&lt;&gt;0,(VLOOKUP($J23,'Allocation Factors'!$B$12:$AU$603,44,FALSE)*$H23),0)</f>
        <v>0</v>
      </c>
      <c r="BD23" s="205">
        <f ca="1">IF($L23&lt;&gt;0,VLOOKUP($N23,'Allocation Factors'!$B$12:$AU$603,45,FALSE)*$L23,0)+IF($H23&lt;&gt;0,(VLOOKUP($J23,'Allocation Factors'!$B$12:$AU$603,45,FALSE)*$H23),0)</f>
        <v>0</v>
      </c>
      <c r="BE23" s="205">
        <f ca="1">IF($L23&lt;&gt;0,VLOOKUP($N23,'Allocation Factors'!$B$12:$AU$603,46,FALSE)*$L23,0)+IF($H23&lt;&gt;0,(VLOOKUP($J23,'Allocation Factors'!$B$12:$AU$603,46,FALSE)*$H23),0)</f>
        <v>0</v>
      </c>
    </row>
    <row r="24" spans="1:57" x14ac:dyDescent="0.25">
      <c r="A24" s="2">
        <f t="shared" si="3"/>
        <v>12</v>
      </c>
      <c r="B24" s="73" t="s">
        <v>119</v>
      </c>
      <c r="D24" s="79">
        <f ca="1">SUM(D20:D23)</f>
        <v>224417.96329704436</v>
      </c>
      <c r="F24" s="79">
        <f ca="1">SUM(F20:F23)</f>
        <v>224417.96329704436</v>
      </c>
      <c r="H24" s="79">
        <f ca="1">SUM(H20:H23)</f>
        <v>39116.721621913879</v>
      </c>
      <c r="J24" s="212"/>
      <c r="L24" s="79">
        <f ca="1">SUM(L20:L23)</f>
        <v>185301.2416751305</v>
      </c>
      <c r="P24" s="79">
        <f t="shared" ref="P24:BE24" ca="1" si="4">SUM(P20:P23)</f>
        <v>66602.296835993824</v>
      </c>
      <c r="Q24" s="79">
        <f t="shared" ca="1" si="4"/>
        <v>56834.47620431018</v>
      </c>
      <c r="R24" s="79">
        <f t="shared" ca="1" si="4"/>
        <v>0</v>
      </c>
      <c r="S24" s="79">
        <f t="shared" ca="1" si="4"/>
        <v>190.56301089560441</v>
      </c>
      <c r="T24" s="79">
        <f t="shared" ca="1" si="4"/>
        <v>5036.7562109441897</v>
      </c>
      <c r="U24" s="79">
        <f t="shared" ca="1" si="4"/>
        <v>703.46124834587999</v>
      </c>
      <c r="V24" s="79">
        <f t="shared" ca="1" si="4"/>
        <v>15.73806982884358</v>
      </c>
      <c r="W24" s="79">
        <f t="shared" ca="1" si="4"/>
        <v>54.28031343559708</v>
      </c>
      <c r="X24" s="79">
        <f t="shared" ca="1" si="4"/>
        <v>59.374260218460591</v>
      </c>
      <c r="Y24" s="79">
        <f t="shared" ca="1" si="4"/>
        <v>527.87859908847577</v>
      </c>
      <c r="Z24" s="79">
        <f t="shared" ca="1" si="4"/>
        <v>1587.1554675358354</v>
      </c>
      <c r="AA24" s="79">
        <f t="shared" ca="1" si="4"/>
        <v>0</v>
      </c>
      <c r="AB24" s="79">
        <f t="shared" ca="1" si="4"/>
        <v>485.78850832125744</v>
      </c>
      <c r="AC24" s="79">
        <f t="shared" ca="1" si="4"/>
        <v>12570.856147409035</v>
      </c>
      <c r="AD24" s="79">
        <f t="shared" ca="1" si="4"/>
        <v>3427.4471230254976</v>
      </c>
      <c r="AE24" s="79">
        <f t="shared" ca="1" si="4"/>
        <v>574.28562162897776</v>
      </c>
      <c r="AF24" s="79">
        <f t="shared" ca="1" si="4"/>
        <v>8.1849217917825428</v>
      </c>
      <c r="AG24" s="79">
        <f t="shared" ca="1" si="4"/>
        <v>20.534197556870101</v>
      </c>
      <c r="AH24" s="79">
        <f t="shared" ca="1" si="4"/>
        <v>39932.52404158275</v>
      </c>
      <c r="AI24" s="79">
        <f t="shared" ca="1" si="4"/>
        <v>13501.943267001681</v>
      </c>
      <c r="AJ24" s="79">
        <f t="shared" ca="1" si="4"/>
        <v>3779.1618004429229</v>
      </c>
      <c r="AK24" s="79">
        <f t="shared" ca="1" si="4"/>
        <v>2.1732735596890622</v>
      </c>
      <c r="AL24" s="79">
        <f t="shared" ca="1" si="4"/>
        <v>29.435502822848449</v>
      </c>
      <c r="AM24" s="79">
        <f t="shared" ca="1" si="4"/>
        <v>56.742610295125147</v>
      </c>
      <c r="AN24" s="79">
        <f t="shared" ca="1" si="4"/>
        <v>5704.8811895585495</v>
      </c>
      <c r="AO24" s="79">
        <f t="shared" ca="1" si="4"/>
        <v>222.01007832956387</v>
      </c>
      <c r="AP24" s="79">
        <f t="shared" ca="1" si="4"/>
        <v>450.21387747362257</v>
      </c>
      <c r="AQ24" s="79">
        <f t="shared" ca="1" si="4"/>
        <v>0</v>
      </c>
      <c r="AR24" s="79">
        <f t="shared" ca="1" si="4"/>
        <v>1197.2750876813636</v>
      </c>
      <c r="AS24" s="79">
        <f t="shared" ca="1" si="4"/>
        <v>0</v>
      </c>
      <c r="AT24" s="79">
        <f t="shared" ca="1" si="4"/>
        <v>8120.5385021877883</v>
      </c>
      <c r="AU24" s="79">
        <f t="shared" ca="1" si="4"/>
        <v>0</v>
      </c>
      <c r="AV24" s="79">
        <f t="shared" ca="1" si="4"/>
        <v>2148.6629874556097</v>
      </c>
      <c r="AW24" s="79">
        <f t="shared" ca="1" si="4"/>
        <v>5.5984842465225819</v>
      </c>
      <c r="AX24" s="79">
        <f t="shared" ca="1" si="4"/>
        <v>46.969377162757951</v>
      </c>
      <c r="AY24" s="79">
        <f t="shared" ca="1" si="4"/>
        <v>0</v>
      </c>
      <c r="AZ24" s="79">
        <f t="shared" ca="1" si="4"/>
        <v>121.46239388566299</v>
      </c>
      <c r="BA24" s="79">
        <f t="shared" ca="1" si="4"/>
        <v>21.024242032685336</v>
      </c>
      <c r="BB24" s="79">
        <f t="shared" ca="1" si="4"/>
        <v>369.83127006899406</v>
      </c>
      <c r="BC24" s="79">
        <f t="shared" ca="1" si="4"/>
        <v>2.2058360187833879</v>
      </c>
      <c r="BD24" s="79">
        <f t="shared" ca="1" si="4"/>
        <v>5.0133959794646312</v>
      </c>
      <c r="BE24" s="79">
        <f t="shared" ca="1" si="4"/>
        <v>1.2193389276999911</v>
      </c>
    </row>
    <row r="25" spans="1:57" x14ac:dyDescent="0.25">
      <c r="D25" s="113">
        <f ca="1">D24-'Storage Class'!F164</f>
        <v>0</v>
      </c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5"/>
      <c r="BA25" s="205"/>
      <c r="BB25" s="205"/>
      <c r="BC25" s="205"/>
      <c r="BD25" s="205"/>
      <c r="BE25" s="205"/>
    </row>
    <row r="26" spans="1:57" x14ac:dyDescent="0.25">
      <c r="B26" s="197" t="s">
        <v>121</v>
      </c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5"/>
      <c r="BA26" s="205"/>
      <c r="BB26" s="205"/>
      <c r="BC26" s="205"/>
      <c r="BD26" s="205"/>
      <c r="BE26" s="205"/>
    </row>
    <row r="27" spans="1:57" x14ac:dyDescent="0.25">
      <c r="A27" s="2">
        <f>A24+1</f>
        <v>13</v>
      </c>
      <c r="B27" s="73" t="s">
        <v>115</v>
      </c>
      <c r="D27" s="200">
        <f ca="1">'Transmission Class'!P164</f>
        <v>12523.671291923149</v>
      </c>
      <c r="E27" s="200"/>
      <c r="F27" s="200">
        <f ca="1">'Transmission Class'!P180</f>
        <v>12523.671291923149</v>
      </c>
      <c r="L27" s="200">
        <f t="shared" ref="L27:L33" ca="1" si="5">F27-H27</f>
        <v>12523.671291923149</v>
      </c>
      <c r="N27" s="91" t="s">
        <v>244</v>
      </c>
      <c r="P27" s="200">
        <f ca="1">IF($L27&lt;&gt;0,VLOOKUP($N27,'Allocation Factors'!$B$12:$AU$603,5,FALSE)*$L27,0)+IF($H27&lt;&gt;0,(VLOOKUP($J27,'Allocation Factors'!$B$12:$AU$603,5,FALSE)*$H27),0)</f>
        <v>2106.7470893259174</v>
      </c>
      <c r="Q27" s="200">
        <f ca="1">IF($L27&lt;&gt;0,VLOOKUP($N27,'Allocation Factors'!$B$12:$AU$603,6,FALSE)*$L27,0)+IF($H27&lt;&gt;0,(VLOOKUP($J27,'Allocation Factors'!$B$12:$AU$603,6,FALSE)*$H27),0)</f>
        <v>1880.0455366087137</v>
      </c>
      <c r="R27" s="200">
        <f ca="1">IF($L27&lt;&gt;0,VLOOKUP($N27,'Allocation Factors'!$B$12:$AU$603,7,FALSE)*$L27,0)+IF($H27&lt;&gt;0,(VLOOKUP($J27,'Allocation Factors'!$B$12:$AU$603,7,FALSE)*$H27),0)</f>
        <v>0</v>
      </c>
      <c r="S27" s="200">
        <f ca="1">IF($L27&lt;&gt;0,VLOOKUP($N27,'Allocation Factors'!$B$12:$AU$603,8,FALSE)*$L27,0)+IF($H27&lt;&gt;0,(VLOOKUP($J27,'Allocation Factors'!$B$12:$AU$603,8,FALSE)*$H27),0)</f>
        <v>6.6311952043151869</v>
      </c>
      <c r="T27" s="200">
        <f ca="1">IF($L27&lt;&gt;0,VLOOKUP($N27,'Allocation Factors'!$B$12:$AU$603,9,FALSE)*$L27,0)+IF($H27&lt;&gt;0,(VLOOKUP($J27,'Allocation Factors'!$B$12:$AU$603,9,FALSE)*$H27),0)</f>
        <v>215.72248937026356</v>
      </c>
      <c r="U27" s="200">
        <f ca="1">IF($L27&lt;&gt;0,VLOOKUP($N27,'Allocation Factors'!$B$12:$AU$603,10,FALSE)*$L27,0)+IF($H27&lt;&gt;0,(VLOOKUP($J27,'Allocation Factors'!$B$12:$AU$603,10,FALSE)*$H27),0)</f>
        <v>45.336134953058426</v>
      </c>
      <c r="V27" s="200">
        <f ca="1">IF($L27&lt;&gt;0,VLOOKUP($N27,'Allocation Factors'!$B$12:$AU$603,11,FALSE)*$L27,0)+IF($H27&lt;&gt;0,(VLOOKUP($J27,'Allocation Factors'!$B$12:$AU$603,11,FALSE)*$H27),0)</f>
        <v>0</v>
      </c>
      <c r="W27" s="200">
        <f ca="1">IF($L27&lt;&gt;0,VLOOKUP($N27,'Allocation Factors'!$B$12:$AU$603,12,FALSE)*$L27,0)+IF($H27&lt;&gt;0,(VLOOKUP($J27,'Allocation Factors'!$B$12:$AU$603,12,FALSE)*$H27),0)</f>
        <v>0.75168387683802063</v>
      </c>
      <c r="X27" s="200">
        <f ca="1">IF($L27&lt;&gt;0,VLOOKUP($N27,'Allocation Factors'!$B$12:$AU$603,13,FALSE)*$L27,0)+IF($H27&lt;&gt;0,(VLOOKUP($J27,'Allocation Factors'!$B$12:$AU$603,13,FALSE)*$H27),0)</f>
        <v>0</v>
      </c>
      <c r="Y27" s="200">
        <f ca="1">IF($L27&lt;&gt;0,VLOOKUP($N27,'Allocation Factors'!$B$12:$AU$603,14,FALSE)*$L27,0)+IF($H27&lt;&gt;0,(VLOOKUP($J27,'Allocation Factors'!$B$12:$AU$603,14,FALSE)*$H27),0)</f>
        <v>0</v>
      </c>
      <c r="Z27" s="200">
        <f ca="1">IF($L27&lt;&gt;0,VLOOKUP($N27,'Allocation Factors'!$B$12:$AU$603,15,FALSE)*$L27,0)+IF($H27&lt;&gt;0,(VLOOKUP($J27,'Allocation Factors'!$B$12:$AU$603,15,FALSE)*$H27),0)</f>
        <v>50.018758580098122</v>
      </c>
      <c r="AA27" s="200">
        <f ca="1">IF($L27&lt;&gt;0,VLOOKUP($N27,'Allocation Factors'!$B$12:$AU$603,16,FALSE)*$L27,0)+IF($H27&lt;&gt;0,(VLOOKUP($J27,'Allocation Factors'!$B$12:$AU$603,16,FALSE)*$H27),0)</f>
        <v>0</v>
      </c>
      <c r="AB27" s="200">
        <f ca="1">IF($L27&lt;&gt;0,VLOOKUP($N27,'Allocation Factors'!$B$12:$AU$603,17,FALSE)*$L27,0)+IF($H27&lt;&gt;0,(VLOOKUP($J27,'Allocation Factors'!$B$12:$AU$603,17,FALSE)*$H27),0)</f>
        <v>12.957109203178225</v>
      </c>
      <c r="AC27" s="200">
        <f ca="1">IF($L27&lt;&gt;0,VLOOKUP($N27,'Allocation Factors'!$B$12:$AU$603,18,FALSE)*$L27,0)+IF($H27&lt;&gt;0,(VLOOKUP($J27,'Allocation Factors'!$B$12:$AU$603,18,FALSE)*$H27),0)</f>
        <v>387.81938040857733</v>
      </c>
      <c r="AD27" s="200">
        <f ca="1">IF($L27&lt;&gt;0,VLOOKUP($N27,'Allocation Factors'!$B$12:$AU$603,19,FALSE)*$L27,0)+IF($H27&lt;&gt;0,(VLOOKUP($J27,'Allocation Factors'!$B$12:$AU$603,19,FALSE)*$H27),0)</f>
        <v>114.49135209521377</v>
      </c>
      <c r="AE27" s="200">
        <f ca="1">IF($L27&lt;&gt;0,VLOOKUP($N27,'Allocation Factors'!$B$12:$AU$603,20,FALSE)*$L27,0)+IF($H27&lt;&gt;0,(VLOOKUP($J27,'Allocation Factors'!$B$12:$AU$603,20,FALSE)*$H27),0)</f>
        <v>25.959055142714686</v>
      </c>
      <c r="AF27" s="200">
        <f ca="1">IF($L27&lt;&gt;0,VLOOKUP($N27,'Allocation Factors'!$B$12:$AU$603,21,FALSE)*$L27,0)+IF($H27&lt;&gt;0,(VLOOKUP($J27,'Allocation Factors'!$B$12:$AU$603,21,FALSE)*$H27),0)</f>
        <v>0</v>
      </c>
      <c r="AG27" s="200">
        <f ca="1">IF($L27&lt;&gt;0,VLOOKUP($N27,'Allocation Factors'!$B$12:$AU$603,22,FALSE)*$L27,0)+IF($H27&lt;&gt;0,(VLOOKUP($J27,'Allocation Factors'!$B$12:$AU$603,22,FALSE)*$H27),0)</f>
        <v>0</v>
      </c>
      <c r="AH27" s="200">
        <f ca="1">IF($L27&lt;&gt;0,VLOOKUP($N27,'Allocation Factors'!$B$12:$AU$603,23,FALSE)*$L27,0)+IF($H27&lt;&gt;0,(VLOOKUP($J27,'Allocation Factors'!$B$12:$AU$603,23,FALSE)*$H27),0)</f>
        <v>1240.9053700420229</v>
      </c>
      <c r="AI27" s="200">
        <f ca="1">IF($L27&lt;&gt;0,VLOOKUP($N27,'Allocation Factors'!$B$12:$AU$603,24,FALSE)*$L27,0)+IF($H27&lt;&gt;0,(VLOOKUP($J27,'Allocation Factors'!$B$12:$AU$603,24,FALSE)*$H27),0)</f>
        <v>459.79166278422559</v>
      </c>
      <c r="AJ27" s="200">
        <f ca="1">IF($L27&lt;&gt;0,VLOOKUP($N27,'Allocation Factors'!$B$12:$AU$603,25,FALSE)*$L27,0)+IF($H27&lt;&gt;0,(VLOOKUP($J27,'Allocation Factors'!$B$12:$AU$603,25,FALSE)*$H27),0)</f>
        <v>163.67084409375906</v>
      </c>
      <c r="AK27" s="200">
        <f ca="1">IF($L27&lt;&gt;0,VLOOKUP($N27,'Allocation Factors'!$B$12:$AU$603,26,FALSE)*$L27,0)+IF($H27&lt;&gt;0,(VLOOKUP($J27,'Allocation Factors'!$B$12:$AU$603,26,FALSE)*$H27),0)</f>
        <v>0</v>
      </c>
      <c r="AL27" s="200">
        <f ca="1">IF($L27&lt;&gt;0,VLOOKUP($N27,'Allocation Factors'!$B$12:$AU$603,27,FALSE)*$L27,0)+IF($H27&lt;&gt;0,(VLOOKUP($J27,'Allocation Factors'!$B$12:$AU$603,27,FALSE)*$H27),0)</f>
        <v>1.4378046152982122</v>
      </c>
      <c r="AM27" s="200">
        <f ca="1">IF($L27&lt;&gt;0,VLOOKUP($N27,'Allocation Factors'!$B$12:$AU$603,28,FALSE)*$L27,0)+IF($H27&lt;&gt;0,(VLOOKUP($J27,'Allocation Factors'!$B$12:$AU$603,28,FALSE)*$H27),0)</f>
        <v>0</v>
      </c>
      <c r="AN27" s="200">
        <f ca="1">IF($L27&lt;&gt;0,VLOOKUP($N27,'Allocation Factors'!$B$12:$AU$603,29,FALSE)*$L27,0)+IF($H27&lt;&gt;0,(VLOOKUP($J27,'Allocation Factors'!$B$12:$AU$603,29,FALSE)*$H27),0)</f>
        <v>242.09803041193001</v>
      </c>
      <c r="AO27" s="200">
        <f ca="1">IF($L27&lt;&gt;0,VLOOKUP($N27,'Allocation Factors'!$B$12:$AU$603,30,FALSE)*$L27,0)+IF($H27&lt;&gt;0,(VLOOKUP($J27,'Allocation Factors'!$B$12:$AU$603,30,FALSE)*$H27),0)</f>
        <v>0</v>
      </c>
      <c r="AP27" s="200">
        <f ca="1">IF($L27&lt;&gt;0,VLOOKUP($N27,'Allocation Factors'!$B$12:$AU$603,31,FALSE)*$L27,0)+IF($H27&lt;&gt;0,(VLOOKUP($J27,'Allocation Factors'!$B$12:$AU$603,31,FALSE)*$H27),0)</f>
        <v>19.764124503975093</v>
      </c>
      <c r="AQ27" s="200">
        <f ca="1">IF($L27&lt;&gt;0,VLOOKUP($N27,'Allocation Factors'!$B$12:$AU$603,32,FALSE)*$L27,0)+IF($H27&lt;&gt;0,(VLOOKUP($J27,'Allocation Factors'!$B$12:$AU$603,32,FALSE)*$H27),0)</f>
        <v>0</v>
      </c>
      <c r="AR27" s="200">
        <f ca="1">IF($L27&lt;&gt;0,VLOOKUP($N27,'Allocation Factors'!$B$12:$AU$603,33,FALSE)*$L27,0)+IF($H27&lt;&gt;0,(VLOOKUP($J27,'Allocation Factors'!$B$12:$AU$603,33,FALSE)*$H27),0)</f>
        <v>67.14549260284025</v>
      </c>
      <c r="AS27" s="200">
        <f ca="1">IF($L27&lt;&gt;0,VLOOKUP($N27,'Allocation Factors'!$B$12:$AU$603,34,FALSE)*$L27,0)+IF($H27&lt;&gt;0,(VLOOKUP($J27,'Allocation Factors'!$B$12:$AU$603,34,FALSE)*$H27),0)</f>
        <v>0</v>
      </c>
      <c r="AT27" s="200">
        <f ca="1">IF($L27&lt;&gt;0,VLOOKUP($N27,'Allocation Factors'!$B$12:$AU$603,35,FALSE)*$L27,0)+IF($H27&lt;&gt;0,(VLOOKUP($J27,'Allocation Factors'!$B$12:$AU$603,35,FALSE)*$H27),0)</f>
        <v>848.10558620420977</v>
      </c>
      <c r="AU27" s="200">
        <f ca="1">IF($L27&lt;&gt;0,VLOOKUP($N27,'Allocation Factors'!$B$12:$AU$603,36,FALSE)*$L27,0)+IF($H27&lt;&gt;0,(VLOOKUP($J27,'Allocation Factors'!$B$12:$AU$603,36,FALSE)*$H27),0)</f>
        <v>0</v>
      </c>
      <c r="AV27" s="200">
        <f ca="1">IF($L27&lt;&gt;0,VLOOKUP($N27,'Allocation Factors'!$B$12:$AU$603,37,FALSE)*$L27,0)+IF($H27&lt;&gt;0,(VLOOKUP($J27,'Allocation Factors'!$B$12:$AU$603,37,FALSE)*$H27),0)</f>
        <v>84.113363969171758</v>
      </c>
      <c r="AW27" s="200">
        <f ca="1">IF($L27&lt;&gt;0,VLOOKUP($N27,'Allocation Factors'!$B$12:$AU$603,38,FALSE)*$L27,0)+IF($H27&lt;&gt;0,(VLOOKUP($J27,'Allocation Factors'!$B$12:$AU$603,38,FALSE)*$H27),0)</f>
        <v>0</v>
      </c>
      <c r="AX27" s="200">
        <f ca="1">IF($L27&lt;&gt;0,VLOOKUP($N27,'Allocation Factors'!$B$12:$AU$603,39,FALSE)*$L27,0)+IF($H27&lt;&gt;0,(VLOOKUP($J27,'Allocation Factors'!$B$12:$AU$603,39,FALSE)*$H27),0)</f>
        <v>0</v>
      </c>
      <c r="AY27" s="200">
        <f ca="1">IF($L27&lt;&gt;0,VLOOKUP($N27,'Allocation Factors'!$B$12:$AU$603,40,FALSE)*$L27,0)+IF($H27&lt;&gt;0,(VLOOKUP($J27,'Allocation Factors'!$B$12:$AU$603,40,FALSE)*$H27),0)</f>
        <v>0</v>
      </c>
      <c r="AZ27" s="200">
        <f ca="1">IF($L27&lt;&gt;0,VLOOKUP($N27,'Allocation Factors'!$B$12:$AU$603,41,FALSE)*$L27,0)+IF($H27&lt;&gt;0,(VLOOKUP($J27,'Allocation Factors'!$B$12:$AU$603,41,FALSE)*$H27),0)</f>
        <v>47.989789495683873</v>
      </c>
      <c r="BA27" s="200">
        <f ca="1">IF($L27&lt;&gt;0,VLOOKUP($N27,'Allocation Factors'!$B$12:$AU$603,42,FALSE)*$L27,0)+IF($H27&lt;&gt;0,(VLOOKUP($J27,'Allocation Factors'!$B$12:$AU$603,42,FALSE)*$H27),0)</f>
        <v>0</v>
      </c>
      <c r="BB27" s="200">
        <f ca="1">IF($L27&lt;&gt;0,VLOOKUP($N27,'Allocation Factors'!$B$12:$AU$603,43,FALSE)*$L27,0)+IF($H27&lt;&gt;0,(VLOOKUP($J27,'Allocation Factors'!$B$12:$AU$603,43,FALSE)*$H27),0)</f>
        <v>4489.3562586058597</v>
      </c>
      <c r="BC27" s="200">
        <f ca="1">IF($L27&lt;&gt;0,VLOOKUP($N27,'Allocation Factors'!$B$12:$AU$603,44,FALSE)*$L27,0)+IF($H27&lt;&gt;0,(VLOOKUP($J27,'Allocation Factors'!$B$12:$AU$603,44,FALSE)*$H27),0)</f>
        <v>0</v>
      </c>
      <c r="BD27" s="200">
        <f ca="1">IF($L27&lt;&gt;0,VLOOKUP($N27,'Allocation Factors'!$B$12:$AU$603,45,FALSE)*$L27,0)+IF($H27&lt;&gt;0,(VLOOKUP($J27,'Allocation Factors'!$B$12:$AU$603,45,FALSE)*$H27),0)</f>
        <v>0</v>
      </c>
      <c r="BE27" s="200">
        <f ca="1">IF($L27&lt;&gt;0,VLOOKUP($N27,'Allocation Factors'!$B$12:$AU$603,46,FALSE)*$L27,0)+IF($H27&lt;&gt;0,(VLOOKUP($J27,'Allocation Factors'!$B$12:$AU$603,46,FALSE)*$H27),0)</f>
        <v>12.813179825282305</v>
      </c>
    </row>
    <row r="28" spans="1:57" x14ac:dyDescent="0.25">
      <c r="A28" s="2">
        <f>A27+1</f>
        <v>14</v>
      </c>
      <c r="B28" s="73" t="s">
        <v>116</v>
      </c>
      <c r="D28" s="200">
        <f ca="1">'Transmission Class'!R180</f>
        <v>1452.0154432174706</v>
      </c>
      <c r="E28" s="200"/>
      <c r="F28" s="200">
        <f ca="1">'Transmission Class'!R180</f>
        <v>1452.0154432174706</v>
      </c>
      <c r="L28" s="200">
        <f t="shared" ca="1" si="5"/>
        <v>1452.0154432174706</v>
      </c>
      <c r="N28" s="91" t="s">
        <v>245</v>
      </c>
      <c r="P28" s="200">
        <f ca="1">IF($L28&lt;&gt;0,VLOOKUP($N28,'Allocation Factors'!$B$12:$AU$603,5,FALSE)*$L28,0)+IF($H28&lt;&gt;0,(VLOOKUP($J28,'Allocation Factors'!$B$12:$AU$603,5,FALSE)*$H28),0)</f>
        <v>60.450246771300435</v>
      </c>
      <c r="Q28" s="200">
        <f ca="1">IF($L28&lt;&gt;0,VLOOKUP($N28,'Allocation Factors'!$B$12:$AU$603,6,FALSE)*$L28,0)+IF($H28&lt;&gt;0,(VLOOKUP($J28,'Allocation Factors'!$B$12:$AU$603,6,FALSE)*$H28),0)</f>
        <v>53.945353576181894</v>
      </c>
      <c r="R28" s="200">
        <f ca="1">IF($L28&lt;&gt;0,VLOOKUP($N28,'Allocation Factors'!$B$12:$AU$603,7,FALSE)*$L28,0)+IF($H28&lt;&gt;0,(VLOOKUP($J28,'Allocation Factors'!$B$12:$AU$603,7,FALSE)*$H28),0)</f>
        <v>0</v>
      </c>
      <c r="S28" s="200">
        <f ca="1">IF($L28&lt;&gt;0,VLOOKUP($N28,'Allocation Factors'!$B$12:$AU$603,8,FALSE)*$L28,0)+IF($H28&lt;&gt;0,(VLOOKUP($J28,'Allocation Factors'!$B$12:$AU$603,8,FALSE)*$H28),0)</f>
        <v>0.19027314124249095</v>
      </c>
      <c r="T28" s="200">
        <f ca="1">IF($L28&lt;&gt;0,VLOOKUP($N28,'Allocation Factors'!$B$12:$AU$603,9,FALSE)*$L28,0)+IF($H28&lt;&gt;0,(VLOOKUP($J28,'Allocation Factors'!$B$12:$AU$603,9,FALSE)*$H28),0)</f>
        <v>6.1898638819167155</v>
      </c>
      <c r="U28" s="200">
        <f ca="1">IF($L28&lt;&gt;0,VLOOKUP($N28,'Allocation Factors'!$B$12:$AU$603,10,FALSE)*$L28,0)+IF($H28&lt;&gt;0,(VLOOKUP($J28,'Allocation Factors'!$B$12:$AU$603,10,FALSE)*$H28),0)</f>
        <v>1.3008588261281269</v>
      </c>
      <c r="V28" s="200">
        <f ca="1">IF($L28&lt;&gt;0,VLOOKUP($N28,'Allocation Factors'!$B$12:$AU$603,11,FALSE)*$L28,0)+IF($H28&lt;&gt;0,(VLOOKUP($J28,'Allocation Factors'!$B$12:$AU$603,11,FALSE)*$H28),0)</f>
        <v>0</v>
      </c>
      <c r="W28" s="200">
        <f ca="1">IF($L28&lt;&gt;0,VLOOKUP($N28,'Allocation Factors'!$B$12:$AU$603,12,FALSE)*$L28,0)+IF($H28&lt;&gt;0,(VLOOKUP($J28,'Allocation Factors'!$B$12:$AU$603,12,FALSE)*$H28),0)</f>
        <v>2.1568548061174791E-2</v>
      </c>
      <c r="X28" s="200">
        <f ca="1">IF($L28&lt;&gt;0,VLOOKUP($N28,'Allocation Factors'!$B$12:$AU$603,13,FALSE)*$L28,0)+IF($H28&lt;&gt;0,(VLOOKUP($J28,'Allocation Factors'!$B$12:$AU$603,13,FALSE)*$H28),0)</f>
        <v>0</v>
      </c>
      <c r="Y28" s="200">
        <f ca="1">IF($L28&lt;&gt;0,VLOOKUP($N28,'Allocation Factors'!$B$12:$AU$603,14,FALSE)*$L28,0)+IF($H28&lt;&gt;0,(VLOOKUP($J28,'Allocation Factors'!$B$12:$AU$603,14,FALSE)*$H28),0)</f>
        <v>0</v>
      </c>
      <c r="Z28" s="200">
        <f ca="1">IF($L28&lt;&gt;0,VLOOKUP($N28,'Allocation Factors'!$B$12:$AU$603,15,FALSE)*$L28,0)+IF($H28&lt;&gt;0,(VLOOKUP($J28,'Allocation Factors'!$B$12:$AU$603,15,FALSE)*$H28),0)</f>
        <v>1.4352203521156826</v>
      </c>
      <c r="AA28" s="200">
        <f ca="1">IF($L28&lt;&gt;0,VLOOKUP($N28,'Allocation Factors'!$B$12:$AU$603,16,FALSE)*$L28,0)+IF($H28&lt;&gt;0,(VLOOKUP($J28,'Allocation Factors'!$B$12:$AU$603,16,FALSE)*$H28),0)</f>
        <v>0</v>
      </c>
      <c r="AB28" s="200">
        <f ca="1">IF($L28&lt;&gt;0,VLOOKUP($N28,'Allocation Factors'!$B$12:$AU$603,17,FALSE)*$L28,0)+IF($H28&lt;&gt;0,(VLOOKUP($J28,'Allocation Factors'!$B$12:$AU$603,17,FALSE)*$H28),0)</f>
        <v>0</v>
      </c>
      <c r="AC28" s="200">
        <f ca="1">IF($L28&lt;&gt;0,VLOOKUP($N28,'Allocation Factors'!$B$12:$AU$603,18,FALSE)*$L28,0)+IF($H28&lt;&gt;0,(VLOOKUP($J28,'Allocation Factors'!$B$12:$AU$603,18,FALSE)*$H28),0)</f>
        <v>11.127950463143867</v>
      </c>
      <c r="AD28" s="200">
        <f ca="1">IF($L28&lt;&gt;0,VLOOKUP($N28,'Allocation Factors'!$B$12:$AU$603,19,FALSE)*$L28,0)+IF($H28&lt;&gt;0,(VLOOKUP($J28,'Allocation Factors'!$B$12:$AU$603,19,FALSE)*$H28),0)</f>
        <v>3.285173869422549</v>
      </c>
      <c r="AE28" s="200">
        <f ca="1">IF($L28&lt;&gt;0,VLOOKUP($N28,'Allocation Factors'!$B$12:$AU$603,20,FALSE)*$L28,0)+IF($H28&lt;&gt;0,(VLOOKUP($J28,'Allocation Factors'!$B$12:$AU$603,20,FALSE)*$H28),0)</f>
        <v>0.74485983499281605</v>
      </c>
      <c r="AF28" s="200">
        <f ca="1">IF($L28&lt;&gt;0,VLOOKUP($N28,'Allocation Factors'!$B$12:$AU$603,21,FALSE)*$L28,0)+IF($H28&lt;&gt;0,(VLOOKUP($J28,'Allocation Factors'!$B$12:$AU$603,21,FALSE)*$H28),0)</f>
        <v>0</v>
      </c>
      <c r="AG28" s="200">
        <f ca="1">IF($L28&lt;&gt;0,VLOOKUP($N28,'Allocation Factors'!$B$12:$AU$603,22,FALSE)*$L28,0)+IF($H28&lt;&gt;0,(VLOOKUP($J28,'Allocation Factors'!$B$12:$AU$603,22,FALSE)*$H28),0)</f>
        <v>0</v>
      </c>
      <c r="AH28" s="200">
        <f ca="1">IF($L28&lt;&gt;0,VLOOKUP($N28,'Allocation Factors'!$B$12:$AU$603,23,FALSE)*$L28,0)+IF($H28&lt;&gt;0,(VLOOKUP($J28,'Allocation Factors'!$B$12:$AU$603,23,FALSE)*$H28),0)</f>
        <v>35.60609444718569</v>
      </c>
      <c r="AI28" s="200">
        <f ca="1">IF($L28&lt;&gt;0,VLOOKUP($N28,'Allocation Factors'!$B$12:$AU$603,24,FALSE)*$L28,0)+IF($H28&lt;&gt;0,(VLOOKUP($J28,'Allocation Factors'!$B$12:$AU$603,24,FALSE)*$H28),0)</f>
        <v>13.193097367746322</v>
      </c>
      <c r="AJ28" s="200">
        <f ca="1">IF($L28&lt;&gt;0,VLOOKUP($N28,'Allocation Factors'!$B$12:$AU$603,25,FALSE)*$L28,0)+IF($H28&lt;&gt;0,(VLOOKUP($J28,'Allocation Factors'!$B$12:$AU$603,25,FALSE)*$H28),0)</f>
        <v>4.6963126067023442</v>
      </c>
      <c r="AK28" s="200">
        <f ca="1">IF($L28&lt;&gt;0,VLOOKUP($N28,'Allocation Factors'!$B$12:$AU$603,26,FALSE)*$L28,0)+IF($H28&lt;&gt;0,(VLOOKUP($J28,'Allocation Factors'!$B$12:$AU$603,26,FALSE)*$H28),0)</f>
        <v>0</v>
      </c>
      <c r="AL28" s="200">
        <f ca="1">IF($L28&lt;&gt;0,VLOOKUP($N28,'Allocation Factors'!$B$12:$AU$603,27,FALSE)*$L28,0)+IF($H28&lt;&gt;0,(VLOOKUP($J28,'Allocation Factors'!$B$12:$AU$603,27,FALSE)*$H28),0)</f>
        <v>4.1255850901164154E-2</v>
      </c>
      <c r="AM28" s="200">
        <f ca="1">IF($L28&lt;&gt;0,VLOOKUP($N28,'Allocation Factors'!$B$12:$AU$603,28,FALSE)*$L28,0)+IF($H28&lt;&gt;0,(VLOOKUP($J28,'Allocation Factors'!$B$12:$AU$603,28,FALSE)*$H28),0)</f>
        <v>0</v>
      </c>
      <c r="AN28" s="200">
        <f ca="1">IF($L28&lt;&gt;0,VLOOKUP($N28,'Allocation Factors'!$B$12:$AU$603,29,FALSE)*$L28,0)+IF($H28&lt;&gt;0,(VLOOKUP($J28,'Allocation Factors'!$B$12:$AU$603,29,FALSE)*$H28),0)</f>
        <v>6.9466742141932158</v>
      </c>
      <c r="AO28" s="200">
        <f ca="1">IF($L28&lt;&gt;0,VLOOKUP($N28,'Allocation Factors'!$B$12:$AU$603,30,FALSE)*$L28,0)+IF($H28&lt;&gt;0,(VLOOKUP($J28,'Allocation Factors'!$B$12:$AU$603,30,FALSE)*$H28),0)</f>
        <v>0</v>
      </c>
      <c r="AP28" s="200">
        <f ca="1">IF($L28&lt;&gt;0,VLOOKUP($N28,'Allocation Factors'!$B$12:$AU$603,31,FALSE)*$L28,0)+IF($H28&lt;&gt;0,(VLOOKUP($J28,'Allocation Factors'!$B$12:$AU$603,31,FALSE)*$H28),0)</f>
        <v>0.5671047130134047</v>
      </c>
      <c r="AQ28" s="200">
        <f ca="1">IF($L28&lt;&gt;0,VLOOKUP($N28,'Allocation Factors'!$B$12:$AU$603,32,FALSE)*$L28,0)+IF($H28&lt;&gt;0,(VLOOKUP($J28,'Allocation Factors'!$B$12:$AU$603,32,FALSE)*$H28),0)</f>
        <v>0</v>
      </c>
      <c r="AR28" s="200">
        <f ca="1">IF($L28&lt;&gt;0,VLOOKUP($N28,'Allocation Factors'!$B$12:$AU$603,33,FALSE)*$L28,0)+IF($H28&lt;&gt;0,(VLOOKUP($J28,'Allocation Factors'!$B$12:$AU$603,33,FALSE)*$H28),0)</f>
        <v>1.2342741275496165</v>
      </c>
      <c r="AS28" s="200">
        <f ca="1">IF($L28&lt;&gt;0,VLOOKUP($N28,'Allocation Factors'!$B$12:$AU$603,34,FALSE)*$L28,0)+IF($H28&lt;&gt;0,(VLOOKUP($J28,'Allocation Factors'!$B$12:$AU$603,34,FALSE)*$H28),0)</f>
        <v>0</v>
      </c>
      <c r="AT28" s="200">
        <f ca="1">IF($L28&lt;&gt;0,VLOOKUP($N28,'Allocation Factors'!$B$12:$AU$603,35,FALSE)*$L28,0)+IF($H28&lt;&gt;0,(VLOOKUP($J28,'Allocation Factors'!$B$12:$AU$603,35,FALSE)*$H28),0)</f>
        <v>15.589948660796299</v>
      </c>
      <c r="AU28" s="200">
        <f ca="1">IF($L28&lt;&gt;0,VLOOKUP($N28,'Allocation Factors'!$B$12:$AU$603,36,FALSE)*$L28,0)+IF($H28&lt;&gt;0,(VLOOKUP($J28,'Allocation Factors'!$B$12:$AU$603,36,FALSE)*$H28),0)</f>
        <v>0</v>
      </c>
      <c r="AV28" s="200">
        <f ca="1">IF($L28&lt;&gt;0,VLOOKUP($N28,'Allocation Factors'!$B$12:$AU$603,37,FALSE)*$L28,0)+IF($H28&lt;&gt;0,(VLOOKUP($J28,'Allocation Factors'!$B$12:$AU$603,37,FALSE)*$H28),0)</f>
        <v>1.5461789749967711</v>
      </c>
      <c r="AW28" s="200">
        <f ca="1">IF($L28&lt;&gt;0,VLOOKUP($N28,'Allocation Factors'!$B$12:$AU$603,38,FALSE)*$L28,0)+IF($H28&lt;&gt;0,(VLOOKUP($J28,'Allocation Factors'!$B$12:$AU$603,38,FALSE)*$H28),0)</f>
        <v>0</v>
      </c>
      <c r="AX28" s="200">
        <f ca="1">IF($L28&lt;&gt;0,VLOOKUP($N28,'Allocation Factors'!$B$12:$AU$603,39,FALSE)*$L28,0)+IF($H28&lt;&gt;0,(VLOOKUP($J28,'Allocation Factors'!$B$12:$AU$603,39,FALSE)*$H28),0)</f>
        <v>0</v>
      </c>
      <c r="AY28" s="200">
        <f ca="1">IF($L28&lt;&gt;0,VLOOKUP($N28,'Allocation Factors'!$B$12:$AU$603,40,FALSE)*$L28,0)+IF($H28&lt;&gt;0,(VLOOKUP($J28,'Allocation Factors'!$B$12:$AU$603,40,FALSE)*$H28),0)</f>
        <v>0</v>
      </c>
      <c r="AZ28" s="200">
        <f ca="1">IF($L28&lt;&gt;0,VLOOKUP($N28,'Allocation Factors'!$B$12:$AU$603,41,FALSE)*$L28,0)+IF($H28&lt;&gt;0,(VLOOKUP($J28,'Allocation Factors'!$B$12:$AU$603,41,FALSE)*$H28),0)</f>
        <v>0</v>
      </c>
      <c r="BA28" s="200">
        <f ca="1">IF($L28&lt;&gt;0,VLOOKUP($N28,'Allocation Factors'!$B$12:$AU$603,42,FALSE)*$L28,0)+IF($H28&lt;&gt;0,(VLOOKUP($J28,'Allocation Factors'!$B$12:$AU$603,42,FALSE)*$H28),0)</f>
        <v>0</v>
      </c>
      <c r="BB28" s="200">
        <f ca="1">IF($L28&lt;&gt;0,VLOOKUP($N28,'Allocation Factors'!$B$12:$AU$603,43,FALSE)*$L28,0)+IF($H28&lt;&gt;0,(VLOOKUP($J28,'Allocation Factors'!$B$12:$AU$603,43,FALSE)*$H28),0)</f>
        <v>1233.9031329898801</v>
      </c>
      <c r="BC28" s="200">
        <f ca="1">IF($L28&lt;&gt;0,VLOOKUP($N28,'Allocation Factors'!$B$12:$AU$603,44,FALSE)*$L28,0)+IF($H28&lt;&gt;0,(VLOOKUP($J28,'Allocation Factors'!$B$12:$AU$603,44,FALSE)*$H28),0)</f>
        <v>0</v>
      </c>
      <c r="BD28" s="200">
        <f ca="1">IF($L28&lt;&gt;0,VLOOKUP($N28,'Allocation Factors'!$B$12:$AU$603,45,FALSE)*$L28,0)+IF($H28&lt;&gt;0,(VLOOKUP($J28,'Allocation Factors'!$B$12:$AU$603,45,FALSE)*$H28),0)</f>
        <v>0</v>
      </c>
      <c r="BE28" s="200">
        <f ca="1">IF($L28&lt;&gt;0,VLOOKUP($N28,'Allocation Factors'!$B$12:$AU$603,46,FALSE)*$L28,0)+IF($H28&lt;&gt;0,(VLOOKUP($J28,'Allocation Factors'!$B$12:$AU$603,46,FALSE)*$H28),0)</f>
        <v>0</v>
      </c>
    </row>
    <row r="29" spans="1:57" x14ac:dyDescent="0.25">
      <c r="A29" s="2">
        <f t="shared" ref="A29:A34" si="6">A28+1</f>
        <v>15</v>
      </c>
      <c r="B29" s="73" t="s">
        <v>117</v>
      </c>
      <c r="D29" s="200">
        <f ca="1">'Transmission Class'!T164</f>
        <v>47264.710948384934</v>
      </c>
      <c r="E29" s="200"/>
      <c r="F29" s="200">
        <f ca="1">'Transmission Class'!T180</f>
        <v>47264.710948384934</v>
      </c>
      <c r="L29" s="200">
        <f t="shared" ca="1" si="5"/>
        <v>47264.710948384934</v>
      </c>
      <c r="N29" s="91" t="s">
        <v>262</v>
      </c>
      <c r="P29" s="200">
        <f ca="1">IF($L29&lt;&gt;0,VLOOKUP($N29,'Allocation Factors'!$B$12:$AU$603,5,FALSE)*$L29,0)+IF($H29&lt;&gt;0,(VLOOKUP($J29,'Allocation Factors'!$B$12:$AU$603,5,FALSE)*$H29),0)</f>
        <v>6927.9477819022068</v>
      </c>
      <c r="Q29" s="200">
        <f ca="1">IF($L29&lt;&gt;0,VLOOKUP($N29,'Allocation Factors'!$B$12:$AU$603,6,FALSE)*$L29,0)+IF($H29&lt;&gt;0,(VLOOKUP($J29,'Allocation Factors'!$B$12:$AU$603,6,FALSE)*$H29),0)</f>
        <v>6182.4494127536509</v>
      </c>
      <c r="R29" s="200">
        <f ca="1">IF($L29&lt;&gt;0,VLOOKUP($N29,'Allocation Factors'!$B$12:$AU$603,7,FALSE)*$L29,0)+IF($H29&lt;&gt;0,(VLOOKUP($J29,'Allocation Factors'!$B$12:$AU$603,7,FALSE)*$H29),0)</f>
        <v>0</v>
      </c>
      <c r="S29" s="200">
        <f ca="1">IF($L29&lt;&gt;0,VLOOKUP($N29,'Allocation Factors'!$B$12:$AU$603,8,FALSE)*$L29,0)+IF($H29&lt;&gt;0,(VLOOKUP($J29,'Allocation Factors'!$B$12:$AU$603,8,FALSE)*$H29),0)</f>
        <v>21.806402078284236</v>
      </c>
      <c r="T29" s="200">
        <f ca="1">IF($L29&lt;&gt;0,VLOOKUP($N29,'Allocation Factors'!$B$12:$AU$603,9,FALSE)*$L29,0)+IF($H29&lt;&gt;0,(VLOOKUP($J29,'Allocation Factors'!$B$12:$AU$603,9,FALSE)*$H29),0)</f>
        <v>709.39418846774333</v>
      </c>
      <c r="U29" s="200">
        <f ca="1">IF($L29&lt;&gt;0,VLOOKUP($N29,'Allocation Factors'!$B$12:$AU$603,10,FALSE)*$L29,0)+IF($H29&lt;&gt;0,(VLOOKUP($J29,'Allocation Factors'!$B$12:$AU$603,10,FALSE)*$H29),0)</f>
        <v>149.08594257916192</v>
      </c>
      <c r="V29" s="200">
        <f ca="1">IF($L29&lt;&gt;0,VLOOKUP($N29,'Allocation Factors'!$B$12:$AU$603,11,FALSE)*$L29,0)+IF($H29&lt;&gt;0,(VLOOKUP($J29,'Allocation Factors'!$B$12:$AU$603,11,FALSE)*$H29),0)</f>
        <v>0</v>
      </c>
      <c r="W29" s="200">
        <f ca="1">IF($L29&lt;&gt;0,VLOOKUP($N29,'Allocation Factors'!$B$12:$AU$603,12,FALSE)*$L29,0)+IF($H29&lt;&gt;0,(VLOOKUP($J29,'Allocation Factors'!$B$12:$AU$603,12,FALSE)*$H29),0)</f>
        <v>2.471880309514451</v>
      </c>
      <c r="X29" s="200">
        <f ca="1">IF($L29&lt;&gt;0,VLOOKUP($N29,'Allocation Factors'!$B$12:$AU$603,13,FALSE)*$L29,0)+IF($H29&lt;&gt;0,(VLOOKUP($J29,'Allocation Factors'!$B$12:$AU$603,13,FALSE)*$H29),0)</f>
        <v>0</v>
      </c>
      <c r="Y29" s="200">
        <f ca="1">IF($L29&lt;&gt;0,VLOOKUP($N29,'Allocation Factors'!$B$12:$AU$603,14,FALSE)*$L29,0)+IF($H29&lt;&gt;0,(VLOOKUP($J29,'Allocation Factors'!$B$12:$AU$603,14,FALSE)*$H29),0)</f>
        <v>0</v>
      </c>
      <c r="Z29" s="200">
        <f ca="1">IF($L29&lt;&gt;0,VLOOKUP($N29,'Allocation Factors'!$B$12:$AU$603,15,FALSE)*$L29,0)+IF($H29&lt;&gt;0,(VLOOKUP($J29,'Allocation Factors'!$B$12:$AU$603,15,FALSE)*$H29),0)</f>
        <v>164.48455028807896</v>
      </c>
      <c r="AA29" s="200">
        <f ca="1">IF($L29&lt;&gt;0,VLOOKUP($N29,'Allocation Factors'!$B$12:$AU$603,16,FALSE)*$L29,0)+IF($H29&lt;&gt;0,(VLOOKUP($J29,'Allocation Factors'!$B$12:$AU$603,16,FALSE)*$H29),0)</f>
        <v>0</v>
      </c>
      <c r="AB29" s="200">
        <f ca="1">IF($L29&lt;&gt;0,VLOOKUP($N29,'Allocation Factors'!$B$12:$AU$603,17,FALSE)*$L29,0)+IF($H29&lt;&gt;0,(VLOOKUP($J29,'Allocation Factors'!$B$12:$AU$603,17,FALSE)*$H29),0)</f>
        <v>88.760595432766721</v>
      </c>
      <c r="AC29" s="200">
        <f ca="1">IF($L29&lt;&gt;0,VLOOKUP($N29,'Allocation Factors'!$B$12:$AU$603,18,FALSE)*$L29,0)+IF($H29&lt;&gt;0,(VLOOKUP($J29,'Allocation Factors'!$B$12:$AU$603,18,FALSE)*$H29),0)</f>
        <v>1275.3274609435757</v>
      </c>
      <c r="AD29" s="200">
        <f ca="1">IF($L29&lt;&gt;0,VLOOKUP($N29,'Allocation Factors'!$B$12:$AU$603,19,FALSE)*$L29,0)+IF($H29&lt;&gt;0,(VLOOKUP($J29,'Allocation Factors'!$B$12:$AU$603,19,FALSE)*$H29),0)</f>
        <v>376.49991914730157</v>
      </c>
      <c r="AE29" s="200">
        <f ca="1">IF($L29&lt;&gt;0,VLOOKUP($N29,'Allocation Factors'!$B$12:$AU$603,20,FALSE)*$L29,0)+IF($H29&lt;&gt;0,(VLOOKUP($J29,'Allocation Factors'!$B$12:$AU$603,20,FALSE)*$H29),0)</f>
        <v>85.365243605861821</v>
      </c>
      <c r="AF29" s="200">
        <f ca="1">IF($L29&lt;&gt;0,VLOOKUP($N29,'Allocation Factors'!$B$12:$AU$603,21,FALSE)*$L29,0)+IF($H29&lt;&gt;0,(VLOOKUP($J29,'Allocation Factors'!$B$12:$AU$603,21,FALSE)*$H29),0)</f>
        <v>0</v>
      </c>
      <c r="AG29" s="200">
        <f ca="1">IF($L29&lt;&gt;0,VLOOKUP($N29,'Allocation Factors'!$B$12:$AU$603,22,FALSE)*$L29,0)+IF($H29&lt;&gt;0,(VLOOKUP($J29,'Allocation Factors'!$B$12:$AU$603,22,FALSE)*$H29),0)</f>
        <v>0</v>
      </c>
      <c r="AH29" s="200">
        <f ca="1">IF($L29&lt;&gt;0,VLOOKUP($N29,'Allocation Factors'!$B$12:$AU$603,23,FALSE)*$L29,0)+IF($H29&lt;&gt;0,(VLOOKUP($J29,'Allocation Factors'!$B$12:$AU$603,23,FALSE)*$H29),0)</f>
        <v>4080.6642854714346</v>
      </c>
      <c r="AI29" s="200">
        <f ca="1">IF($L29&lt;&gt;0,VLOOKUP($N29,'Allocation Factors'!$B$12:$AU$603,24,FALSE)*$L29,0)+IF($H29&lt;&gt;0,(VLOOKUP($J29,'Allocation Factors'!$B$12:$AU$603,24,FALSE)*$H29),0)</f>
        <v>1512.0052361588023</v>
      </c>
      <c r="AJ29" s="200">
        <f ca="1">IF($L29&lt;&gt;0,VLOOKUP($N29,'Allocation Factors'!$B$12:$AU$603,25,FALSE)*$L29,0)+IF($H29&lt;&gt;0,(VLOOKUP($J29,'Allocation Factors'!$B$12:$AU$603,25,FALSE)*$H29),0)</f>
        <v>538.22457714382222</v>
      </c>
      <c r="AK29" s="200">
        <f ca="1">IF($L29&lt;&gt;0,VLOOKUP($N29,'Allocation Factors'!$B$12:$AU$603,26,FALSE)*$L29,0)+IF($H29&lt;&gt;0,(VLOOKUP($J29,'Allocation Factors'!$B$12:$AU$603,26,FALSE)*$H29),0)</f>
        <v>0</v>
      </c>
      <c r="AL29" s="200">
        <f ca="1">IF($L29&lt;&gt;0,VLOOKUP($N29,'Allocation Factors'!$B$12:$AU$603,27,FALSE)*$L29,0)+IF($H29&lt;&gt;0,(VLOOKUP($J29,'Allocation Factors'!$B$12:$AU$603,27,FALSE)*$H29),0)</f>
        <v>4.7281590399876503</v>
      </c>
      <c r="AM29" s="200">
        <f ca="1">IF($L29&lt;&gt;0,VLOOKUP($N29,'Allocation Factors'!$B$12:$AU$603,28,FALSE)*$L29,0)+IF($H29&lt;&gt;0,(VLOOKUP($J29,'Allocation Factors'!$B$12:$AU$603,28,FALSE)*$H29),0)</f>
        <v>0</v>
      </c>
      <c r="AN29" s="200">
        <f ca="1">IF($L29&lt;&gt;0,VLOOKUP($N29,'Allocation Factors'!$B$12:$AU$603,29,FALSE)*$L29,0)+IF($H29&lt;&gt;0,(VLOOKUP($J29,'Allocation Factors'!$B$12:$AU$603,29,FALSE)*$H29),0)</f>
        <v>796.12902815585721</v>
      </c>
      <c r="AO29" s="200">
        <f ca="1">IF($L29&lt;&gt;0,VLOOKUP($N29,'Allocation Factors'!$B$12:$AU$603,30,FALSE)*$L29,0)+IF($H29&lt;&gt;0,(VLOOKUP($J29,'Allocation Factors'!$B$12:$AU$603,30,FALSE)*$H29),0)</f>
        <v>0</v>
      </c>
      <c r="AP29" s="200">
        <f ca="1">IF($L29&lt;&gt;0,VLOOKUP($N29,'Allocation Factors'!$B$12:$AU$603,31,FALSE)*$L29,0)+IF($H29&lt;&gt;0,(VLOOKUP($J29,'Allocation Factors'!$B$12:$AU$603,31,FALSE)*$H29),0)</f>
        <v>64.993478909879144</v>
      </c>
      <c r="AQ29" s="200">
        <f ca="1">IF($L29&lt;&gt;0,VLOOKUP($N29,'Allocation Factors'!$B$12:$AU$603,32,FALSE)*$L29,0)+IF($H29&lt;&gt;0,(VLOOKUP($J29,'Allocation Factors'!$B$12:$AU$603,32,FALSE)*$H29),0)</f>
        <v>0</v>
      </c>
      <c r="AR29" s="200">
        <f ca="1">IF($L29&lt;&gt;0,VLOOKUP($N29,'Allocation Factors'!$B$12:$AU$603,33,FALSE)*$L29,0)+IF($H29&lt;&gt;0,(VLOOKUP($J29,'Allocation Factors'!$B$12:$AU$603,33,FALSE)*$H29),0)</f>
        <v>0</v>
      </c>
      <c r="AS29" s="200">
        <f ca="1">IF($L29&lt;&gt;0,VLOOKUP($N29,'Allocation Factors'!$B$12:$AU$603,34,FALSE)*$L29,0)+IF($H29&lt;&gt;0,(VLOOKUP($J29,'Allocation Factors'!$B$12:$AU$603,34,FALSE)*$H29),0)</f>
        <v>0</v>
      </c>
      <c r="AT29" s="200">
        <f ca="1">IF($L29&lt;&gt;0,VLOOKUP($N29,'Allocation Factors'!$B$12:$AU$603,35,FALSE)*$L29,0)+IF($H29&lt;&gt;0,(VLOOKUP($J29,'Allocation Factors'!$B$12:$AU$603,35,FALSE)*$H29),0)</f>
        <v>0</v>
      </c>
      <c r="AU29" s="200">
        <f ca="1">IF($L29&lt;&gt;0,VLOOKUP($N29,'Allocation Factors'!$B$12:$AU$603,36,FALSE)*$L29,0)+IF($H29&lt;&gt;0,(VLOOKUP($J29,'Allocation Factors'!$B$12:$AU$603,36,FALSE)*$H29),0)</f>
        <v>0</v>
      </c>
      <c r="AV29" s="200">
        <f ca="1">IF($L29&lt;&gt;0,VLOOKUP($N29,'Allocation Factors'!$B$12:$AU$603,37,FALSE)*$L29,0)+IF($H29&lt;&gt;0,(VLOOKUP($J29,'Allocation Factors'!$B$12:$AU$603,37,FALSE)*$H29),0)</f>
        <v>0</v>
      </c>
      <c r="AW29" s="200">
        <f ca="1">IF($L29&lt;&gt;0,VLOOKUP($N29,'Allocation Factors'!$B$12:$AU$603,38,FALSE)*$L29,0)+IF($H29&lt;&gt;0,(VLOOKUP($J29,'Allocation Factors'!$B$12:$AU$603,38,FALSE)*$H29),0)</f>
        <v>0</v>
      </c>
      <c r="AX29" s="200">
        <f ca="1">IF($L29&lt;&gt;0,VLOOKUP($N29,'Allocation Factors'!$B$12:$AU$603,39,FALSE)*$L29,0)+IF($H29&lt;&gt;0,(VLOOKUP($J29,'Allocation Factors'!$B$12:$AU$603,39,FALSE)*$H29),0)</f>
        <v>0</v>
      </c>
      <c r="AY29" s="200">
        <f ca="1">IF($L29&lt;&gt;0,VLOOKUP($N29,'Allocation Factors'!$B$12:$AU$603,40,FALSE)*$L29,0)+IF($H29&lt;&gt;0,(VLOOKUP($J29,'Allocation Factors'!$B$12:$AU$603,40,FALSE)*$H29),0)</f>
        <v>0</v>
      </c>
      <c r="AZ29" s="200">
        <f ca="1">IF($L29&lt;&gt;0,VLOOKUP($N29,'Allocation Factors'!$B$12:$AU$603,41,FALSE)*$L29,0)+IF($H29&lt;&gt;0,(VLOOKUP($J29,'Allocation Factors'!$B$12:$AU$603,41,FALSE)*$H29),0)</f>
        <v>328.74634484713641</v>
      </c>
      <c r="BA29" s="200">
        <f ca="1">IF($L29&lt;&gt;0,VLOOKUP($N29,'Allocation Factors'!$B$12:$AU$603,42,FALSE)*$L29,0)+IF($H29&lt;&gt;0,(VLOOKUP($J29,'Allocation Factors'!$B$12:$AU$603,42,FALSE)*$H29),0)</f>
        <v>0</v>
      </c>
      <c r="BB29" s="200">
        <f ca="1">IF($L29&lt;&gt;0,VLOOKUP($N29,'Allocation Factors'!$B$12:$AU$603,43,FALSE)*$L29,0)+IF($H29&lt;&gt;0,(VLOOKUP($J29,'Allocation Factors'!$B$12:$AU$603,43,FALSE)*$H29),0)</f>
        <v>23955.626461149863</v>
      </c>
      <c r="BC29" s="200">
        <f ca="1">IF($L29&lt;&gt;0,VLOOKUP($N29,'Allocation Factors'!$B$12:$AU$603,44,FALSE)*$L29,0)+IF($H29&lt;&gt;0,(VLOOKUP($J29,'Allocation Factors'!$B$12:$AU$603,44,FALSE)*$H29),0)</f>
        <v>0</v>
      </c>
      <c r="BD29" s="200">
        <f ca="1">IF($L29&lt;&gt;0,VLOOKUP($N29,'Allocation Factors'!$B$12:$AU$603,45,FALSE)*$L29,0)+IF($H29&lt;&gt;0,(VLOOKUP($J29,'Allocation Factors'!$B$12:$AU$603,45,FALSE)*$H29),0)</f>
        <v>0</v>
      </c>
      <c r="BE29" s="200">
        <f ca="1">IF($L29&lt;&gt;0,VLOOKUP($N29,'Allocation Factors'!$B$12:$AU$603,46,FALSE)*$L29,0)+IF($H29&lt;&gt;0,(VLOOKUP($J29,'Allocation Factors'!$B$12:$AU$603,46,FALSE)*$H29),0)</f>
        <v>0</v>
      </c>
    </row>
    <row r="30" spans="1:57" x14ac:dyDescent="0.25">
      <c r="A30" s="2">
        <f t="shared" si="6"/>
        <v>16</v>
      </c>
      <c r="B30" s="73" t="s">
        <v>375</v>
      </c>
      <c r="D30" s="200">
        <f ca="1">'Transmission Class'!V164</f>
        <v>243137.02190119354</v>
      </c>
      <c r="E30" s="200"/>
      <c r="F30" s="200">
        <f ca="1">'Transmission Class'!V180</f>
        <v>243137.02190119354</v>
      </c>
      <c r="L30" s="200">
        <f t="shared" ca="1" si="5"/>
        <v>243137.02190119354</v>
      </c>
      <c r="N30" s="91" t="s">
        <v>250</v>
      </c>
      <c r="P30" s="200">
        <f ca="1">IF($L30&lt;&gt;0,VLOOKUP($N30,'Allocation Factors'!$B$12:$AU$603,5,FALSE)*$L30,0)+IF($H30&lt;&gt;0,(VLOOKUP($J30,'Allocation Factors'!$B$12:$AU$603,5,FALSE)*$H30),0)</f>
        <v>46854.112776776812</v>
      </c>
      <c r="Q30" s="200">
        <f ca="1">IF($L30&lt;&gt;0,VLOOKUP($N30,'Allocation Factors'!$B$12:$AU$603,6,FALSE)*$L30,0)+IF($H30&lt;&gt;0,(VLOOKUP($J30,'Allocation Factors'!$B$12:$AU$603,6,FALSE)*$H30),0)</f>
        <v>41812.26405582716</v>
      </c>
      <c r="R30" s="200">
        <f ca="1">IF($L30&lt;&gt;0,VLOOKUP($N30,'Allocation Factors'!$B$12:$AU$603,7,FALSE)*$L30,0)+IF($H30&lt;&gt;0,(VLOOKUP($J30,'Allocation Factors'!$B$12:$AU$603,7,FALSE)*$H30),0)</f>
        <v>0</v>
      </c>
      <c r="S30" s="200">
        <f ca="1">IF($L30&lt;&gt;0,VLOOKUP($N30,'Allocation Factors'!$B$12:$AU$603,8,FALSE)*$L30,0)+IF($H30&lt;&gt;0,(VLOOKUP($J30,'Allocation Factors'!$B$12:$AU$603,8,FALSE)*$H30),0)</f>
        <v>147.47796236292302</v>
      </c>
      <c r="T30" s="200">
        <f ca="1">IF($L30&lt;&gt;0,VLOOKUP($N30,'Allocation Factors'!$B$12:$AU$603,9,FALSE)*$L30,0)+IF($H30&lt;&gt;0,(VLOOKUP($J30,'Allocation Factors'!$B$12:$AU$603,9,FALSE)*$H30),0)</f>
        <v>4797.6740524062589</v>
      </c>
      <c r="U30" s="200">
        <f ca="1">IF($L30&lt;&gt;0,VLOOKUP($N30,'Allocation Factors'!$B$12:$AU$603,10,FALSE)*$L30,0)+IF($H30&lt;&gt;0,(VLOOKUP($J30,'Allocation Factors'!$B$12:$AU$603,10,FALSE)*$H30),0)</f>
        <v>1008.2768789458416</v>
      </c>
      <c r="V30" s="200">
        <f ca="1">IF($L30&lt;&gt;0,VLOOKUP($N30,'Allocation Factors'!$B$12:$AU$603,11,FALSE)*$L30,0)+IF($H30&lt;&gt;0,(VLOOKUP($J30,'Allocation Factors'!$B$12:$AU$603,11,FALSE)*$H30),0)</f>
        <v>0</v>
      </c>
      <c r="W30" s="200">
        <f ca="1">IF($L30&lt;&gt;0,VLOOKUP($N30,'Allocation Factors'!$B$12:$AU$603,12,FALSE)*$L30,0)+IF($H30&lt;&gt;0,(VLOOKUP($J30,'Allocation Factors'!$B$12:$AU$603,12,FALSE)*$H30),0)</f>
        <v>16.717469940410545</v>
      </c>
      <c r="X30" s="200">
        <f ca="1">IF($L30&lt;&gt;0,VLOOKUP($N30,'Allocation Factors'!$B$12:$AU$603,13,FALSE)*$L30,0)+IF($H30&lt;&gt;0,(VLOOKUP($J30,'Allocation Factors'!$B$12:$AU$603,13,FALSE)*$H30),0)</f>
        <v>0</v>
      </c>
      <c r="Y30" s="200">
        <f ca="1">IF($L30&lt;&gt;0,VLOOKUP($N30,'Allocation Factors'!$B$12:$AU$603,14,FALSE)*$L30,0)+IF($H30&lt;&gt;0,(VLOOKUP($J30,'Allocation Factors'!$B$12:$AU$603,14,FALSE)*$H30),0)</f>
        <v>0</v>
      </c>
      <c r="Z30" s="200">
        <f ca="1">IF($L30&lt;&gt;0,VLOOKUP($N30,'Allocation Factors'!$B$12:$AU$603,15,FALSE)*$L30,0)+IF($H30&lt;&gt;0,(VLOOKUP($J30,'Allocation Factors'!$B$12:$AU$603,15,FALSE)*$H30),0)</f>
        <v>1112.4185562378786</v>
      </c>
      <c r="AA30" s="200">
        <f ca="1">IF($L30&lt;&gt;0,VLOOKUP($N30,'Allocation Factors'!$B$12:$AU$603,16,FALSE)*$L30,0)+IF($H30&lt;&gt;0,(VLOOKUP($J30,'Allocation Factors'!$B$12:$AU$603,16,FALSE)*$H30),0)</f>
        <v>0</v>
      </c>
      <c r="AB30" s="200">
        <f ca="1">IF($L30&lt;&gt;0,VLOOKUP($N30,'Allocation Factors'!$B$12:$AU$603,17,FALSE)*$L30,0)+IF($H30&lt;&gt;0,(VLOOKUP($J30,'Allocation Factors'!$B$12:$AU$603,17,FALSE)*$H30),0)</f>
        <v>309.08618207111925</v>
      </c>
      <c r="AC30" s="200">
        <f ca="1">IF($L30&lt;&gt;0,VLOOKUP($N30,'Allocation Factors'!$B$12:$AU$603,18,FALSE)*$L30,0)+IF($H30&lt;&gt;0,(VLOOKUP($J30,'Allocation Factors'!$B$12:$AU$603,18,FALSE)*$H30),0)</f>
        <v>8625.113607014513</v>
      </c>
      <c r="AD30" s="200">
        <f ca="1">IF($L30&lt;&gt;0,VLOOKUP($N30,'Allocation Factors'!$B$12:$AU$603,19,FALSE)*$L30,0)+IF($H30&lt;&gt;0,(VLOOKUP($J30,'Allocation Factors'!$B$12:$AU$603,19,FALSE)*$H30),0)</f>
        <v>2546.290795992611</v>
      </c>
      <c r="AE30" s="200">
        <f ca="1">IF($L30&lt;&gt;0,VLOOKUP($N30,'Allocation Factors'!$B$12:$AU$603,20,FALSE)*$L30,0)+IF($H30&lt;&gt;0,(VLOOKUP($J30,'Allocation Factors'!$B$12:$AU$603,20,FALSE)*$H30),0)</f>
        <v>577.33009500655817</v>
      </c>
      <c r="AF30" s="200">
        <f ca="1">IF($L30&lt;&gt;0,VLOOKUP($N30,'Allocation Factors'!$B$12:$AU$603,21,FALSE)*$L30,0)+IF($H30&lt;&gt;0,(VLOOKUP($J30,'Allocation Factors'!$B$12:$AU$603,21,FALSE)*$H30),0)</f>
        <v>0</v>
      </c>
      <c r="AG30" s="200">
        <f ca="1">IF($L30&lt;&gt;0,VLOOKUP($N30,'Allocation Factors'!$B$12:$AU$603,22,FALSE)*$L30,0)+IF($H30&lt;&gt;0,(VLOOKUP($J30,'Allocation Factors'!$B$12:$AU$603,22,FALSE)*$H30),0)</f>
        <v>0</v>
      </c>
      <c r="AH30" s="200">
        <f ca="1">IF($L30&lt;&gt;0,VLOOKUP($N30,'Allocation Factors'!$B$12:$AU$603,23,FALSE)*$L30,0)+IF($H30&lt;&gt;0,(VLOOKUP($J30,'Allocation Factors'!$B$12:$AU$603,23,FALSE)*$H30),0)</f>
        <v>27597.769304079146</v>
      </c>
      <c r="AI30" s="200">
        <f ca="1">IF($L30&lt;&gt;0,VLOOKUP($N30,'Allocation Factors'!$B$12:$AU$603,24,FALSE)*$L30,0)+IF($H30&lt;&gt;0,(VLOOKUP($J30,'Allocation Factors'!$B$12:$AU$603,24,FALSE)*$H30),0)</f>
        <v>10225.77913175466</v>
      </c>
      <c r="AJ30" s="200">
        <f ca="1">IF($L30&lt;&gt;0,VLOOKUP($N30,'Allocation Factors'!$B$12:$AU$603,25,FALSE)*$L30,0)+IF($H30&lt;&gt;0,(VLOOKUP($J30,'Allocation Factors'!$B$12:$AU$603,25,FALSE)*$H30),0)</f>
        <v>3640.0440405463814</v>
      </c>
      <c r="AK30" s="200">
        <f ca="1">IF($L30&lt;&gt;0,VLOOKUP($N30,'Allocation Factors'!$B$12:$AU$603,26,FALSE)*$L30,0)+IF($H30&lt;&gt;0,(VLOOKUP($J30,'Allocation Factors'!$B$12:$AU$603,26,FALSE)*$H30),0)</f>
        <v>0</v>
      </c>
      <c r="AL30" s="200">
        <f ca="1">IF($L30&lt;&gt;0,VLOOKUP($N30,'Allocation Factors'!$B$12:$AU$603,27,FALSE)*$L30,0)+IF($H30&lt;&gt;0,(VLOOKUP($J30,'Allocation Factors'!$B$12:$AU$603,27,FALSE)*$H30),0)</f>
        <v>31.976813893549817</v>
      </c>
      <c r="AM30" s="200">
        <f ca="1">IF($L30&lt;&gt;0,VLOOKUP($N30,'Allocation Factors'!$B$12:$AU$603,28,FALSE)*$L30,0)+IF($H30&lt;&gt;0,(VLOOKUP($J30,'Allocation Factors'!$B$12:$AU$603,28,FALSE)*$H30),0)</f>
        <v>0</v>
      </c>
      <c r="AN30" s="200">
        <f ca="1">IF($L30&lt;&gt;0,VLOOKUP($N30,'Allocation Factors'!$B$12:$AU$603,29,FALSE)*$L30,0)+IF($H30&lt;&gt;0,(VLOOKUP($J30,'Allocation Factors'!$B$12:$AU$603,29,FALSE)*$H30),0)</f>
        <v>5384.2668051747733</v>
      </c>
      <c r="AO30" s="200">
        <f ca="1">IF($L30&lt;&gt;0,VLOOKUP($N30,'Allocation Factors'!$B$12:$AU$603,30,FALSE)*$L30,0)+IF($H30&lt;&gt;0,(VLOOKUP($J30,'Allocation Factors'!$B$12:$AU$603,30,FALSE)*$H30),0)</f>
        <v>0</v>
      </c>
      <c r="AP30" s="200">
        <f ca="1">IF($L30&lt;&gt;0,VLOOKUP($N30,'Allocation Factors'!$B$12:$AU$603,31,FALSE)*$L30,0)+IF($H30&lt;&gt;0,(VLOOKUP($J30,'Allocation Factors'!$B$12:$AU$603,31,FALSE)*$H30),0)</f>
        <v>439.55466849122502</v>
      </c>
      <c r="AQ30" s="200">
        <f ca="1">IF($L30&lt;&gt;0,VLOOKUP($N30,'Allocation Factors'!$B$12:$AU$603,32,FALSE)*$L30,0)+IF($H30&lt;&gt;0,(VLOOKUP($J30,'Allocation Factors'!$B$12:$AU$603,32,FALSE)*$H30),0)</f>
        <v>0</v>
      </c>
      <c r="AR30" s="200">
        <f ca="1">IF($L30&lt;&gt;0,VLOOKUP($N30,'Allocation Factors'!$B$12:$AU$603,33,FALSE)*$L30,0)+IF($H30&lt;&gt;0,(VLOOKUP($J30,'Allocation Factors'!$B$12:$AU$603,33,FALSE)*$H30),0)</f>
        <v>1180.3027119536505</v>
      </c>
      <c r="AS30" s="200">
        <f ca="1">IF($L30&lt;&gt;0,VLOOKUP($N30,'Allocation Factors'!$B$12:$AU$603,34,FALSE)*$L30,0)+IF($H30&lt;&gt;0,(VLOOKUP($J30,'Allocation Factors'!$B$12:$AU$603,34,FALSE)*$H30),0)</f>
        <v>0</v>
      </c>
      <c r="AT30" s="200">
        <f ca="1">IF($L30&lt;&gt;0,VLOOKUP($N30,'Allocation Factors'!$B$12:$AU$603,35,FALSE)*$L30,0)+IF($H30&lt;&gt;0,(VLOOKUP($J30,'Allocation Factors'!$B$12:$AU$603,35,FALSE)*$H30),0)</f>
        <v>14908.243049772875</v>
      </c>
      <c r="AU30" s="200">
        <f ca="1">IF($L30&lt;&gt;0,VLOOKUP($N30,'Allocation Factors'!$B$12:$AU$603,36,FALSE)*$L30,0)+IF($H30&lt;&gt;0,(VLOOKUP($J30,'Allocation Factors'!$B$12:$AU$603,36,FALSE)*$H30),0)</f>
        <v>0</v>
      </c>
      <c r="AV30" s="200">
        <f ca="1">IF($L30&lt;&gt;0,VLOOKUP($N30,'Allocation Factors'!$B$12:$AU$603,37,FALSE)*$L30,0)+IF($H30&lt;&gt;0,(VLOOKUP($J30,'Allocation Factors'!$B$12:$AU$603,37,FALSE)*$H30),0)</f>
        <v>1478.568817591166</v>
      </c>
      <c r="AW30" s="200">
        <f ca="1">IF($L30&lt;&gt;0,VLOOKUP($N30,'Allocation Factors'!$B$12:$AU$603,38,FALSE)*$L30,0)+IF($H30&lt;&gt;0,(VLOOKUP($J30,'Allocation Factors'!$B$12:$AU$603,38,FALSE)*$H30),0)</f>
        <v>0</v>
      </c>
      <c r="AX30" s="200">
        <f ca="1">IF($L30&lt;&gt;0,VLOOKUP($N30,'Allocation Factors'!$B$12:$AU$603,39,FALSE)*$L30,0)+IF($H30&lt;&gt;0,(VLOOKUP($J30,'Allocation Factors'!$B$12:$AU$603,39,FALSE)*$H30),0)</f>
        <v>0</v>
      </c>
      <c r="AY30" s="200">
        <f ca="1">IF($L30&lt;&gt;0,VLOOKUP($N30,'Allocation Factors'!$B$12:$AU$603,40,FALSE)*$L30,0)+IF($H30&lt;&gt;0,(VLOOKUP($J30,'Allocation Factors'!$B$12:$AU$603,40,FALSE)*$H30),0)</f>
        <v>0</v>
      </c>
      <c r="AZ30" s="200">
        <f ca="1">IF($L30&lt;&gt;0,VLOOKUP($N30,'Allocation Factors'!$B$12:$AU$603,41,FALSE)*$L30,0)+IF($H30&lt;&gt;0,(VLOOKUP($J30,'Allocation Factors'!$B$12:$AU$603,41,FALSE)*$H30),0)</f>
        <v>1144.7754727558581</v>
      </c>
      <c r="BA30" s="200">
        <f ca="1">IF($L30&lt;&gt;0,VLOOKUP($N30,'Allocation Factors'!$B$12:$AU$603,42,FALSE)*$L30,0)+IF($H30&lt;&gt;0,(VLOOKUP($J30,'Allocation Factors'!$B$12:$AU$603,42,FALSE)*$H30),0)</f>
        <v>0</v>
      </c>
      <c r="BB30" s="200">
        <f ca="1">IF($L30&lt;&gt;0,VLOOKUP($N30,'Allocation Factors'!$B$12:$AU$603,43,FALSE)*$L30,0)+IF($H30&lt;&gt;0,(VLOOKUP($J30,'Allocation Factors'!$B$12:$AU$603,43,FALSE)*$H30),0)</f>
        <v>69086.180533772742</v>
      </c>
      <c r="BC30" s="200">
        <f ca="1">IF($L30&lt;&gt;0,VLOOKUP($N30,'Allocation Factors'!$B$12:$AU$603,44,FALSE)*$L30,0)+IF($H30&lt;&gt;0,(VLOOKUP($J30,'Allocation Factors'!$B$12:$AU$603,44,FALSE)*$H30),0)</f>
        <v>0</v>
      </c>
      <c r="BD30" s="200">
        <f ca="1">IF($L30&lt;&gt;0,VLOOKUP($N30,'Allocation Factors'!$B$12:$AU$603,45,FALSE)*$L30,0)+IF($H30&lt;&gt;0,(VLOOKUP($J30,'Allocation Factors'!$B$12:$AU$603,45,FALSE)*$H30),0)</f>
        <v>0</v>
      </c>
      <c r="BE30" s="200">
        <f ca="1">IF($L30&lt;&gt;0,VLOOKUP($N30,'Allocation Factors'!$B$12:$AU$603,46,FALSE)*$L30,0)+IF($H30&lt;&gt;0,(VLOOKUP($J30,'Allocation Factors'!$B$12:$AU$603,46,FALSE)*$H30),0)</f>
        <v>212.79811882540318</v>
      </c>
    </row>
    <row r="31" spans="1:57" x14ac:dyDescent="0.25">
      <c r="A31" s="2">
        <f t="shared" si="6"/>
        <v>17</v>
      </c>
      <c r="B31" s="73" t="s">
        <v>376</v>
      </c>
      <c r="D31" s="200">
        <f ca="1">'Transmission Class'!X164</f>
        <v>36183.519639537146</v>
      </c>
      <c r="E31" s="200"/>
      <c r="F31" s="200">
        <f ca="1">'Transmission Class'!X180</f>
        <v>36183.519639537146</v>
      </c>
      <c r="L31" s="200">
        <f t="shared" ca="1" si="5"/>
        <v>36183.519639537146</v>
      </c>
      <c r="N31" s="91" t="s">
        <v>377</v>
      </c>
      <c r="P31" s="200">
        <f ca="1">IF($L31&lt;&gt;0,VLOOKUP($N31,'Allocation Factors'!$B$12:$AU$603,5,FALSE)*$L31,0)+IF($H31&lt;&gt;0,(VLOOKUP($J31,'Allocation Factors'!$B$12:$AU$603,5,FALSE)*$H31),0)</f>
        <v>4380.2579199962438</v>
      </c>
      <c r="Q31" s="200">
        <f ca="1">IF($L31&lt;&gt;0,VLOOKUP($N31,'Allocation Factors'!$B$12:$AU$603,6,FALSE)*$L31,0)+IF($H31&lt;&gt;0,(VLOOKUP($J31,'Allocation Factors'!$B$12:$AU$603,6,FALSE)*$H31),0)</f>
        <v>3908.9098038430579</v>
      </c>
      <c r="R31" s="200">
        <f ca="1">IF($L31&lt;&gt;0,VLOOKUP($N31,'Allocation Factors'!$B$12:$AU$603,7,FALSE)*$L31,0)+IF($H31&lt;&gt;0,(VLOOKUP($J31,'Allocation Factors'!$B$12:$AU$603,7,FALSE)*$H31),0)</f>
        <v>0</v>
      </c>
      <c r="S31" s="200">
        <f ca="1">IF($L31&lt;&gt;0,VLOOKUP($N31,'Allocation Factors'!$B$12:$AU$603,8,FALSE)*$L31,0)+IF($H31&lt;&gt;0,(VLOOKUP($J31,'Allocation Factors'!$B$12:$AU$603,8,FALSE)*$H31),0)</f>
        <v>13.787295807792706</v>
      </c>
      <c r="T31" s="200">
        <f ca="1">IF($L31&lt;&gt;0,VLOOKUP($N31,'Allocation Factors'!$B$12:$AU$603,9,FALSE)*$L31,0)+IF($H31&lt;&gt;0,(VLOOKUP($J31,'Allocation Factors'!$B$12:$AU$603,9,FALSE)*$H31),0)</f>
        <v>448.52091994001165</v>
      </c>
      <c r="U31" s="200">
        <f ca="1">IF($L31&lt;&gt;0,VLOOKUP($N31,'Allocation Factors'!$B$12:$AU$603,10,FALSE)*$L31,0)+IF($H31&lt;&gt;0,(VLOOKUP($J31,'Allocation Factors'!$B$12:$AU$603,10,FALSE)*$H31),0)</f>
        <v>94.260941522739842</v>
      </c>
      <c r="V31" s="200">
        <f ca="1">IF($L31&lt;&gt;0,VLOOKUP($N31,'Allocation Factors'!$B$12:$AU$603,11,FALSE)*$L31,0)+IF($H31&lt;&gt;0,(VLOOKUP($J31,'Allocation Factors'!$B$12:$AU$603,11,FALSE)*$H31),0)</f>
        <v>0</v>
      </c>
      <c r="W31" s="200">
        <f ca="1">IF($L31&lt;&gt;0,VLOOKUP($N31,'Allocation Factors'!$B$12:$AU$603,12,FALSE)*$L31,0)+IF($H31&lt;&gt;0,(VLOOKUP($J31,'Allocation Factors'!$B$12:$AU$603,12,FALSE)*$H31),0)</f>
        <v>1.5628687807546577</v>
      </c>
      <c r="X31" s="200">
        <f ca="1">IF($L31&lt;&gt;0,VLOOKUP($N31,'Allocation Factors'!$B$12:$AU$603,13,FALSE)*$L31,0)+IF($H31&lt;&gt;0,(VLOOKUP($J31,'Allocation Factors'!$B$12:$AU$603,13,FALSE)*$H31),0)</f>
        <v>0</v>
      </c>
      <c r="Y31" s="200">
        <f ca="1">IF($L31&lt;&gt;0,VLOOKUP($N31,'Allocation Factors'!$B$12:$AU$603,14,FALSE)*$L31,0)+IF($H31&lt;&gt;0,(VLOOKUP($J31,'Allocation Factors'!$B$12:$AU$603,14,FALSE)*$H31),0)</f>
        <v>0</v>
      </c>
      <c r="Z31" s="200">
        <f ca="1">IF($L31&lt;&gt;0,VLOOKUP($N31,'Allocation Factors'!$B$12:$AU$603,15,FALSE)*$L31,0)+IF($H31&lt;&gt;0,(VLOOKUP($J31,'Allocation Factors'!$B$12:$AU$603,15,FALSE)*$H31),0)</f>
        <v>103.99685113079107</v>
      </c>
      <c r="AA31" s="200">
        <f ca="1">IF($L31&lt;&gt;0,VLOOKUP($N31,'Allocation Factors'!$B$12:$AU$603,16,FALSE)*$L31,0)+IF($H31&lt;&gt;0,(VLOOKUP($J31,'Allocation Factors'!$B$12:$AU$603,16,FALSE)*$H31),0)</f>
        <v>0</v>
      </c>
      <c r="AB31" s="200">
        <f ca="1">IF($L31&lt;&gt;0,VLOOKUP($N31,'Allocation Factors'!$B$12:$AU$603,17,FALSE)*$L31,0)+IF($H31&lt;&gt;0,(VLOOKUP($J31,'Allocation Factors'!$B$12:$AU$603,17,FALSE)*$H31),0)</f>
        <v>0</v>
      </c>
      <c r="AC31" s="200">
        <f ca="1">IF($L31&lt;&gt;0,VLOOKUP($N31,'Allocation Factors'!$B$12:$AU$603,18,FALSE)*$L31,0)+IF($H31&lt;&gt;0,(VLOOKUP($J31,'Allocation Factors'!$B$12:$AU$603,18,FALSE)*$H31),0)</f>
        <v>806.33737251596006</v>
      </c>
      <c r="AD31" s="200">
        <f ca="1">IF($L31&lt;&gt;0,VLOOKUP($N31,'Allocation Factors'!$B$12:$AU$603,19,FALSE)*$L31,0)+IF($H31&lt;&gt;0,(VLOOKUP($J31,'Allocation Factors'!$B$12:$AU$603,19,FALSE)*$H31),0)</f>
        <v>238.04549408282361</v>
      </c>
      <c r="AE31" s="200">
        <f ca="1">IF($L31&lt;&gt;0,VLOOKUP($N31,'Allocation Factors'!$B$12:$AU$603,20,FALSE)*$L31,0)+IF($H31&lt;&gt;0,(VLOOKUP($J31,'Allocation Factors'!$B$12:$AU$603,20,FALSE)*$H31),0)</f>
        <v>53.972950745064246</v>
      </c>
      <c r="AF31" s="200">
        <f ca="1">IF($L31&lt;&gt;0,VLOOKUP($N31,'Allocation Factors'!$B$12:$AU$603,21,FALSE)*$L31,0)+IF($H31&lt;&gt;0,(VLOOKUP($J31,'Allocation Factors'!$B$12:$AU$603,21,FALSE)*$H31),0)</f>
        <v>0</v>
      </c>
      <c r="AG31" s="200">
        <f ca="1">IF($L31&lt;&gt;0,VLOOKUP($N31,'Allocation Factors'!$B$12:$AU$603,22,FALSE)*$L31,0)+IF($H31&lt;&gt;0,(VLOOKUP($J31,'Allocation Factors'!$B$12:$AU$603,22,FALSE)*$H31),0)</f>
        <v>0</v>
      </c>
      <c r="AH31" s="200">
        <f ca="1">IF($L31&lt;&gt;0,VLOOKUP($N31,'Allocation Factors'!$B$12:$AU$603,23,FALSE)*$L31,0)+IF($H31&lt;&gt;0,(VLOOKUP($J31,'Allocation Factors'!$B$12:$AU$603,23,FALSE)*$H31),0)</f>
        <v>2580.0370640747383</v>
      </c>
      <c r="AI31" s="200">
        <f ca="1">IF($L31&lt;&gt;0,VLOOKUP($N31,'Allocation Factors'!$B$12:$AU$603,24,FALSE)*$L31,0)+IF($H31&lt;&gt;0,(VLOOKUP($J31,'Allocation Factors'!$B$12:$AU$603,24,FALSE)*$H31),0)</f>
        <v>955.97904592489783</v>
      </c>
      <c r="AJ31" s="200">
        <f ca="1">IF($L31&lt;&gt;0,VLOOKUP($N31,'Allocation Factors'!$B$12:$AU$603,25,FALSE)*$L31,0)+IF($H31&lt;&gt;0,(VLOOKUP($J31,'Allocation Factors'!$B$12:$AU$603,25,FALSE)*$H31),0)</f>
        <v>340.29737824085328</v>
      </c>
      <c r="AK31" s="200">
        <f ca="1">IF($L31&lt;&gt;0,VLOOKUP($N31,'Allocation Factors'!$B$12:$AU$603,26,FALSE)*$L31,0)+IF($H31&lt;&gt;0,(VLOOKUP($J31,'Allocation Factors'!$B$12:$AU$603,26,FALSE)*$H31),0)</f>
        <v>0</v>
      </c>
      <c r="AL31" s="200">
        <f ca="1">IF($L31&lt;&gt;0,VLOOKUP($N31,'Allocation Factors'!$B$12:$AU$603,27,FALSE)*$L31,0)+IF($H31&lt;&gt;0,(VLOOKUP($J31,'Allocation Factors'!$B$12:$AU$603,27,FALSE)*$H31),0)</f>
        <v>2.9894215045918315</v>
      </c>
      <c r="AM31" s="200">
        <f ca="1">IF($L31&lt;&gt;0,VLOOKUP($N31,'Allocation Factors'!$B$12:$AU$603,28,FALSE)*$L31,0)+IF($H31&lt;&gt;0,(VLOOKUP($J31,'Allocation Factors'!$B$12:$AU$603,28,FALSE)*$H31),0)</f>
        <v>0</v>
      </c>
      <c r="AN31" s="200">
        <f ca="1">IF($L31&lt;&gt;0,VLOOKUP($N31,'Allocation Factors'!$B$12:$AU$603,29,FALSE)*$L31,0)+IF($H31&lt;&gt;0,(VLOOKUP($J31,'Allocation Factors'!$B$12:$AU$603,29,FALSE)*$H31),0)</f>
        <v>503.35981024976934</v>
      </c>
      <c r="AO31" s="200">
        <f ca="1">IF($L31&lt;&gt;0,VLOOKUP($N31,'Allocation Factors'!$B$12:$AU$603,30,FALSE)*$L31,0)+IF($H31&lt;&gt;0,(VLOOKUP($J31,'Allocation Factors'!$B$12:$AU$603,30,FALSE)*$H31),0)</f>
        <v>0</v>
      </c>
      <c r="AP31" s="200">
        <f ca="1">IF($L31&lt;&gt;0,VLOOKUP($N31,'Allocation Factors'!$B$12:$AU$603,31,FALSE)*$L31,0)+IF($H31&lt;&gt;0,(VLOOKUP($J31,'Allocation Factors'!$B$12:$AU$603,31,FALSE)*$H31),0)</f>
        <v>41.092717454769861</v>
      </c>
      <c r="AQ31" s="200">
        <f ca="1">IF($L31&lt;&gt;0,VLOOKUP($N31,'Allocation Factors'!$B$12:$AU$603,32,FALSE)*$L31,0)+IF($H31&lt;&gt;0,(VLOOKUP($J31,'Allocation Factors'!$B$12:$AU$603,32,FALSE)*$H31),0)</f>
        <v>0</v>
      </c>
      <c r="AR31" s="200">
        <f ca="1">IF($L31&lt;&gt;0,VLOOKUP($N31,'Allocation Factors'!$B$12:$AU$603,33,FALSE)*$L31,0)+IF($H31&lt;&gt;0,(VLOOKUP($J31,'Allocation Factors'!$B$12:$AU$603,33,FALSE)*$H31),0)</f>
        <v>0</v>
      </c>
      <c r="AS31" s="200">
        <f ca="1">IF($L31&lt;&gt;0,VLOOKUP($N31,'Allocation Factors'!$B$12:$AU$603,34,FALSE)*$L31,0)+IF($H31&lt;&gt;0,(VLOOKUP($J31,'Allocation Factors'!$B$12:$AU$603,34,FALSE)*$H31),0)</f>
        <v>0</v>
      </c>
      <c r="AT31" s="200">
        <f ca="1">IF($L31&lt;&gt;0,VLOOKUP($N31,'Allocation Factors'!$B$12:$AU$603,35,FALSE)*$L31,0)+IF($H31&lt;&gt;0,(VLOOKUP($J31,'Allocation Factors'!$B$12:$AU$603,35,FALSE)*$H31),0)</f>
        <v>0</v>
      </c>
      <c r="AU31" s="200">
        <f ca="1">IF($L31&lt;&gt;0,VLOOKUP($N31,'Allocation Factors'!$B$12:$AU$603,36,FALSE)*$L31,0)+IF($H31&lt;&gt;0,(VLOOKUP($J31,'Allocation Factors'!$B$12:$AU$603,36,FALSE)*$H31),0)</f>
        <v>0</v>
      </c>
      <c r="AV31" s="200">
        <f ca="1">IF($L31&lt;&gt;0,VLOOKUP($N31,'Allocation Factors'!$B$12:$AU$603,37,FALSE)*$L31,0)+IF($H31&lt;&gt;0,(VLOOKUP($J31,'Allocation Factors'!$B$12:$AU$603,37,FALSE)*$H31),0)</f>
        <v>0</v>
      </c>
      <c r="AW31" s="200">
        <f ca="1">IF($L31&lt;&gt;0,VLOOKUP($N31,'Allocation Factors'!$B$12:$AU$603,38,FALSE)*$L31,0)+IF($H31&lt;&gt;0,(VLOOKUP($J31,'Allocation Factors'!$B$12:$AU$603,38,FALSE)*$H31),0)</f>
        <v>0</v>
      </c>
      <c r="AX31" s="200">
        <f ca="1">IF($L31&lt;&gt;0,VLOOKUP($N31,'Allocation Factors'!$B$12:$AU$603,39,FALSE)*$L31,0)+IF($H31&lt;&gt;0,(VLOOKUP($J31,'Allocation Factors'!$B$12:$AU$603,39,FALSE)*$H31),0)</f>
        <v>21710.111783722288</v>
      </c>
      <c r="AY31" s="200">
        <f ca="1">IF($L31&lt;&gt;0,VLOOKUP($N31,'Allocation Factors'!$B$12:$AU$603,40,FALSE)*$L31,0)+IF($H31&lt;&gt;0,(VLOOKUP($J31,'Allocation Factors'!$B$12:$AU$603,40,FALSE)*$H31),0)</f>
        <v>0</v>
      </c>
      <c r="AZ31" s="200">
        <f ca="1">IF($L31&lt;&gt;0,VLOOKUP($N31,'Allocation Factors'!$B$12:$AU$603,41,FALSE)*$L31,0)+IF($H31&lt;&gt;0,(VLOOKUP($J31,'Allocation Factors'!$B$12:$AU$603,41,FALSE)*$H31),0)</f>
        <v>0</v>
      </c>
      <c r="BA31" s="200">
        <f ca="1">IF($L31&lt;&gt;0,VLOOKUP($N31,'Allocation Factors'!$B$12:$AU$603,42,FALSE)*$L31,0)+IF($H31&lt;&gt;0,(VLOOKUP($J31,'Allocation Factors'!$B$12:$AU$603,42,FALSE)*$H31),0)</f>
        <v>0</v>
      </c>
      <c r="BB31" s="200">
        <f ca="1">IF($L31&lt;&gt;0,VLOOKUP($N31,'Allocation Factors'!$B$12:$AU$603,43,FALSE)*$L31,0)+IF($H31&lt;&gt;0,(VLOOKUP($J31,'Allocation Factors'!$B$12:$AU$603,43,FALSE)*$H31),0)</f>
        <v>0</v>
      </c>
      <c r="BC31" s="200">
        <f ca="1">IF($L31&lt;&gt;0,VLOOKUP($N31,'Allocation Factors'!$B$12:$AU$603,44,FALSE)*$L31,0)+IF($H31&lt;&gt;0,(VLOOKUP($J31,'Allocation Factors'!$B$12:$AU$603,44,FALSE)*$H31),0)</f>
        <v>0</v>
      </c>
      <c r="BD31" s="200">
        <f ca="1">IF($L31&lt;&gt;0,VLOOKUP($N31,'Allocation Factors'!$B$12:$AU$603,45,FALSE)*$L31,0)+IF($H31&lt;&gt;0,(VLOOKUP($J31,'Allocation Factors'!$B$12:$AU$603,45,FALSE)*$H31),0)</f>
        <v>0</v>
      </c>
      <c r="BE31" s="200">
        <f ca="1">IF($L31&lt;&gt;0,VLOOKUP($N31,'Allocation Factors'!$B$12:$AU$603,46,FALSE)*$L31,0)+IF($H31&lt;&gt;0,(VLOOKUP($J31,'Allocation Factors'!$B$12:$AU$603,46,FALSE)*$H31),0)</f>
        <v>0</v>
      </c>
    </row>
    <row r="32" spans="1:57" x14ac:dyDescent="0.25">
      <c r="A32" s="2">
        <f t="shared" si="6"/>
        <v>18</v>
      </c>
      <c r="B32" s="73" t="s">
        <v>169</v>
      </c>
      <c r="D32" s="200">
        <f ca="1">'Transmission Class'!Z164</f>
        <v>84631.996759477537</v>
      </c>
      <c r="E32" s="200"/>
      <c r="F32" s="200">
        <f ca="1">'Transmission Class'!Z180</f>
        <v>84631.996759477537</v>
      </c>
      <c r="L32" s="200">
        <f t="shared" ca="1" si="5"/>
        <v>84631.996759477537</v>
      </c>
      <c r="N32" s="91" t="s">
        <v>260</v>
      </c>
      <c r="P32" s="200">
        <f ca="1">IF($L32&lt;&gt;0,VLOOKUP($N32,'Allocation Factors'!$B$12:$AU$603,5,FALSE)*$L32,0)+IF($H32&lt;&gt;0,(VLOOKUP($J32,'Allocation Factors'!$B$12:$AU$603,5,FALSE)*$H32),0)</f>
        <v>16207.98208461039</v>
      </c>
      <c r="Q32" s="200">
        <f ca="1">IF($L32&lt;&gt;0,VLOOKUP($N32,'Allocation Factors'!$B$12:$AU$603,6,FALSE)*$L32,0)+IF($H32&lt;&gt;0,(VLOOKUP($J32,'Allocation Factors'!$B$12:$AU$603,6,FALSE)*$H32),0)</f>
        <v>14463.883458054574</v>
      </c>
      <c r="R32" s="200">
        <f ca="1">IF($L32&lt;&gt;0,VLOOKUP($N32,'Allocation Factors'!$B$12:$AU$603,7,FALSE)*$L32,0)+IF($H32&lt;&gt;0,(VLOOKUP($J32,'Allocation Factors'!$B$12:$AU$603,7,FALSE)*$H32),0)</f>
        <v>0</v>
      </c>
      <c r="S32" s="200">
        <f ca="1">IF($L32&lt;&gt;0,VLOOKUP($N32,'Allocation Factors'!$B$12:$AU$603,8,FALSE)*$L32,0)+IF($H32&lt;&gt;0,(VLOOKUP($J32,'Allocation Factors'!$B$12:$AU$603,8,FALSE)*$H32),0)</f>
        <v>51.0162295301825</v>
      </c>
      <c r="T32" s="200">
        <f ca="1">IF($L32&lt;&gt;0,VLOOKUP($N32,'Allocation Factors'!$B$12:$AU$603,9,FALSE)*$L32,0)+IF($H32&lt;&gt;0,(VLOOKUP($J32,'Allocation Factors'!$B$12:$AU$603,9,FALSE)*$H32),0)</f>
        <v>1659.6326444098786</v>
      </c>
      <c r="U32" s="200">
        <f ca="1">IF($L32&lt;&gt;0,VLOOKUP($N32,'Allocation Factors'!$B$12:$AU$603,10,FALSE)*$L32,0)+IF($H32&lt;&gt;0,(VLOOKUP($J32,'Allocation Factors'!$B$12:$AU$603,10,FALSE)*$H32),0)</f>
        <v>348.78760095487377</v>
      </c>
      <c r="V32" s="200">
        <f ca="1">IF($L32&lt;&gt;0,VLOOKUP($N32,'Allocation Factors'!$B$12:$AU$603,11,FALSE)*$L32,0)+IF($H32&lt;&gt;0,(VLOOKUP($J32,'Allocation Factors'!$B$12:$AU$603,11,FALSE)*$H32),0)</f>
        <v>0</v>
      </c>
      <c r="W32" s="200">
        <f ca="1">IF($L32&lt;&gt;0,VLOOKUP($N32,'Allocation Factors'!$B$12:$AU$603,12,FALSE)*$L32,0)+IF($H32&lt;&gt;0,(VLOOKUP($J32,'Allocation Factors'!$B$12:$AU$603,12,FALSE)*$H32),0)</f>
        <v>5.7829811992189954</v>
      </c>
      <c r="X32" s="200">
        <f ca="1">IF($L32&lt;&gt;0,VLOOKUP($N32,'Allocation Factors'!$B$12:$AU$603,13,FALSE)*$L32,0)+IF($H32&lt;&gt;0,(VLOOKUP($J32,'Allocation Factors'!$B$12:$AU$603,13,FALSE)*$H32),0)</f>
        <v>0</v>
      </c>
      <c r="Y32" s="200">
        <f ca="1">IF($L32&lt;&gt;0,VLOOKUP($N32,'Allocation Factors'!$B$12:$AU$603,14,FALSE)*$L32,0)+IF($H32&lt;&gt;0,(VLOOKUP($J32,'Allocation Factors'!$B$12:$AU$603,14,FALSE)*$H32),0)</f>
        <v>0</v>
      </c>
      <c r="Z32" s="200">
        <f ca="1">IF($L32&lt;&gt;0,VLOOKUP($N32,'Allocation Factors'!$B$12:$AU$603,15,FALSE)*$L32,0)+IF($H32&lt;&gt;0,(VLOOKUP($J32,'Allocation Factors'!$B$12:$AU$603,15,FALSE)*$H32),0)</f>
        <v>384.81275093161668</v>
      </c>
      <c r="AA32" s="200">
        <f ca="1">IF($L32&lt;&gt;0,VLOOKUP($N32,'Allocation Factors'!$B$12:$AU$603,16,FALSE)*$L32,0)+IF($H32&lt;&gt;0,(VLOOKUP($J32,'Allocation Factors'!$B$12:$AU$603,16,FALSE)*$H32),0)</f>
        <v>0</v>
      </c>
      <c r="AB32" s="200">
        <f ca="1">IF($L32&lt;&gt;0,VLOOKUP($N32,'Allocation Factors'!$B$12:$AU$603,17,FALSE)*$L32,0)+IF($H32&lt;&gt;0,(VLOOKUP($J32,'Allocation Factors'!$B$12:$AU$603,17,FALSE)*$H32),0)</f>
        <v>0</v>
      </c>
      <c r="AC32" s="200">
        <f ca="1">IF($L32&lt;&gt;0,VLOOKUP($N32,'Allocation Factors'!$B$12:$AU$603,18,FALSE)*$L32,0)+IF($H32&lt;&gt;0,(VLOOKUP($J32,'Allocation Factors'!$B$12:$AU$603,18,FALSE)*$H32),0)</f>
        <v>2983.6374767405714</v>
      </c>
      <c r="AD32" s="200">
        <f ca="1">IF($L32&lt;&gt;0,VLOOKUP($N32,'Allocation Factors'!$B$12:$AU$603,19,FALSE)*$L32,0)+IF($H32&lt;&gt;0,(VLOOKUP($J32,'Allocation Factors'!$B$12:$AU$603,19,FALSE)*$H32),0)</f>
        <v>880.82418293303215</v>
      </c>
      <c r="AE32" s="200">
        <f ca="1">IF($L32&lt;&gt;0,VLOOKUP($N32,'Allocation Factors'!$B$12:$AU$603,20,FALSE)*$L32,0)+IF($H32&lt;&gt;0,(VLOOKUP($J32,'Allocation Factors'!$B$12:$AU$603,20,FALSE)*$H32),0)</f>
        <v>199.71258193177596</v>
      </c>
      <c r="AF32" s="200">
        <f ca="1">IF($L32&lt;&gt;0,VLOOKUP($N32,'Allocation Factors'!$B$12:$AU$603,21,FALSE)*$L32,0)+IF($H32&lt;&gt;0,(VLOOKUP($J32,'Allocation Factors'!$B$12:$AU$603,21,FALSE)*$H32),0)</f>
        <v>0</v>
      </c>
      <c r="AG32" s="200">
        <f ca="1">IF($L32&lt;&gt;0,VLOOKUP($N32,'Allocation Factors'!$B$12:$AU$603,22,FALSE)*$L32,0)+IF($H32&lt;&gt;0,(VLOOKUP($J32,'Allocation Factors'!$B$12:$AU$603,22,FALSE)*$H32),0)</f>
        <v>0</v>
      </c>
      <c r="AH32" s="200">
        <f ca="1">IF($L32&lt;&gt;0,VLOOKUP($N32,'Allocation Factors'!$B$12:$AU$603,23,FALSE)*$L32,0)+IF($H32&lt;&gt;0,(VLOOKUP($J32,'Allocation Factors'!$B$12:$AU$603,23,FALSE)*$H32),0)</f>
        <v>9546.7425151507978</v>
      </c>
      <c r="AI32" s="200">
        <f ca="1">IF($L32&lt;&gt;0,VLOOKUP($N32,'Allocation Factors'!$B$12:$AU$603,24,FALSE)*$L32,0)+IF($H32&lt;&gt;0,(VLOOKUP($J32,'Allocation Factors'!$B$12:$AU$603,24,FALSE)*$H32),0)</f>
        <v>3537.3467801701886</v>
      </c>
      <c r="AJ32" s="200">
        <f ca="1">IF($L32&lt;&gt;0,VLOOKUP($N32,'Allocation Factors'!$B$12:$AU$603,25,FALSE)*$L32,0)+IF($H32&lt;&gt;0,(VLOOKUP($J32,'Allocation Factors'!$B$12:$AU$603,25,FALSE)*$H32),0)</f>
        <v>1259.1801466276136</v>
      </c>
      <c r="AK32" s="200">
        <f ca="1">IF($L32&lt;&gt;0,VLOOKUP($N32,'Allocation Factors'!$B$12:$AU$603,26,FALSE)*$L32,0)+IF($H32&lt;&gt;0,(VLOOKUP($J32,'Allocation Factors'!$B$12:$AU$603,26,FALSE)*$H32),0)</f>
        <v>0</v>
      </c>
      <c r="AL32" s="200">
        <f ca="1">IF($L32&lt;&gt;0,VLOOKUP($N32,'Allocation Factors'!$B$12:$AU$603,27,FALSE)*$L32,0)+IF($H32&lt;&gt;0,(VLOOKUP($J32,'Allocation Factors'!$B$12:$AU$603,27,FALSE)*$H32),0)</f>
        <v>11.061561002739992</v>
      </c>
      <c r="AM32" s="200">
        <f ca="1">IF($L32&lt;&gt;0,VLOOKUP($N32,'Allocation Factors'!$B$12:$AU$603,28,FALSE)*$L32,0)+IF($H32&lt;&gt;0,(VLOOKUP($J32,'Allocation Factors'!$B$12:$AU$603,28,FALSE)*$H32),0)</f>
        <v>0</v>
      </c>
      <c r="AN32" s="200">
        <f ca="1">IF($L32&lt;&gt;0,VLOOKUP($N32,'Allocation Factors'!$B$12:$AU$603,29,FALSE)*$L32,0)+IF($H32&lt;&gt;0,(VLOOKUP($J32,'Allocation Factors'!$B$12:$AU$603,29,FALSE)*$H32),0)</f>
        <v>1862.5494059144683</v>
      </c>
      <c r="AO32" s="200">
        <f ca="1">IF($L32&lt;&gt;0,VLOOKUP($N32,'Allocation Factors'!$B$12:$AU$603,30,FALSE)*$L32,0)+IF($H32&lt;&gt;0,(VLOOKUP($J32,'Allocation Factors'!$B$12:$AU$603,30,FALSE)*$H32),0)</f>
        <v>0</v>
      </c>
      <c r="AP32" s="200">
        <f ca="1">IF($L32&lt;&gt;0,VLOOKUP($N32,'Allocation Factors'!$B$12:$AU$603,31,FALSE)*$L32,0)+IF($H32&lt;&gt;0,(VLOOKUP($J32,'Allocation Factors'!$B$12:$AU$603,31,FALSE)*$H32),0)</f>
        <v>152.05269654884563</v>
      </c>
      <c r="AQ32" s="200">
        <f ca="1">IF($L32&lt;&gt;0,VLOOKUP($N32,'Allocation Factors'!$B$12:$AU$603,32,FALSE)*$L32,0)+IF($H32&lt;&gt;0,(VLOOKUP($J32,'Allocation Factors'!$B$12:$AU$603,32,FALSE)*$H32),0)</f>
        <v>0</v>
      </c>
      <c r="AR32" s="200">
        <f ca="1">IF($L32&lt;&gt;0,VLOOKUP($N32,'Allocation Factors'!$B$12:$AU$603,33,FALSE)*$L32,0)+IF($H32&lt;&gt;0,(VLOOKUP($J32,'Allocation Factors'!$B$12:$AU$603,33,FALSE)*$H32),0)</f>
        <v>2088.0069617186537</v>
      </c>
      <c r="AS32" s="200">
        <f ca="1">IF($L32&lt;&gt;0,VLOOKUP($N32,'Allocation Factors'!$B$12:$AU$603,34,FALSE)*$L32,0)+IF($H32&lt;&gt;0,(VLOOKUP($J32,'Allocation Factors'!$B$12:$AU$603,34,FALSE)*$H32),0)</f>
        <v>0</v>
      </c>
      <c r="AT32" s="200">
        <f ca="1">IF($L32&lt;&gt;0,VLOOKUP($N32,'Allocation Factors'!$B$12:$AU$603,35,FALSE)*$L32,0)+IF($H32&lt;&gt;0,(VLOOKUP($J32,'Allocation Factors'!$B$12:$AU$603,35,FALSE)*$H32),0)</f>
        <v>26373.331993277578</v>
      </c>
      <c r="AU32" s="200">
        <f ca="1">IF($L32&lt;&gt;0,VLOOKUP($N32,'Allocation Factors'!$B$12:$AU$603,36,FALSE)*$L32,0)+IF($H32&lt;&gt;0,(VLOOKUP($J32,'Allocation Factors'!$B$12:$AU$603,36,FALSE)*$H32),0)</f>
        <v>0</v>
      </c>
      <c r="AV32" s="200">
        <f ca="1">IF($L32&lt;&gt;0,VLOOKUP($N32,'Allocation Factors'!$B$12:$AU$603,37,FALSE)*$L32,0)+IF($H32&lt;&gt;0,(VLOOKUP($J32,'Allocation Factors'!$B$12:$AU$603,37,FALSE)*$H32),0)</f>
        <v>2615.6527077705359</v>
      </c>
      <c r="AW32" s="200">
        <f ca="1">IF($L32&lt;&gt;0,VLOOKUP($N32,'Allocation Factors'!$B$12:$AU$603,38,FALSE)*$L32,0)+IF($H32&lt;&gt;0,(VLOOKUP($J32,'Allocation Factors'!$B$12:$AU$603,38,FALSE)*$H32),0)</f>
        <v>0</v>
      </c>
      <c r="AX32" s="200">
        <f ca="1">IF($L32&lt;&gt;0,VLOOKUP($N32,'Allocation Factors'!$B$12:$AU$603,39,FALSE)*$L32,0)+IF($H32&lt;&gt;0,(VLOOKUP($J32,'Allocation Factors'!$B$12:$AU$603,39,FALSE)*$H32),0)</f>
        <v>0</v>
      </c>
      <c r="AY32" s="200">
        <f ca="1">IF($L32&lt;&gt;0,VLOOKUP($N32,'Allocation Factors'!$B$12:$AU$603,40,FALSE)*$L32,0)+IF($H32&lt;&gt;0,(VLOOKUP($J32,'Allocation Factors'!$B$12:$AU$603,40,FALSE)*$H32),0)</f>
        <v>0</v>
      </c>
      <c r="AZ32" s="200">
        <f ca="1">IF($L32&lt;&gt;0,VLOOKUP($N32,'Allocation Factors'!$B$12:$AU$603,41,FALSE)*$L32,0)+IF($H32&lt;&gt;0,(VLOOKUP($J32,'Allocation Factors'!$B$12:$AU$603,41,FALSE)*$H32),0)</f>
        <v>0</v>
      </c>
      <c r="BA32" s="200">
        <f ca="1">IF($L32&lt;&gt;0,VLOOKUP($N32,'Allocation Factors'!$B$12:$AU$603,42,FALSE)*$L32,0)+IF($H32&lt;&gt;0,(VLOOKUP($J32,'Allocation Factors'!$B$12:$AU$603,42,FALSE)*$H32),0)</f>
        <v>0</v>
      </c>
      <c r="BB32" s="200">
        <f ca="1">IF($L32&lt;&gt;0,VLOOKUP($N32,'Allocation Factors'!$B$12:$AU$603,43,FALSE)*$L32,0)+IF($H32&lt;&gt;0,(VLOOKUP($J32,'Allocation Factors'!$B$12:$AU$603,43,FALSE)*$H32),0)</f>
        <v>0</v>
      </c>
      <c r="BC32" s="200">
        <f ca="1">IF($L32&lt;&gt;0,VLOOKUP($N32,'Allocation Factors'!$B$12:$AU$603,44,FALSE)*$L32,0)+IF($H32&lt;&gt;0,(VLOOKUP($J32,'Allocation Factors'!$B$12:$AU$603,44,FALSE)*$H32),0)</f>
        <v>0</v>
      </c>
      <c r="BD32" s="200">
        <f ca="1">IF($L32&lt;&gt;0,VLOOKUP($N32,'Allocation Factors'!$B$12:$AU$603,45,FALSE)*$L32,0)+IF($H32&lt;&gt;0,(VLOOKUP($J32,'Allocation Factors'!$B$12:$AU$603,45,FALSE)*$H32),0)</f>
        <v>0</v>
      </c>
      <c r="BE32" s="200">
        <f ca="1">IF($L32&lt;&gt;0,VLOOKUP($N32,'Allocation Factors'!$B$12:$AU$603,46,FALSE)*$L32,0)+IF($H32&lt;&gt;0,(VLOOKUP($J32,'Allocation Factors'!$B$12:$AU$603,46,FALSE)*$H32),0)</f>
        <v>0</v>
      </c>
    </row>
    <row r="33" spans="1:57" x14ac:dyDescent="0.25">
      <c r="A33" s="2">
        <f t="shared" si="6"/>
        <v>19</v>
      </c>
      <c r="B33" s="73" t="s">
        <v>118</v>
      </c>
      <c r="D33" s="200">
        <f ca="1">'Transmission Class'!AB164</f>
        <v>45233.68549255206</v>
      </c>
      <c r="E33" s="200"/>
      <c r="F33" s="200">
        <f ca="1">'Transmission Class'!AB180</f>
        <v>45233.68549255206</v>
      </c>
      <c r="H33" s="200">
        <f ca="1">+'Transmission Class'!AB117</f>
        <v>26965.613624531987</v>
      </c>
      <c r="J33" s="91" t="s">
        <v>284</v>
      </c>
      <c r="L33" s="200">
        <f t="shared" ca="1" si="5"/>
        <v>18268.071868020073</v>
      </c>
      <c r="N33" s="91" t="s">
        <v>380</v>
      </c>
      <c r="P33" s="200">
        <f ca="1">IF($L33&lt;&gt;0,VLOOKUP($N33,'Allocation Factors'!$B$12:$AU$603,5,FALSE)*$L33,0)+IF($H33&lt;&gt;0,(VLOOKUP($J33,'Allocation Factors'!$B$12:$AU$603,5,FALSE)*$H33),0)</f>
        <v>2637.6966151312204</v>
      </c>
      <c r="Q33" s="200">
        <f ca="1">IF($L33&lt;&gt;0,VLOOKUP($N33,'Allocation Factors'!$B$12:$AU$603,6,FALSE)*$L33,0)+IF($H33&lt;&gt;0,(VLOOKUP($J33,'Allocation Factors'!$B$12:$AU$603,6,FALSE)*$H33),0)</f>
        <v>2529.3974185370312</v>
      </c>
      <c r="R33" s="200">
        <f ca="1">IF($L33&lt;&gt;0,VLOOKUP($N33,'Allocation Factors'!$B$12:$AU$603,7,FALSE)*$L33,0)+IF($H33&lt;&gt;0,(VLOOKUP($J33,'Allocation Factors'!$B$12:$AU$603,7,FALSE)*$H33),0)</f>
        <v>0</v>
      </c>
      <c r="S33" s="200">
        <f ca="1">IF($L33&lt;&gt;0,VLOOKUP($N33,'Allocation Factors'!$B$12:$AU$603,8,FALSE)*$L33,0)+IF($H33&lt;&gt;0,(VLOOKUP($J33,'Allocation Factors'!$B$12:$AU$603,8,FALSE)*$H33),0)</f>
        <v>14.466984006005161</v>
      </c>
      <c r="T33" s="200">
        <f ca="1">IF($L33&lt;&gt;0,VLOOKUP($N33,'Allocation Factors'!$B$12:$AU$603,9,FALSE)*$L33,0)+IF($H33&lt;&gt;0,(VLOOKUP($J33,'Allocation Factors'!$B$12:$AU$603,9,FALSE)*$H33),0)</f>
        <v>563.44461532624314</v>
      </c>
      <c r="U33" s="200">
        <f ca="1">IF($L33&lt;&gt;0,VLOOKUP($N33,'Allocation Factors'!$B$12:$AU$603,10,FALSE)*$L33,0)+IF($H33&lt;&gt;0,(VLOOKUP($J33,'Allocation Factors'!$B$12:$AU$603,10,FALSE)*$H33),0)</f>
        <v>201.41163844849319</v>
      </c>
      <c r="V33" s="200">
        <f ca="1">IF($L33&lt;&gt;0,VLOOKUP($N33,'Allocation Factors'!$B$12:$AU$603,11,FALSE)*$L33,0)+IF($H33&lt;&gt;0,(VLOOKUP($J33,'Allocation Factors'!$B$12:$AU$603,11,FALSE)*$H33),0)</f>
        <v>0</v>
      </c>
      <c r="W33" s="200">
        <f ca="1">IF($L33&lt;&gt;0,VLOOKUP($N33,'Allocation Factors'!$B$12:$AU$603,12,FALSE)*$L33,0)+IF($H33&lt;&gt;0,(VLOOKUP($J33,'Allocation Factors'!$B$12:$AU$603,12,FALSE)*$H33),0)</f>
        <v>27.76739546830736</v>
      </c>
      <c r="X33" s="200">
        <f ca="1">IF($L33&lt;&gt;0,VLOOKUP($N33,'Allocation Factors'!$B$12:$AU$603,13,FALSE)*$L33,0)+IF($H33&lt;&gt;0,(VLOOKUP($J33,'Allocation Factors'!$B$12:$AU$603,13,FALSE)*$H33),0)</f>
        <v>8.2878720607602538</v>
      </c>
      <c r="Y33" s="200">
        <f ca="1">IF($L33&lt;&gt;0,VLOOKUP($N33,'Allocation Factors'!$B$12:$AU$603,14,FALSE)*$L33,0)+IF($H33&lt;&gt;0,(VLOOKUP($J33,'Allocation Factors'!$B$12:$AU$603,14,FALSE)*$H33),0)</f>
        <v>170.49404801311661</v>
      </c>
      <c r="Z33" s="200">
        <f ca="1">IF($L33&lt;&gt;0,VLOOKUP($N33,'Allocation Factors'!$B$12:$AU$603,15,FALSE)*$L33,0)+IF($H33&lt;&gt;0,(VLOOKUP($J33,'Allocation Factors'!$B$12:$AU$603,15,FALSE)*$H33),0)</f>
        <v>99.606454989162032</v>
      </c>
      <c r="AA33" s="200">
        <f ca="1">IF($L33&lt;&gt;0,VLOOKUP($N33,'Allocation Factors'!$B$12:$AU$603,16,FALSE)*$L33,0)+IF($H33&lt;&gt;0,(VLOOKUP($J33,'Allocation Factors'!$B$12:$AU$603,16,FALSE)*$H33),0)</f>
        <v>0</v>
      </c>
      <c r="AB33" s="200">
        <f ca="1">IF($L33&lt;&gt;0,VLOOKUP($N33,'Allocation Factors'!$B$12:$AU$603,17,FALSE)*$L33,0)+IF($H33&lt;&gt;0,(VLOOKUP($J33,'Allocation Factors'!$B$12:$AU$603,17,FALSE)*$H33),0)</f>
        <v>13.48588314535748</v>
      </c>
      <c r="AC33" s="200">
        <f ca="1">IF($L33&lt;&gt;0,VLOOKUP($N33,'Allocation Factors'!$B$12:$AU$603,18,FALSE)*$L33,0)+IF($H33&lt;&gt;0,(VLOOKUP($J33,'Allocation Factors'!$B$12:$AU$603,18,FALSE)*$H33),0)</f>
        <v>521.63171183821589</v>
      </c>
      <c r="AD33" s="200">
        <f ca="1">IF($L33&lt;&gt;0,VLOOKUP($N33,'Allocation Factors'!$B$12:$AU$603,19,FALSE)*$L33,0)+IF($H33&lt;&gt;0,(VLOOKUP($J33,'Allocation Factors'!$B$12:$AU$603,19,FALSE)*$H33),0)</f>
        <v>170.93677303783849</v>
      </c>
      <c r="AE33" s="200">
        <f ca="1">IF($L33&lt;&gt;0,VLOOKUP($N33,'Allocation Factors'!$B$12:$AU$603,20,FALSE)*$L33,0)+IF($H33&lt;&gt;0,(VLOOKUP($J33,'Allocation Factors'!$B$12:$AU$603,20,FALSE)*$H33),0)</f>
        <v>71.374543078410667</v>
      </c>
      <c r="AF33" s="200">
        <f ca="1">IF($L33&lt;&gt;0,VLOOKUP($N33,'Allocation Factors'!$B$12:$AU$603,21,FALSE)*$L33,0)+IF($H33&lt;&gt;0,(VLOOKUP($J33,'Allocation Factors'!$B$12:$AU$603,21,FALSE)*$H33),0)</f>
        <v>3.0078108874304226</v>
      </c>
      <c r="AG33" s="200">
        <f ca="1">IF($L33&lt;&gt;0,VLOOKUP($N33,'Allocation Factors'!$B$12:$AU$603,22,FALSE)*$L33,0)+IF($H33&lt;&gt;0,(VLOOKUP($J33,'Allocation Factors'!$B$12:$AU$603,22,FALSE)*$H33),0)</f>
        <v>0</v>
      </c>
      <c r="AH33" s="200">
        <f ca="1">IF($L33&lt;&gt;0,VLOOKUP($N33,'Allocation Factors'!$B$12:$AU$603,23,FALSE)*$L33,0)+IF($H33&lt;&gt;0,(VLOOKUP($J33,'Allocation Factors'!$B$12:$AU$603,23,FALSE)*$H33),0)</f>
        <v>1716.8576441661201</v>
      </c>
      <c r="AI33" s="200">
        <f ca="1">IF($L33&lt;&gt;0,VLOOKUP($N33,'Allocation Factors'!$B$12:$AU$603,24,FALSE)*$L33,0)+IF($H33&lt;&gt;0,(VLOOKUP($J33,'Allocation Factors'!$B$12:$AU$603,24,FALSE)*$H33),0)</f>
        <v>695.88003486067021</v>
      </c>
      <c r="AJ33" s="200">
        <f ca="1">IF($L33&lt;&gt;0,VLOOKUP($N33,'Allocation Factors'!$B$12:$AU$603,25,FALSE)*$L33,0)+IF($H33&lt;&gt;0,(VLOOKUP($J33,'Allocation Factors'!$B$12:$AU$603,25,FALSE)*$H33),0)</f>
        <v>313.11542506867789</v>
      </c>
      <c r="AK33" s="200">
        <f ca="1">IF($L33&lt;&gt;0,VLOOKUP($N33,'Allocation Factors'!$B$12:$AU$603,26,FALSE)*$L33,0)+IF($H33&lt;&gt;0,(VLOOKUP($J33,'Allocation Factors'!$B$12:$AU$603,26,FALSE)*$H33),0)</f>
        <v>0.12553366625865775</v>
      </c>
      <c r="AL33" s="200">
        <f ca="1">IF($L33&lt;&gt;0,VLOOKUP($N33,'Allocation Factors'!$B$12:$AU$603,27,FALSE)*$L33,0)+IF($H33&lt;&gt;0,(VLOOKUP($J33,'Allocation Factors'!$B$12:$AU$603,27,FALSE)*$H33),0)</f>
        <v>2.3237964992295943</v>
      </c>
      <c r="AM33" s="200">
        <f ca="1">IF($L33&lt;&gt;0,VLOOKUP($N33,'Allocation Factors'!$B$12:$AU$603,28,FALSE)*$L33,0)+IF($H33&lt;&gt;0,(VLOOKUP($J33,'Allocation Factors'!$B$12:$AU$603,28,FALSE)*$H33),0)</f>
        <v>29.054604750274617</v>
      </c>
      <c r="AN33" s="200">
        <f ca="1">IF($L33&lt;&gt;0,VLOOKUP($N33,'Allocation Factors'!$B$12:$AU$603,29,FALSE)*$L33,0)+IF($H33&lt;&gt;0,(VLOOKUP($J33,'Allocation Factors'!$B$12:$AU$603,29,FALSE)*$H33),0)</f>
        <v>376.44737237745363</v>
      </c>
      <c r="AO33" s="200">
        <f ca="1">IF($L33&lt;&gt;0,VLOOKUP($N33,'Allocation Factors'!$B$12:$AU$603,30,FALSE)*$L33,0)+IF($H33&lt;&gt;0,(VLOOKUP($J33,'Allocation Factors'!$B$12:$AU$603,30,FALSE)*$H33),0)</f>
        <v>40.084242179340094</v>
      </c>
      <c r="AP33" s="200">
        <f ca="1">IF($L33&lt;&gt;0,VLOOKUP($N33,'Allocation Factors'!$B$12:$AU$603,31,FALSE)*$L33,0)+IF($H33&lt;&gt;0,(VLOOKUP($J33,'Allocation Factors'!$B$12:$AU$603,31,FALSE)*$H33),0)</f>
        <v>47.507518490222388</v>
      </c>
      <c r="AQ33" s="200">
        <f ca="1">IF($L33&lt;&gt;0,VLOOKUP($N33,'Allocation Factors'!$B$12:$AU$603,32,FALSE)*$L33,0)+IF($H33&lt;&gt;0,(VLOOKUP($J33,'Allocation Factors'!$B$12:$AU$603,32,FALSE)*$H33),0)</f>
        <v>0</v>
      </c>
      <c r="AR33" s="200">
        <f ca="1">IF($L33&lt;&gt;0,VLOOKUP($N33,'Allocation Factors'!$B$12:$AU$603,33,FALSE)*$L33,0)+IF($H33&lt;&gt;0,(VLOOKUP($J33,'Allocation Factors'!$B$12:$AU$603,33,FALSE)*$H33),0)</f>
        <v>228.12282385375616</v>
      </c>
      <c r="AS33" s="200">
        <f ca="1">IF($L33&lt;&gt;0,VLOOKUP($N33,'Allocation Factors'!$B$12:$AU$603,34,FALSE)*$L33,0)+IF($H33&lt;&gt;0,(VLOOKUP($J33,'Allocation Factors'!$B$12:$AU$603,34,FALSE)*$H33),0)</f>
        <v>21.74633063892632</v>
      </c>
      <c r="AT33" s="200">
        <f ca="1">IF($L33&lt;&gt;0,VLOOKUP($N33,'Allocation Factors'!$B$12:$AU$603,35,FALSE)*$L33,0)+IF($H33&lt;&gt;0,(VLOOKUP($J33,'Allocation Factors'!$B$12:$AU$603,35,FALSE)*$H33),0)</f>
        <v>2875.8427877924319</v>
      </c>
      <c r="AU33" s="200">
        <f ca="1">IF($L33&lt;&gt;0,VLOOKUP($N33,'Allocation Factors'!$B$12:$AU$603,36,FALSE)*$L33,0)+IF($H33&lt;&gt;0,(VLOOKUP($J33,'Allocation Factors'!$B$12:$AU$603,36,FALSE)*$H33),0)</f>
        <v>24.195097471797311</v>
      </c>
      <c r="AV33" s="200">
        <f ca="1">IF($L33&lt;&gt;0,VLOOKUP($N33,'Allocation Factors'!$B$12:$AU$603,37,FALSE)*$L33,0)+IF($H33&lt;&gt;0,(VLOOKUP($J33,'Allocation Factors'!$B$12:$AU$603,37,FALSE)*$H33),0)</f>
        <v>144.3750215530068</v>
      </c>
      <c r="AW33" s="200">
        <f ca="1">IF($L33&lt;&gt;0,VLOOKUP($N33,'Allocation Factors'!$B$12:$AU$603,38,FALSE)*$L33,0)+IF($H33&lt;&gt;0,(VLOOKUP($J33,'Allocation Factors'!$B$12:$AU$603,38,FALSE)*$H33),0)</f>
        <v>0</v>
      </c>
      <c r="AX33" s="200">
        <f ca="1">IF($L33&lt;&gt;0,VLOOKUP($N33,'Allocation Factors'!$B$12:$AU$603,39,FALSE)*$L33,0)+IF($H33&lt;&gt;0,(VLOOKUP($J33,'Allocation Factors'!$B$12:$AU$603,39,FALSE)*$H33),0)</f>
        <v>0</v>
      </c>
      <c r="AY33" s="200">
        <f ca="1">IF($L33&lt;&gt;0,VLOOKUP($N33,'Allocation Factors'!$B$12:$AU$603,40,FALSE)*$L33,0)+IF($H33&lt;&gt;0,(VLOOKUP($J33,'Allocation Factors'!$B$12:$AU$603,40,FALSE)*$H33),0)</f>
        <v>0</v>
      </c>
      <c r="AZ33" s="200">
        <f ca="1">IF($L33&lt;&gt;0,VLOOKUP($N33,'Allocation Factors'!$B$12:$AU$603,41,FALSE)*$L33,0)+IF($H33&lt;&gt;0,(VLOOKUP($J33,'Allocation Factors'!$B$12:$AU$603,41,FALSE)*$H33),0)</f>
        <v>7629.4715431181521</v>
      </c>
      <c r="BA33" s="200">
        <f ca="1">IF($L33&lt;&gt;0,VLOOKUP($N33,'Allocation Factors'!$B$12:$AU$603,42,FALSE)*$L33,0)+IF($H33&lt;&gt;0,(VLOOKUP($J33,'Allocation Factors'!$B$12:$AU$603,42,FALSE)*$H33),0)</f>
        <v>3069.6510531900212</v>
      </c>
      <c r="BB33" s="200">
        <f ca="1">IF($L33&lt;&gt;0,VLOOKUP($N33,'Allocation Factors'!$B$12:$AU$603,43,FALSE)*$L33,0)+IF($H33&lt;&gt;0,(VLOOKUP($J33,'Allocation Factors'!$B$12:$AU$603,43,FALSE)*$H33),0)</f>
        <v>20353.8170066282</v>
      </c>
      <c r="BC33" s="200">
        <f ca="1">IF($L33&lt;&gt;0,VLOOKUP($N33,'Allocation Factors'!$B$12:$AU$603,44,FALSE)*$L33,0)+IF($H33&lt;&gt;0,(VLOOKUP($J33,'Allocation Factors'!$B$12:$AU$603,44,FALSE)*$H33),0)</f>
        <v>123.06885540871056</v>
      </c>
      <c r="BD33" s="200">
        <f ca="1">IF($L33&lt;&gt;0,VLOOKUP($N33,'Allocation Factors'!$B$12:$AU$603,45,FALSE)*$L33,0)+IF($H33&lt;&gt;0,(VLOOKUP($J33,'Allocation Factors'!$B$12:$AU$603,45,FALSE)*$H33),0)</f>
        <v>450.01002433162569</v>
      </c>
      <c r="BE33" s="200">
        <f ca="1">IF($L33&lt;&gt;0,VLOOKUP($N33,'Allocation Factors'!$B$12:$AU$603,46,FALSE)*$L33,0)+IF($H33&lt;&gt;0,(VLOOKUP($J33,'Allocation Factors'!$B$12:$AU$603,46,FALSE)*$H33),0)</f>
        <v>58.979012539590457</v>
      </c>
    </row>
    <row r="34" spans="1:57" x14ac:dyDescent="0.25">
      <c r="A34" s="2">
        <f t="shared" si="6"/>
        <v>20</v>
      </c>
      <c r="B34" s="73" t="s">
        <v>122</v>
      </c>
      <c r="D34" s="79">
        <f ca="1">SUM(D27:D33)</f>
        <v>470426.62147628586</v>
      </c>
      <c r="F34" s="79">
        <f ca="1">SUM(F27:F33)</f>
        <v>470426.62147628586</v>
      </c>
      <c r="H34" s="79">
        <f ca="1">SUM(H27:H33)</f>
        <v>26965.613624531987</v>
      </c>
      <c r="L34" s="79">
        <f ca="1">SUM(L27:L33)</f>
        <v>443461.00785175385</v>
      </c>
      <c r="P34" s="79">
        <f t="shared" ref="P34:BE34" ca="1" si="7">SUM(P27:P33)</f>
        <v>79175.194514514093</v>
      </c>
      <c r="Q34" s="79">
        <f t="shared" ca="1" si="7"/>
        <v>70830.895039200375</v>
      </c>
      <c r="R34" s="79">
        <f t="shared" ca="1" si="7"/>
        <v>0</v>
      </c>
      <c r="S34" s="79">
        <f t="shared" ca="1" si="7"/>
        <v>255.37634213074531</v>
      </c>
      <c r="T34" s="79">
        <f t="shared" ca="1" si="7"/>
        <v>8400.5787738023155</v>
      </c>
      <c r="U34" s="79">
        <f t="shared" ca="1" si="7"/>
        <v>1848.4599962302971</v>
      </c>
      <c r="V34" s="79">
        <f t="shared" ca="1" si="7"/>
        <v>0</v>
      </c>
      <c r="W34" s="79">
        <f t="shared" ca="1" si="7"/>
        <v>55.075848123105203</v>
      </c>
      <c r="X34" s="79">
        <f t="shared" ca="1" si="7"/>
        <v>8.2878720607602538</v>
      </c>
      <c r="Y34" s="79">
        <f t="shared" ca="1" si="7"/>
        <v>170.49404801311661</v>
      </c>
      <c r="Z34" s="79">
        <f t="shared" ca="1" si="7"/>
        <v>1916.7731425097413</v>
      </c>
      <c r="AA34" s="79">
        <f t="shared" ca="1" si="7"/>
        <v>0</v>
      </c>
      <c r="AB34" s="79">
        <f t="shared" ca="1" si="7"/>
        <v>424.28976985242167</v>
      </c>
      <c r="AC34" s="79">
        <f t="shared" ca="1" si="7"/>
        <v>14610.994959924557</v>
      </c>
      <c r="AD34" s="79">
        <f t="shared" ca="1" si="7"/>
        <v>4330.3736911582428</v>
      </c>
      <c r="AE34" s="79">
        <f t="shared" ca="1" si="7"/>
        <v>1014.4593293453784</v>
      </c>
      <c r="AF34" s="79">
        <f t="shared" ca="1" si="7"/>
        <v>3.0078108874304226</v>
      </c>
      <c r="AG34" s="79">
        <f t="shared" ca="1" si="7"/>
        <v>0</v>
      </c>
      <c r="AH34" s="79">
        <f t="shared" ca="1" si="7"/>
        <v>46798.582277431444</v>
      </c>
      <c r="AI34" s="79">
        <f t="shared" ca="1" si="7"/>
        <v>17399.974989021193</v>
      </c>
      <c r="AJ34" s="79">
        <f t="shared" ca="1" si="7"/>
        <v>6259.2287243278097</v>
      </c>
      <c r="AK34" s="79">
        <f t="shared" ca="1" si="7"/>
        <v>0.12553366625865775</v>
      </c>
      <c r="AL34" s="79">
        <f t="shared" ca="1" si="7"/>
        <v>54.558812406298266</v>
      </c>
      <c r="AM34" s="79">
        <f t="shared" ca="1" si="7"/>
        <v>29.054604750274617</v>
      </c>
      <c r="AN34" s="79">
        <f t="shared" ca="1" si="7"/>
        <v>9171.7971264984444</v>
      </c>
      <c r="AO34" s="79">
        <f t="shared" ca="1" si="7"/>
        <v>40.084242179340094</v>
      </c>
      <c r="AP34" s="79">
        <f t="shared" ca="1" si="7"/>
        <v>765.53230911193066</v>
      </c>
      <c r="AQ34" s="79">
        <f t="shared" ca="1" si="7"/>
        <v>0</v>
      </c>
      <c r="AR34" s="79">
        <f t="shared" ca="1" si="7"/>
        <v>3564.8122642564499</v>
      </c>
      <c r="AS34" s="79">
        <f t="shared" ca="1" si="7"/>
        <v>21.74633063892632</v>
      </c>
      <c r="AT34" s="79">
        <f t="shared" ca="1" si="7"/>
        <v>45021.11336570789</v>
      </c>
      <c r="AU34" s="79">
        <f t="shared" ca="1" si="7"/>
        <v>24.195097471797311</v>
      </c>
      <c r="AV34" s="79">
        <f t="shared" ca="1" si="7"/>
        <v>4324.2560898588781</v>
      </c>
      <c r="AW34" s="79">
        <f t="shared" ca="1" si="7"/>
        <v>0</v>
      </c>
      <c r="AX34" s="79">
        <f t="shared" ca="1" si="7"/>
        <v>21710.111783722288</v>
      </c>
      <c r="AY34" s="79">
        <f t="shared" ca="1" si="7"/>
        <v>0</v>
      </c>
      <c r="AZ34" s="79">
        <f t="shared" ca="1" si="7"/>
        <v>9150.9831502168308</v>
      </c>
      <c r="BA34" s="79">
        <f t="shared" ca="1" si="7"/>
        <v>3069.6510531900212</v>
      </c>
      <c r="BB34" s="79">
        <f t="shared" ca="1" si="7"/>
        <v>119118.88339314655</v>
      </c>
      <c r="BC34" s="79">
        <f t="shared" ca="1" si="7"/>
        <v>123.06885540871056</v>
      </c>
      <c r="BD34" s="79">
        <f t="shared" ca="1" si="7"/>
        <v>450.01002433162569</v>
      </c>
      <c r="BE34" s="79">
        <f t="shared" ca="1" si="7"/>
        <v>284.59031119027594</v>
      </c>
    </row>
    <row r="35" spans="1:57" x14ac:dyDescent="0.25">
      <c r="D35" s="113">
        <f ca="1">D34-'Transmission Class'!F164</f>
        <v>0</v>
      </c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</row>
    <row r="36" spans="1:57" x14ac:dyDescent="0.25">
      <c r="B36" s="197" t="s">
        <v>123</v>
      </c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</row>
    <row r="37" spans="1:57" x14ac:dyDescent="0.25">
      <c r="A37" s="2">
        <f>A34+1</f>
        <v>21</v>
      </c>
      <c r="B37" s="73" t="s">
        <v>321</v>
      </c>
      <c r="D37" s="200">
        <f ca="1">'Distribution Class'!P164</f>
        <v>270544.32129128964</v>
      </c>
      <c r="E37" s="200"/>
      <c r="F37" s="200">
        <f ca="1">'Distribution Class'!P180</f>
        <v>270544.32129128964</v>
      </c>
      <c r="G37" s="200"/>
      <c r="H37" s="200"/>
      <c r="I37" s="200"/>
      <c r="J37" s="214"/>
      <c r="K37" s="200"/>
      <c r="L37" s="200">
        <f ca="1">F37-H37</f>
        <v>270544.32129128964</v>
      </c>
      <c r="N37" s="91" t="s">
        <v>324</v>
      </c>
      <c r="P37" s="200">
        <f ca="1">IF($L37&lt;&gt;0,VLOOKUP($N37,'Allocation Factors'!$B$12:$AU$603,5,FALSE)*$L37,0)+IF($H37&lt;&gt;0,(VLOOKUP($J37,'Allocation Factors'!$B$12:$AU$603,5,FALSE)*$H37),0)</f>
        <v>63401.594715192972</v>
      </c>
      <c r="Q37" s="200">
        <f ca="1">IF($L37&lt;&gt;0,VLOOKUP($N37,'Allocation Factors'!$B$12:$AU$603,6,FALSE)*$L37,0)+IF($H37&lt;&gt;0,(VLOOKUP($J37,'Allocation Factors'!$B$12:$AU$603,6,FALSE)*$H37),0)</f>
        <v>56579.11467499032</v>
      </c>
      <c r="R37" s="200">
        <f ca="1">IF($L37&lt;&gt;0,VLOOKUP($N37,'Allocation Factors'!$B$12:$AU$603,7,FALSE)*$L37,0)+IF($H37&lt;&gt;0,(VLOOKUP($J37,'Allocation Factors'!$B$12:$AU$603,7,FALSE)*$H37),0)</f>
        <v>0</v>
      </c>
      <c r="S37" s="200">
        <f ca="1">IF($L37&lt;&gt;0,VLOOKUP($N37,'Allocation Factors'!$B$12:$AU$603,8,FALSE)*$L37,0)+IF($H37&lt;&gt;0,(VLOOKUP($J37,'Allocation Factors'!$B$12:$AU$603,8,FALSE)*$H37),0)</f>
        <v>199.56280132127515</v>
      </c>
      <c r="T37" s="200">
        <f ca="1">IF($L37&lt;&gt;0,VLOOKUP($N37,'Allocation Factors'!$B$12:$AU$603,9,FALSE)*$L37,0)+IF($H37&lt;&gt;0,(VLOOKUP($J37,'Allocation Factors'!$B$12:$AU$603,9,FALSE)*$H37),0)</f>
        <v>6492.0701261688546</v>
      </c>
      <c r="U37" s="200">
        <f ca="1">IF($L37&lt;&gt;0,VLOOKUP($N37,'Allocation Factors'!$B$12:$AU$603,10,FALSE)*$L37,0)+IF($H37&lt;&gt;0,(VLOOKUP($J37,'Allocation Factors'!$B$12:$AU$603,10,FALSE)*$H37),0)</f>
        <v>1364.3703455485977</v>
      </c>
      <c r="V37" s="200">
        <f ca="1">IF($L37&lt;&gt;0,VLOOKUP($N37,'Allocation Factors'!$B$12:$AU$603,11,FALSE)*$L37,0)+IF($H37&lt;&gt;0,(VLOOKUP($J37,'Allocation Factors'!$B$12:$AU$603,11,FALSE)*$H37),0)</f>
        <v>11132.928040622741</v>
      </c>
      <c r="W37" s="200">
        <f ca="1">IF($L37&lt;&gt;0,VLOOKUP($N37,'Allocation Factors'!$B$12:$AU$603,12,FALSE)*$L37,0)+IF($H37&lt;&gt;0,(VLOOKUP($J37,'Allocation Factors'!$B$12:$AU$603,12,FALSE)*$H37),0)</f>
        <v>22.621584125922791</v>
      </c>
      <c r="X37" s="200">
        <f ca="1">IF($L37&lt;&gt;0,VLOOKUP($N37,'Allocation Factors'!$B$12:$AU$603,13,FALSE)*$L37,0)+IF($H37&lt;&gt;0,(VLOOKUP($J37,'Allocation Factors'!$B$12:$AU$603,13,FALSE)*$H37),0)</f>
        <v>0</v>
      </c>
      <c r="Y37" s="200">
        <f ca="1">IF($L37&lt;&gt;0,VLOOKUP($N37,'Allocation Factors'!$B$12:$AU$603,14,FALSE)*$L37,0)+IF($H37&lt;&gt;0,(VLOOKUP($J37,'Allocation Factors'!$B$12:$AU$603,14,FALSE)*$H37),0)</f>
        <v>0</v>
      </c>
      <c r="Z37" s="200">
        <f ca="1">IF($L37&lt;&gt;0,VLOOKUP($N37,'Allocation Factors'!$B$12:$AU$603,15,FALSE)*$L37,0)+IF($H37&lt;&gt;0,(VLOOKUP($J37,'Allocation Factors'!$B$12:$AU$603,15,FALSE)*$H37),0)</f>
        <v>1505.2917721923393</v>
      </c>
      <c r="AA37" s="200">
        <f ca="1">IF($L37&lt;&gt;0,VLOOKUP($N37,'Allocation Factors'!$B$12:$AU$603,16,FALSE)*$L37,0)+IF($H37&lt;&gt;0,(VLOOKUP($J37,'Allocation Factors'!$B$12:$AU$603,16,FALSE)*$H37),0)</f>
        <v>0</v>
      </c>
      <c r="AB37" s="200">
        <f ca="1">IF($L37&lt;&gt;0,VLOOKUP($N37,'Allocation Factors'!$B$12:$AU$603,17,FALSE)*$L37,0)+IF($H37&lt;&gt;0,(VLOOKUP($J37,'Allocation Factors'!$B$12:$AU$603,17,FALSE)*$H37),0)</f>
        <v>0</v>
      </c>
      <c r="AC37" s="200">
        <f ca="1">IF($L37&lt;&gt;0,VLOOKUP($N37,'Allocation Factors'!$B$12:$AU$603,18,FALSE)*$L37,0)+IF($H37&lt;&gt;0,(VLOOKUP($J37,'Allocation Factors'!$B$12:$AU$603,18,FALSE)*$H37),0)</f>
        <v>11671.247727808304</v>
      </c>
      <c r="AD37" s="200">
        <f ca="1">IF($L37&lt;&gt;0,VLOOKUP($N37,'Allocation Factors'!$B$12:$AU$603,19,FALSE)*$L37,0)+IF($H37&lt;&gt;0,(VLOOKUP($J37,'Allocation Factors'!$B$12:$AU$603,19,FALSE)*$H37),0)</f>
        <v>3482.0317414946012</v>
      </c>
      <c r="AE37" s="200">
        <f ca="1">IF($L37&lt;&gt;0,VLOOKUP($N37,'Allocation Factors'!$B$12:$AU$603,20,FALSE)*$L37,0)+IF($H37&lt;&gt;0,(VLOOKUP($J37,'Allocation Factors'!$B$12:$AU$603,20,FALSE)*$H37),0)</f>
        <v>9148.2758029919059</v>
      </c>
      <c r="AF37" s="200">
        <f ca="1">IF($L37&lt;&gt;0,VLOOKUP($N37,'Allocation Factors'!$B$12:$AU$603,21,FALSE)*$L37,0)+IF($H37&lt;&gt;0,(VLOOKUP($J37,'Allocation Factors'!$B$12:$AU$603,21,FALSE)*$H37),0)</f>
        <v>0</v>
      </c>
      <c r="AG37" s="200">
        <f ca="1">IF($L37&lt;&gt;0,VLOOKUP($N37,'Allocation Factors'!$B$12:$AU$603,22,FALSE)*$L37,0)+IF($H37&lt;&gt;0,(VLOOKUP($J37,'Allocation Factors'!$B$12:$AU$603,22,FALSE)*$H37),0)</f>
        <v>4085.2319603820533</v>
      </c>
      <c r="AH37" s="200">
        <f ca="1">IF($L37&lt;&gt;0,VLOOKUP($N37,'Allocation Factors'!$B$12:$AU$603,23,FALSE)*$L37,0)+IF($H37&lt;&gt;0,(VLOOKUP($J37,'Allocation Factors'!$B$12:$AU$603,23,FALSE)*$H37),0)</f>
        <v>37344.482282628509</v>
      </c>
      <c r="AI37" s="200">
        <f ca="1">IF($L37&lt;&gt;0,VLOOKUP($N37,'Allocation Factors'!$B$12:$AU$603,24,FALSE)*$L37,0)+IF($H37&lt;&gt;0,(VLOOKUP($J37,'Allocation Factors'!$B$12:$AU$603,24,FALSE)*$H37),0)</f>
        <v>13837.220805938114</v>
      </c>
      <c r="AJ37" s="200">
        <f ca="1">IF($L37&lt;&gt;0,VLOOKUP($N37,'Allocation Factors'!$B$12:$AU$603,25,FALSE)*$L37,0)+IF($H37&lt;&gt;0,(VLOOKUP($J37,'Allocation Factors'!$B$12:$AU$603,25,FALSE)*$H37),0)</f>
        <v>4925.5995541668499</v>
      </c>
      <c r="AK37" s="200">
        <f ca="1">IF($L37&lt;&gt;0,VLOOKUP($N37,'Allocation Factors'!$B$12:$AU$603,26,FALSE)*$L37,0)+IF($H37&lt;&gt;0,(VLOOKUP($J37,'Allocation Factors'!$B$12:$AU$603,26,FALSE)*$H37),0)</f>
        <v>0</v>
      </c>
      <c r="AL37" s="200">
        <f ca="1">IF($L37&lt;&gt;0,VLOOKUP($N37,'Allocation Factors'!$B$12:$AU$603,27,FALSE)*$L37,0)+IF($H37&lt;&gt;0,(VLOOKUP($J37,'Allocation Factors'!$B$12:$AU$603,27,FALSE)*$H37),0)</f>
        <v>43.270075445049649</v>
      </c>
      <c r="AM37" s="200">
        <f ca="1">IF($L37&lt;&gt;0,VLOOKUP($N37,'Allocation Factors'!$B$12:$AU$603,28,FALSE)*$L37,0)+IF($H37&lt;&gt;0,(VLOOKUP($J37,'Allocation Factors'!$B$12:$AU$603,28,FALSE)*$H37),0)</f>
        <v>0</v>
      </c>
      <c r="AN37" s="200">
        <f ca="1">IF($L37&lt;&gt;0,VLOOKUP($N37,'Allocation Factors'!$B$12:$AU$603,29,FALSE)*$L37,0)+IF($H37&lt;&gt;0,(VLOOKUP($J37,'Allocation Factors'!$B$12:$AU$603,29,FALSE)*$H37),0)</f>
        <v>7285.8300283376211</v>
      </c>
      <c r="AO37" s="200">
        <f ca="1">IF($L37&lt;&gt;0,VLOOKUP($N37,'Allocation Factors'!$B$12:$AU$603,30,FALSE)*$L37,0)+IF($H37&lt;&gt;0,(VLOOKUP($J37,'Allocation Factors'!$B$12:$AU$603,30,FALSE)*$H37),0)</f>
        <v>0</v>
      </c>
      <c r="AP37" s="200">
        <f ca="1">IF($L37&lt;&gt;0,VLOOKUP($N37,'Allocation Factors'!$B$12:$AU$603,31,FALSE)*$L37,0)+IF($H37&lt;&gt;0,(VLOOKUP($J37,'Allocation Factors'!$B$12:$AU$603,31,FALSE)*$H37),0)</f>
        <v>594.79233081678649</v>
      </c>
      <c r="AQ37" s="200">
        <f ca="1">IF($L37&lt;&gt;0,VLOOKUP($N37,'Allocation Factors'!$B$12:$AU$603,32,FALSE)*$L37,0)+IF($H37&lt;&gt;0,(VLOOKUP($J37,'Allocation Factors'!$B$12:$AU$603,32,FALSE)*$H37),0)</f>
        <v>0</v>
      </c>
      <c r="AR37" s="200">
        <f ca="1">IF($L37&lt;&gt;0,VLOOKUP($N37,'Allocation Factors'!$B$12:$AU$603,33,FALSE)*$L37,0)+IF($H37&lt;&gt;0,(VLOOKUP($J37,'Allocation Factors'!$B$12:$AU$603,33,FALSE)*$H37),0)</f>
        <v>2496.4535218921628</v>
      </c>
      <c r="AS37" s="200">
        <f ca="1">IF($L37&lt;&gt;0,VLOOKUP($N37,'Allocation Factors'!$B$12:$AU$603,34,FALSE)*$L37,0)+IF($H37&lt;&gt;0,(VLOOKUP($J37,'Allocation Factors'!$B$12:$AU$603,34,FALSE)*$H37),0)</f>
        <v>0</v>
      </c>
      <c r="AT37" s="200">
        <f ca="1">IF($L37&lt;&gt;0,VLOOKUP($N37,'Allocation Factors'!$B$12:$AU$603,35,FALSE)*$L37,0)+IF($H37&lt;&gt;0,(VLOOKUP($J37,'Allocation Factors'!$B$12:$AU$603,35,FALSE)*$H37),0)</f>
        <v>31532.36495172212</v>
      </c>
      <c r="AU37" s="200">
        <f ca="1">IF($L37&lt;&gt;0,VLOOKUP($N37,'Allocation Factors'!$B$12:$AU$603,36,FALSE)*$L37,0)+IF($H37&lt;&gt;0,(VLOOKUP($J37,'Allocation Factors'!$B$12:$AU$603,36,FALSE)*$H37),0)</f>
        <v>0</v>
      </c>
      <c r="AV37" s="200">
        <f ca="1">IF($L37&lt;&gt;0,VLOOKUP($N37,'Allocation Factors'!$B$12:$AU$603,37,FALSE)*$L37,0)+IF($H37&lt;&gt;0,(VLOOKUP($J37,'Allocation Factors'!$B$12:$AU$603,37,FALSE)*$H37),0)</f>
        <v>3127.3149630620751</v>
      </c>
      <c r="AW37" s="200">
        <f ca="1">IF($L37&lt;&gt;0,VLOOKUP($N37,'Allocation Factors'!$B$12:$AU$603,38,FALSE)*$L37,0)+IF($H37&lt;&gt;0,(VLOOKUP($J37,'Allocation Factors'!$B$12:$AU$603,38,FALSE)*$H37),0)</f>
        <v>0</v>
      </c>
      <c r="AX37" s="200">
        <f ca="1">IF($L37&lt;&gt;0,VLOOKUP($N37,'Allocation Factors'!$B$12:$AU$603,39,FALSE)*$L37,0)+IF($H37&lt;&gt;0,(VLOOKUP($J37,'Allocation Factors'!$B$12:$AU$603,39,FALSE)*$H37),0)</f>
        <v>0</v>
      </c>
      <c r="AY37" s="200">
        <f ca="1">IF($L37&lt;&gt;0,VLOOKUP($N37,'Allocation Factors'!$B$12:$AU$603,40,FALSE)*$L37,0)+IF($H37&lt;&gt;0,(VLOOKUP($J37,'Allocation Factors'!$B$12:$AU$603,40,FALSE)*$H37),0)</f>
        <v>0</v>
      </c>
      <c r="AZ37" s="200">
        <f ca="1">IF($L37&lt;&gt;0,VLOOKUP($N37,'Allocation Factors'!$B$12:$AU$603,41,FALSE)*$L37,0)+IF($H37&lt;&gt;0,(VLOOKUP($J37,'Allocation Factors'!$B$12:$AU$603,41,FALSE)*$H37),0)</f>
        <v>0</v>
      </c>
      <c r="BA37" s="200">
        <f ca="1">IF($L37&lt;&gt;0,VLOOKUP($N37,'Allocation Factors'!$B$12:$AU$603,42,FALSE)*$L37,0)+IF($H37&lt;&gt;0,(VLOOKUP($J37,'Allocation Factors'!$B$12:$AU$603,42,FALSE)*$H37),0)</f>
        <v>0</v>
      </c>
      <c r="BB37" s="200">
        <f ca="1">IF($L37&lt;&gt;0,VLOOKUP($N37,'Allocation Factors'!$B$12:$AU$603,43,FALSE)*$L37,0)+IF($H37&lt;&gt;0,(VLOOKUP($J37,'Allocation Factors'!$B$12:$AU$603,43,FALSE)*$H37),0)</f>
        <v>0</v>
      </c>
      <c r="BC37" s="200">
        <f ca="1">IF($L37&lt;&gt;0,VLOOKUP($N37,'Allocation Factors'!$B$12:$AU$603,44,FALSE)*$L37,0)+IF($H37&lt;&gt;0,(VLOOKUP($J37,'Allocation Factors'!$B$12:$AU$603,44,FALSE)*$H37),0)</f>
        <v>0</v>
      </c>
      <c r="BD37" s="200">
        <f ca="1">IF($L37&lt;&gt;0,VLOOKUP($N37,'Allocation Factors'!$B$12:$AU$603,45,FALSE)*$L37,0)+IF($H37&lt;&gt;0,(VLOOKUP($J37,'Allocation Factors'!$B$12:$AU$603,45,FALSE)*$H37),0)</f>
        <v>0</v>
      </c>
      <c r="BE37" s="200">
        <f ca="1">IF($L37&lt;&gt;0,VLOOKUP($N37,'Allocation Factors'!$B$12:$AU$603,46,FALSE)*$L37,0)+IF($H37&lt;&gt;0,(VLOOKUP($J37,'Allocation Factors'!$B$12:$AU$603,46,FALSE)*$H37),0)</f>
        <v>272.65148444044308</v>
      </c>
    </row>
    <row r="38" spans="1:57" x14ac:dyDescent="0.25">
      <c r="A38" s="2">
        <f>A37+1</f>
        <v>22</v>
      </c>
      <c r="B38" s="73" t="s">
        <v>322</v>
      </c>
      <c r="D38" s="200">
        <f ca="1">'Distribution Class'!R164</f>
        <v>49653.563421865147</v>
      </c>
      <c r="E38" s="200"/>
      <c r="F38" s="200">
        <f ca="1">'Distribution Class'!R180</f>
        <v>49653.563421865147</v>
      </c>
      <c r="G38" s="200"/>
      <c r="H38" s="200"/>
      <c r="I38" s="200"/>
      <c r="J38" s="214"/>
      <c r="K38" s="200"/>
      <c r="L38" s="200">
        <f ca="1">F38-H38</f>
        <v>49653.563421865147</v>
      </c>
      <c r="N38" s="91" t="s">
        <v>325</v>
      </c>
      <c r="P38" s="200">
        <f ca="1">IF($L38&lt;&gt;0,VLOOKUP($N38,'Allocation Factors'!$B$12:$AU$603,5,FALSE)*$L38,0)+IF($H38&lt;&gt;0,(VLOOKUP($J38,'Allocation Factors'!$B$12:$AU$603,5,FALSE)*$H38),0)</f>
        <v>15588.369792507283</v>
      </c>
      <c r="Q38" s="200">
        <f ca="1">IF($L38&lt;&gt;0,VLOOKUP($N38,'Allocation Factors'!$B$12:$AU$603,6,FALSE)*$L38,0)+IF($H38&lt;&gt;0,(VLOOKUP($J38,'Allocation Factors'!$B$12:$AU$603,6,FALSE)*$H38),0)</f>
        <v>13910.946026647436</v>
      </c>
      <c r="R38" s="200">
        <f ca="1">IF($L38&lt;&gt;0,VLOOKUP($N38,'Allocation Factors'!$B$12:$AU$603,7,FALSE)*$L38,0)+IF($H38&lt;&gt;0,(VLOOKUP($J38,'Allocation Factors'!$B$12:$AU$603,7,FALSE)*$H38),0)</f>
        <v>0</v>
      </c>
      <c r="S38" s="200">
        <f ca="1">IF($L38&lt;&gt;0,VLOOKUP($N38,'Allocation Factors'!$B$12:$AU$603,8,FALSE)*$L38,0)+IF($H38&lt;&gt;0,(VLOOKUP($J38,'Allocation Factors'!$B$12:$AU$603,8,FALSE)*$H38),0)</f>
        <v>45.247962890678401</v>
      </c>
      <c r="T38" s="200">
        <f ca="1">IF($L38&lt;&gt;0,VLOOKUP($N38,'Allocation Factors'!$B$12:$AU$603,9,FALSE)*$L38,0)+IF($H38&lt;&gt;0,(VLOOKUP($J38,'Allocation Factors'!$B$12:$AU$603,9,FALSE)*$H38),0)</f>
        <v>969.56156162597472</v>
      </c>
      <c r="U38" s="200">
        <f ca="1">IF($L38&lt;&gt;0,VLOOKUP($N38,'Allocation Factors'!$B$12:$AU$603,10,FALSE)*$L38,0)+IF($H38&lt;&gt;0,(VLOOKUP($J38,'Allocation Factors'!$B$12:$AU$603,10,FALSE)*$H38),0)</f>
        <v>35.052780432868964</v>
      </c>
      <c r="V38" s="200">
        <f ca="1">IF($L38&lt;&gt;0,VLOOKUP($N38,'Allocation Factors'!$B$12:$AU$603,11,FALSE)*$L38,0)+IF($H38&lt;&gt;0,(VLOOKUP($J38,'Allocation Factors'!$B$12:$AU$603,11,FALSE)*$H38),0)</f>
        <v>0</v>
      </c>
      <c r="W38" s="200">
        <f ca="1">IF($L38&lt;&gt;0,VLOOKUP($N38,'Allocation Factors'!$B$12:$AU$603,12,FALSE)*$L38,0)+IF($H38&lt;&gt;0,(VLOOKUP($J38,'Allocation Factors'!$B$12:$AU$603,12,FALSE)*$H38),0)</f>
        <v>3.8832065881383677</v>
      </c>
      <c r="X38" s="200">
        <f ca="1">IF($L38&lt;&gt;0,VLOOKUP($N38,'Allocation Factors'!$B$12:$AU$603,13,FALSE)*$L38,0)+IF($H38&lt;&gt;0,(VLOOKUP($J38,'Allocation Factors'!$B$12:$AU$603,13,FALSE)*$H38),0)</f>
        <v>0</v>
      </c>
      <c r="Y38" s="200">
        <f ca="1">IF($L38&lt;&gt;0,VLOOKUP($N38,'Allocation Factors'!$B$12:$AU$603,14,FALSE)*$L38,0)+IF($H38&lt;&gt;0,(VLOOKUP($J38,'Allocation Factors'!$B$12:$AU$603,14,FALSE)*$H38),0)</f>
        <v>0</v>
      </c>
      <c r="Z38" s="200">
        <f ca="1">IF($L38&lt;&gt;0,VLOOKUP($N38,'Allocation Factors'!$B$12:$AU$603,15,FALSE)*$L38,0)+IF($H38&lt;&gt;0,(VLOOKUP($J38,'Allocation Factors'!$B$12:$AU$603,15,FALSE)*$H38),0)</f>
        <v>0</v>
      </c>
      <c r="AA38" s="200">
        <f ca="1">IF($L38&lt;&gt;0,VLOOKUP($N38,'Allocation Factors'!$B$12:$AU$603,16,FALSE)*$L38,0)+IF($H38&lt;&gt;0,(VLOOKUP($J38,'Allocation Factors'!$B$12:$AU$603,16,FALSE)*$H38),0)</f>
        <v>0</v>
      </c>
      <c r="AB38" s="200">
        <f ca="1">IF($L38&lt;&gt;0,VLOOKUP($N38,'Allocation Factors'!$B$12:$AU$603,17,FALSE)*$L38,0)+IF($H38&lt;&gt;0,(VLOOKUP($J38,'Allocation Factors'!$B$12:$AU$603,17,FALSE)*$H38),0)</f>
        <v>0</v>
      </c>
      <c r="AC38" s="200">
        <f ca="1">IF($L38&lt;&gt;0,VLOOKUP($N38,'Allocation Factors'!$B$12:$AU$603,18,FALSE)*$L38,0)+IF($H38&lt;&gt;0,(VLOOKUP($J38,'Allocation Factors'!$B$12:$AU$603,18,FALSE)*$H38),0)</f>
        <v>2869.5764883882143</v>
      </c>
      <c r="AD38" s="200">
        <f ca="1">IF($L38&lt;&gt;0,VLOOKUP($N38,'Allocation Factors'!$B$12:$AU$603,19,FALSE)*$L38,0)+IF($H38&lt;&gt;0,(VLOOKUP($J38,'Allocation Factors'!$B$12:$AU$603,19,FALSE)*$H38),0)</f>
        <v>856.11724215288541</v>
      </c>
      <c r="AE38" s="200">
        <f ca="1">IF($L38&lt;&gt;0,VLOOKUP($N38,'Allocation Factors'!$B$12:$AU$603,20,FALSE)*$L38,0)+IF($H38&lt;&gt;0,(VLOOKUP($J38,'Allocation Factors'!$B$12:$AU$603,20,FALSE)*$H38),0)</f>
        <v>230.85117293246239</v>
      </c>
      <c r="AF38" s="200">
        <f ca="1">IF($L38&lt;&gt;0,VLOOKUP($N38,'Allocation Factors'!$B$12:$AU$603,21,FALSE)*$L38,0)+IF($H38&lt;&gt;0,(VLOOKUP($J38,'Allocation Factors'!$B$12:$AU$603,21,FALSE)*$H38),0)</f>
        <v>0</v>
      </c>
      <c r="AG38" s="200">
        <f ca="1">IF($L38&lt;&gt;0,VLOOKUP($N38,'Allocation Factors'!$B$12:$AU$603,22,FALSE)*$L38,0)+IF($H38&lt;&gt;0,(VLOOKUP($J38,'Allocation Factors'!$B$12:$AU$603,22,FALSE)*$H38),0)</f>
        <v>38.852022510159976</v>
      </c>
      <c r="AH38" s="200">
        <f ca="1">IF($L38&lt;&gt;0,VLOOKUP($N38,'Allocation Factors'!$B$12:$AU$603,23,FALSE)*$L38,0)+IF($H38&lt;&gt;0,(VLOOKUP($J38,'Allocation Factors'!$B$12:$AU$603,23,FALSE)*$H38),0)</f>
        <v>9181.7816593791613</v>
      </c>
      <c r="AI38" s="200">
        <f ca="1">IF($L38&lt;&gt;0,VLOOKUP($N38,'Allocation Factors'!$B$12:$AU$603,24,FALSE)*$L38,0)+IF($H38&lt;&gt;0,(VLOOKUP($J38,'Allocation Factors'!$B$12:$AU$603,24,FALSE)*$H38),0)</f>
        <v>3402.1181295594556</v>
      </c>
      <c r="AJ38" s="200">
        <f ca="1">IF($L38&lt;&gt;0,VLOOKUP($N38,'Allocation Factors'!$B$12:$AU$603,25,FALSE)*$L38,0)+IF($H38&lt;&gt;0,(VLOOKUP($J38,'Allocation Factors'!$B$12:$AU$603,25,FALSE)*$H38),0)</f>
        <v>960.06043745749912</v>
      </c>
      <c r="AK38" s="200">
        <f ca="1">IF($L38&lt;&gt;0,VLOOKUP($N38,'Allocation Factors'!$B$12:$AU$603,26,FALSE)*$L38,0)+IF($H38&lt;&gt;0,(VLOOKUP($J38,'Allocation Factors'!$B$12:$AU$603,26,FALSE)*$H38),0)</f>
        <v>0</v>
      </c>
      <c r="AL38" s="200">
        <f ca="1">IF($L38&lt;&gt;0,VLOOKUP($N38,'Allocation Factors'!$B$12:$AU$603,27,FALSE)*$L38,0)+IF($H38&lt;&gt;0,(VLOOKUP($J38,'Allocation Factors'!$B$12:$AU$603,27,FALSE)*$H38),0)</f>
        <v>10.638690399146849</v>
      </c>
      <c r="AM38" s="200">
        <f ca="1">IF($L38&lt;&gt;0,VLOOKUP($N38,'Allocation Factors'!$B$12:$AU$603,28,FALSE)*$L38,0)+IF($H38&lt;&gt;0,(VLOOKUP($J38,'Allocation Factors'!$B$12:$AU$603,28,FALSE)*$H38),0)</f>
        <v>0</v>
      </c>
      <c r="AN38" s="200">
        <f ca="1">IF($L38&lt;&gt;0,VLOOKUP($N38,'Allocation Factors'!$B$12:$AU$603,29,FALSE)*$L38,0)+IF($H38&lt;&gt;0,(VLOOKUP($J38,'Allocation Factors'!$B$12:$AU$603,29,FALSE)*$H38),0)</f>
        <v>932.65876198403851</v>
      </c>
      <c r="AO38" s="200">
        <f ca="1">IF($L38&lt;&gt;0,VLOOKUP($N38,'Allocation Factors'!$B$12:$AU$603,30,FALSE)*$L38,0)+IF($H38&lt;&gt;0,(VLOOKUP($J38,'Allocation Factors'!$B$12:$AU$603,30,FALSE)*$H38),0)</f>
        <v>0</v>
      </c>
      <c r="AP38" s="200">
        <f ca="1">IF($L38&lt;&gt;0,VLOOKUP($N38,'Allocation Factors'!$B$12:$AU$603,31,FALSE)*$L38,0)+IF($H38&lt;&gt;0,(VLOOKUP($J38,'Allocation Factors'!$B$12:$AU$603,31,FALSE)*$H38),0)</f>
        <v>63.743712492658616</v>
      </c>
      <c r="AQ38" s="200">
        <f ca="1">IF($L38&lt;&gt;0,VLOOKUP($N38,'Allocation Factors'!$B$12:$AU$603,32,FALSE)*$L38,0)+IF($H38&lt;&gt;0,(VLOOKUP($J38,'Allocation Factors'!$B$12:$AU$603,32,FALSE)*$H38),0)</f>
        <v>0</v>
      </c>
      <c r="AR38" s="200">
        <f ca="1">IF($L38&lt;&gt;0,VLOOKUP($N38,'Allocation Factors'!$B$12:$AU$603,33,FALSE)*$L38,0)+IF($H38&lt;&gt;0,(VLOOKUP($J38,'Allocation Factors'!$B$12:$AU$603,33,FALSE)*$H38),0)</f>
        <v>421.61655680097886</v>
      </c>
      <c r="AS38" s="200">
        <f ca="1">IF($L38&lt;&gt;0,VLOOKUP($N38,'Allocation Factors'!$B$12:$AU$603,34,FALSE)*$L38,0)+IF($H38&lt;&gt;0,(VLOOKUP($J38,'Allocation Factors'!$B$12:$AU$603,34,FALSE)*$H38),0)</f>
        <v>0</v>
      </c>
      <c r="AT38" s="200">
        <f ca="1">IF($L38&lt;&gt;0,VLOOKUP($N38,'Allocation Factors'!$B$12:$AU$603,35,FALSE)*$L38,0)+IF($H38&lt;&gt;0,(VLOOKUP($J38,'Allocation Factors'!$B$12:$AU$603,35,FALSE)*$H38),0)</f>
        <v>132.48721711610406</v>
      </c>
      <c r="AU38" s="200">
        <f ca="1">IF($L38&lt;&gt;0,VLOOKUP($N38,'Allocation Factors'!$B$12:$AU$603,36,FALSE)*$L38,0)+IF($H38&lt;&gt;0,(VLOOKUP($J38,'Allocation Factors'!$B$12:$AU$603,36,FALSE)*$H38),0)</f>
        <v>0</v>
      </c>
      <c r="AV38" s="200">
        <f ca="1">IF($L38&lt;&gt;0,VLOOKUP($N38,'Allocation Factors'!$B$12:$AU$603,37,FALSE)*$L38,0)+IF($H38&lt;&gt;0,(VLOOKUP($J38,'Allocation Factors'!$B$12:$AU$603,37,FALSE)*$H38),0)</f>
        <v>0</v>
      </c>
      <c r="AW38" s="200">
        <f ca="1">IF($L38&lt;&gt;0,VLOOKUP($N38,'Allocation Factors'!$B$12:$AU$603,38,FALSE)*$L38,0)+IF($H38&lt;&gt;0,(VLOOKUP($J38,'Allocation Factors'!$B$12:$AU$603,38,FALSE)*$H38),0)</f>
        <v>0</v>
      </c>
      <c r="AX38" s="200">
        <f ca="1">IF($L38&lt;&gt;0,VLOOKUP($N38,'Allocation Factors'!$B$12:$AU$603,39,FALSE)*$L38,0)+IF($H38&lt;&gt;0,(VLOOKUP($J38,'Allocation Factors'!$B$12:$AU$603,39,FALSE)*$H38),0)</f>
        <v>0</v>
      </c>
      <c r="AY38" s="200">
        <f ca="1">IF($L38&lt;&gt;0,VLOOKUP($N38,'Allocation Factors'!$B$12:$AU$603,40,FALSE)*$L38,0)+IF($H38&lt;&gt;0,(VLOOKUP($J38,'Allocation Factors'!$B$12:$AU$603,40,FALSE)*$H38),0)</f>
        <v>0</v>
      </c>
      <c r="AZ38" s="200">
        <f ca="1">IF($L38&lt;&gt;0,VLOOKUP($N38,'Allocation Factors'!$B$12:$AU$603,41,FALSE)*$L38,0)+IF($H38&lt;&gt;0,(VLOOKUP($J38,'Allocation Factors'!$B$12:$AU$603,41,FALSE)*$H38),0)</f>
        <v>0</v>
      </c>
      <c r="BA38" s="200">
        <f ca="1">IF($L38&lt;&gt;0,VLOOKUP($N38,'Allocation Factors'!$B$12:$AU$603,42,FALSE)*$L38,0)+IF($H38&lt;&gt;0,(VLOOKUP($J38,'Allocation Factors'!$B$12:$AU$603,42,FALSE)*$H38),0)</f>
        <v>0</v>
      </c>
      <c r="BB38" s="200">
        <f ca="1">IF($L38&lt;&gt;0,VLOOKUP($N38,'Allocation Factors'!$B$12:$AU$603,43,FALSE)*$L38,0)+IF($H38&lt;&gt;0,(VLOOKUP($J38,'Allocation Factors'!$B$12:$AU$603,43,FALSE)*$H38),0)</f>
        <v>0</v>
      </c>
      <c r="BC38" s="200">
        <f ca="1">IF($L38&lt;&gt;0,VLOOKUP($N38,'Allocation Factors'!$B$12:$AU$603,44,FALSE)*$L38,0)+IF($H38&lt;&gt;0,(VLOOKUP($J38,'Allocation Factors'!$B$12:$AU$603,44,FALSE)*$H38),0)</f>
        <v>0</v>
      </c>
      <c r="BD38" s="200">
        <f ca="1">IF($L38&lt;&gt;0,VLOOKUP($N38,'Allocation Factors'!$B$12:$AU$603,45,FALSE)*$L38,0)+IF($H38&lt;&gt;0,(VLOOKUP($J38,'Allocation Factors'!$B$12:$AU$603,45,FALSE)*$H38),0)</f>
        <v>0</v>
      </c>
      <c r="BE38" s="200">
        <f ca="1">IF($L38&lt;&gt;0,VLOOKUP($N38,'Allocation Factors'!$B$12:$AU$603,46,FALSE)*$L38,0)+IF($H38&lt;&gt;0,(VLOOKUP($J38,'Allocation Factors'!$B$12:$AU$603,46,FALSE)*$H38),0)</f>
        <v>0</v>
      </c>
    </row>
    <row r="39" spans="1:57" x14ac:dyDescent="0.25">
      <c r="A39" s="2">
        <f t="shared" ref="A39:A52" si="8">A38+1</f>
        <v>23</v>
      </c>
      <c r="B39" s="73" t="s">
        <v>323</v>
      </c>
      <c r="D39" s="200">
        <f ca="1">'Distribution Class'!T164</f>
        <v>505800.29360904114</v>
      </c>
      <c r="E39" s="200"/>
      <c r="F39" s="200">
        <f ca="1">'Distribution Class'!T180</f>
        <v>504952.03069765016</v>
      </c>
      <c r="G39" s="200"/>
      <c r="H39" s="200"/>
      <c r="I39" s="200"/>
      <c r="J39" s="214"/>
      <c r="K39" s="200"/>
      <c r="L39" s="200">
        <f ca="1">F39-H39</f>
        <v>504952.03069765016</v>
      </c>
      <c r="N39" s="91" t="s">
        <v>326</v>
      </c>
      <c r="P39" s="200">
        <f ca="1">IF($L39&lt;&gt;0,VLOOKUP($N39,'Allocation Factors'!$B$12:$AU$603,5,FALSE)*$L39,0)+IF($H39&lt;&gt;0,(VLOOKUP($J39,'Allocation Factors'!$B$12:$AU$603,5,FALSE)*$H39),0)</f>
        <v>161423.33955487359</v>
      </c>
      <c r="Q39" s="200">
        <f ca="1">IF($L39&lt;&gt;0,VLOOKUP($N39,'Allocation Factors'!$B$12:$AU$603,6,FALSE)*$L39,0)+IF($H39&lt;&gt;0,(VLOOKUP($J39,'Allocation Factors'!$B$12:$AU$603,6,FALSE)*$H39),0)</f>
        <v>144052.99552672767</v>
      </c>
      <c r="R39" s="200">
        <f ca="1">IF($L39&lt;&gt;0,VLOOKUP($N39,'Allocation Factors'!$B$12:$AU$603,7,FALSE)*$L39,0)+IF($H39&lt;&gt;0,(VLOOKUP($J39,'Allocation Factors'!$B$12:$AU$603,7,FALSE)*$H39),0)</f>
        <v>0</v>
      </c>
      <c r="S39" s="200">
        <f ca="1">IF($L39&lt;&gt;0,VLOOKUP($N39,'Allocation Factors'!$B$12:$AU$603,8,FALSE)*$L39,0)+IF($H39&lt;&gt;0,(VLOOKUP($J39,'Allocation Factors'!$B$12:$AU$603,8,FALSE)*$H39),0)</f>
        <v>338.85933950893678</v>
      </c>
      <c r="T39" s="200">
        <f ca="1">IF($L39&lt;&gt;0,VLOOKUP($N39,'Allocation Factors'!$B$12:$AU$603,9,FALSE)*$L39,0)+IF($H39&lt;&gt;0,(VLOOKUP($J39,'Allocation Factors'!$B$12:$AU$603,9,FALSE)*$H39),0)</f>
        <v>8306.0386219039101</v>
      </c>
      <c r="U39" s="200">
        <f ca="1">IF($L39&lt;&gt;0,VLOOKUP($N39,'Allocation Factors'!$B$12:$AU$603,10,FALSE)*$L39,0)+IF($H39&lt;&gt;0,(VLOOKUP($J39,'Allocation Factors'!$B$12:$AU$603,10,FALSE)*$H39),0)</f>
        <v>327.13230439661464</v>
      </c>
      <c r="V39" s="200">
        <f ca="1">IF($L39&lt;&gt;0,VLOOKUP($N39,'Allocation Factors'!$B$12:$AU$603,11,FALSE)*$L39,0)+IF($H39&lt;&gt;0,(VLOOKUP($J39,'Allocation Factors'!$B$12:$AU$603,11,FALSE)*$H39),0)</f>
        <v>0</v>
      </c>
      <c r="W39" s="200">
        <f ca="1">IF($L39&lt;&gt;0,VLOOKUP($N39,'Allocation Factors'!$B$12:$AU$603,12,FALSE)*$L39,0)+IF($H39&lt;&gt;0,(VLOOKUP($J39,'Allocation Factors'!$B$12:$AU$603,12,FALSE)*$H39),0)</f>
        <v>24.719633534384339</v>
      </c>
      <c r="X39" s="200">
        <f ca="1">IF($L39&lt;&gt;0,VLOOKUP($N39,'Allocation Factors'!$B$12:$AU$603,13,FALSE)*$L39,0)+IF($H39&lt;&gt;0,(VLOOKUP($J39,'Allocation Factors'!$B$12:$AU$603,13,FALSE)*$H39),0)</f>
        <v>51.132797122305604</v>
      </c>
      <c r="Y39" s="200">
        <f ca="1">IF($L39&lt;&gt;0,VLOOKUP($N39,'Allocation Factors'!$B$12:$AU$603,14,FALSE)*$L39,0)+IF($H39&lt;&gt;0,(VLOOKUP($J39,'Allocation Factors'!$B$12:$AU$603,14,FALSE)*$H39),0)</f>
        <v>254.10704389789399</v>
      </c>
      <c r="Z39" s="200">
        <f ca="1">IF($L39&lt;&gt;0,VLOOKUP($N39,'Allocation Factors'!$B$12:$AU$603,15,FALSE)*$L39,0)+IF($H39&lt;&gt;0,(VLOOKUP($J39,'Allocation Factors'!$B$12:$AU$603,15,FALSE)*$H39),0)</f>
        <v>0</v>
      </c>
      <c r="AA39" s="200">
        <f ca="1">IF($L39&lt;&gt;0,VLOOKUP($N39,'Allocation Factors'!$B$12:$AU$603,16,FALSE)*$L39,0)+IF($H39&lt;&gt;0,(VLOOKUP($J39,'Allocation Factors'!$B$12:$AU$603,16,FALSE)*$H39),0)</f>
        <v>0</v>
      </c>
      <c r="AB39" s="200">
        <f ca="1">IF($L39&lt;&gt;0,VLOOKUP($N39,'Allocation Factors'!$B$12:$AU$603,17,FALSE)*$L39,0)+IF($H39&lt;&gt;0,(VLOOKUP($J39,'Allocation Factors'!$B$12:$AU$603,17,FALSE)*$H39),0)</f>
        <v>0</v>
      </c>
      <c r="AC39" s="200">
        <f ca="1">IF($L39&lt;&gt;0,VLOOKUP($N39,'Allocation Factors'!$B$12:$AU$603,18,FALSE)*$L39,0)+IF($H39&lt;&gt;0,(VLOOKUP($J39,'Allocation Factors'!$B$12:$AU$603,18,FALSE)*$H39),0)</f>
        <v>29715.526769606306</v>
      </c>
      <c r="AD39" s="200">
        <f ca="1">IF($L39&lt;&gt;0,VLOOKUP($N39,'Allocation Factors'!$B$12:$AU$603,19,FALSE)*$L39,0)+IF($H39&lt;&gt;0,(VLOOKUP($J39,'Allocation Factors'!$B$12:$AU$603,19,FALSE)*$H39),0)</f>
        <v>8865.4109517759316</v>
      </c>
      <c r="AE39" s="200">
        <f ca="1">IF($L39&lt;&gt;0,VLOOKUP($N39,'Allocation Factors'!$B$12:$AU$603,20,FALSE)*$L39,0)+IF($H39&lt;&gt;0,(VLOOKUP($J39,'Allocation Factors'!$B$12:$AU$603,20,FALSE)*$H39),0)</f>
        <v>321.69059546417355</v>
      </c>
      <c r="AF39" s="200">
        <f ca="1">IF($L39&lt;&gt;0,VLOOKUP($N39,'Allocation Factors'!$B$12:$AU$603,21,FALSE)*$L39,0)+IF($H39&lt;&gt;0,(VLOOKUP($J39,'Allocation Factors'!$B$12:$AU$603,21,FALSE)*$H39),0)</f>
        <v>2652.7939888238611</v>
      </c>
      <c r="AG39" s="200">
        <f ca="1">IF($L39&lt;&gt;0,VLOOKUP($N39,'Allocation Factors'!$B$12:$AU$603,22,FALSE)*$L39,0)+IF($H39&lt;&gt;0,(VLOOKUP($J39,'Allocation Factors'!$B$12:$AU$603,22,FALSE)*$H39),0)</f>
        <v>0</v>
      </c>
      <c r="AH39" s="200">
        <f ca="1">IF($L39&lt;&gt;0,VLOOKUP($N39,'Allocation Factors'!$B$12:$AU$603,23,FALSE)*$L39,0)+IF($H39&lt;&gt;0,(VLOOKUP($J39,'Allocation Factors'!$B$12:$AU$603,23,FALSE)*$H39),0)</f>
        <v>95080.747906884149</v>
      </c>
      <c r="AI39" s="200">
        <f ca="1">IF($L39&lt;&gt;0,VLOOKUP($N39,'Allocation Factors'!$B$12:$AU$603,24,FALSE)*$L39,0)+IF($H39&lt;&gt;0,(VLOOKUP($J39,'Allocation Factors'!$B$12:$AU$603,24,FALSE)*$H39),0)</f>
        <v>35230.19259509979</v>
      </c>
      <c r="AJ39" s="200">
        <f ca="1">IF($L39&lt;&gt;0,VLOOKUP($N39,'Allocation Factors'!$B$12:$AU$603,25,FALSE)*$L39,0)+IF($H39&lt;&gt;0,(VLOOKUP($J39,'Allocation Factors'!$B$12:$AU$603,25,FALSE)*$H39),0)</f>
        <v>7768.599749403129</v>
      </c>
      <c r="AK39" s="200">
        <f ca="1">IF($L39&lt;&gt;0,VLOOKUP($N39,'Allocation Factors'!$B$12:$AU$603,26,FALSE)*$L39,0)+IF($H39&lt;&gt;0,(VLOOKUP($J39,'Allocation Factors'!$B$12:$AU$603,26,FALSE)*$H39),0)</f>
        <v>2.6428812794971748</v>
      </c>
      <c r="AL39" s="200">
        <f ca="1">IF($L39&lt;&gt;0,VLOOKUP($N39,'Allocation Factors'!$B$12:$AU$603,27,FALSE)*$L39,0)+IF($H39&lt;&gt;0,(VLOOKUP($J39,'Allocation Factors'!$B$12:$AU$603,27,FALSE)*$H39),0)</f>
        <v>85.680451803457572</v>
      </c>
      <c r="AM39" s="200">
        <f ca="1">IF($L39&lt;&gt;0,VLOOKUP($N39,'Allocation Factors'!$B$12:$AU$603,28,FALSE)*$L39,0)+IF($H39&lt;&gt;0,(VLOOKUP($J39,'Allocation Factors'!$B$12:$AU$603,28,FALSE)*$H39),0)</f>
        <v>49.578577195727306</v>
      </c>
      <c r="AN39" s="200">
        <f ca="1">IF($L39&lt;&gt;0,VLOOKUP($N39,'Allocation Factors'!$B$12:$AU$603,29,FALSE)*$L39,0)+IF($H39&lt;&gt;0,(VLOOKUP($J39,'Allocation Factors'!$B$12:$AU$603,29,FALSE)*$H39),0)</f>
        <v>6461.5776595747793</v>
      </c>
      <c r="AO39" s="200">
        <f ca="1">IF($L39&lt;&gt;0,VLOOKUP($N39,'Allocation Factors'!$B$12:$AU$603,30,FALSE)*$L39,0)+IF($H39&lt;&gt;0,(VLOOKUP($J39,'Allocation Factors'!$B$12:$AU$603,30,FALSE)*$H39),0)</f>
        <v>93.421461489784605</v>
      </c>
      <c r="AP39" s="200">
        <f ca="1">IF($L39&lt;&gt;0,VLOOKUP($N39,'Allocation Factors'!$B$12:$AU$603,31,FALSE)*$L39,0)+IF($H39&lt;&gt;0,(VLOOKUP($J39,'Allocation Factors'!$B$12:$AU$603,31,FALSE)*$H39),0)</f>
        <v>0</v>
      </c>
      <c r="AQ39" s="200">
        <f ca="1">IF($L39&lt;&gt;0,VLOOKUP($N39,'Allocation Factors'!$B$12:$AU$603,32,FALSE)*$L39,0)+IF($H39&lt;&gt;0,(VLOOKUP($J39,'Allocation Factors'!$B$12:$AU$603,32,FALSE)*$H39),0)</f>
        <v>0</v>
      </c>
      <c r="AR39" s="200">
        <f ca="1">IF($L39&lt;&gt;0,VLOOKUP($N39,'Allocation Factors'!$B$12:$AU$603,33,FALSE)*$L39,0)+IF($H39&lt;&gt;0,(VLOOKUP($J39,'Allocation Factors'!$B$12:$AU$603,33,FALSE)*$H39),0)</f>
        <v>2471.0221588064437</v>
      </c>
      <c r="AS39" s="200">
        <f ca="1">IF($L39&lt;&gt;0,VLOOKUP($N39,'Allocation Factors'!$B$12:$AU$603,34,FALSE)*$L39,0)+IF($H39&lt;&gt;0,(VLOOKUP($J39,'Allocation Factors'!$B$12:$AU$603,34,FALSE)*$H39),0)</f>
        <v>17.743374596505078</v>
      </c>
      <c r="AT39" s="200">
        <f ca="1">IF($L39&lt;&gt;0,VLOOKUP($N39,'Allocation Factors'!$B$12:$AU$603,35,FALSE)*$L39,0)+IF($H39&lt;&gt;0,(VLOOKUP($J39,'Allocation Factors'!$B$12:$AU$603,35,FALSE)*$H39),0)</f>
        <v>806.41779578133207</v>
      </c>
      <c r="AU39" s="200">
        <f ca="1">IF($L39&lt;&gt;0,VLOOKUP($N39,'Allocation Factors'!$B$12:$AU$603,36,FALSE)*$L39,0)+IF($H39&lt;&gt;0,(VLOOKUP($J39,'Allocation Factors'!$B$12:$AU$603,36,FALSE)*$H39),0)</f>
        <v>550.6589580999713</v>
      </c>
      <c r="AV39" s="200">
        <f ca="1">IF($L39&lt;&gt;0,VLOOKUP($N39,'Allocation Factors'!$B$12:$AU$603,37,FALSE)*$L39,0)+IF($H39&lt;&gt;0,(VLOOKUP($J39,'Allocation Factors'!$B$12:$AU$603,37,FALSE)*$H39),0)</f>
        <v>0</v>
      </c>
      <c r="AW39" s="200">
        <f ca="1">IF($L39&lt;&gt;0,VLOOKUP($N39,'Allocation Factors'!$B$12:$AU$603,38,FALSE)*$L39,0)+IF($H39&lt;&gt;0,(VLOOKUP($J39,'Allocation Factors'!$B$12:$AU$603,38,FALSE)*$H39),0)</f>
        <v>0</v>
      </c>
      <c r="AX39" s="200">
        <f ca="1">IF($L39&lt;&gt;0,VLOOKUP($N39,'Allocation Factors'!$B$12:$AU$603,39,FALSE)*$L39,0)+IF($H39&lt;&gt;0,(VLOOKUP($J39,'Allocation Factors'!$B$12:$AU$603,39,FALSE)*$H39),0)</f>
        <v>0</v>
      </c>
      <c r="AY39" s="200">
        <f ca="1">IF($L39&lt;&gt;0,VLOOKUP($N39,'Allocation Factors'!$B$12:$AU$603,40,FALSE)*$L39,0)+IF($H39&lt;&gt;0,(VLOOKUP($J39,'Allocation Factors'!$B$12:$AU$603,40,FALSE)*$H39),0)</f>
        <v>0</v>
      </c>
      <c r="AZ39" s="200">
        <f ca="1">IF($L39&lt;&gt;0,VLOOKUP($N39,'Allocation Factors'!$B$12:$AU$603,41,FALSE)*$L39,0)+IF($H39&lt;&gt;0,(VLOOKUP($J39,'Allocation Factors'!$B$12:$AU$603,41,FALSE)*$H39),0)</f>
        <v>0</v>
      </c>
      <c r="BA39" s="200">
        <f ca="1">IF($L39&lt;&gt;0,VLOOKUP($N39,'Allocation Factors'!$B$12:$AU$603,42,FALSE)*$L39,0)+IF($H39&lt;&gt;0,(VLOOKUP($J39,'Allocation Factors'!$B$12:$AU$603,42,FALSE)*$H39),0)</f>
        <v>0</v>
      </c>
      <c r="BB39" s="200">
        <f ca="1">IF($L39&lt;&gt;0,VLOOKUP($N39,'Allocation Factors'!$B$12:$AU$603,43,FALSE)*$L39,0)+IF($H39&lt;&gt;0,(VLOOKUP($J39,'Allocation Factors'!$B$12:$AU$603,43,FALSE)*$H39),0)</f>
        <v>0</v>
      </c>
      <c r="BC39" s="200">
        <f ca="1">IF($L39&lt;&gt;0,VLOOKUP($N39,'Allocation Factors'!$B$12:$AU$603,44,FALSE)*$L39,0)+IF($H39&lt;&gt;0,(VLOOKUP($J39,'Allocation Factors'!$B$12:$AU$603,44,FALSE)*$H39),0)</f>
        <v>0</v>
      </c>
      <c r="BD39" s="200">
        <f ca="1">IF($L39&lt;&gt;0,VLOOKUP($N39,'Allocation Factors'!$B$12:$AU$603,45,FALSE)*$L39,0)+IF($H39&lt;&gt;0,(VLOOKUP($J39,'Allocation Factors'!$B$12:$AU$603,45,FALSE)*$H39),0)</f>
        <v>0</v>
      </c>
      <c r="BE39" s="200">
        <f ca="1">IF($L39&lt;&gt;0,VLOOKUP($N39,'Allocation Factors'!$B$12:$AU$603,46,FALSE)*$L39,0)+IF($H39&lt;&gt;0,(VLOOKUP($J39,'Allocation Factors'!$B$12:$AU$603,46,FALSE)*$H39),0)</f>
        <v>0</v>
      </c>
    </row>
    <row r="40" spans="1:57" x14ac:dyDescent="0.25">
      <c r="B40" s="73" t="s">
        <v>188</v>
      </c>
      <c r="D40" s="200"/>
      <c r="E40" s="200"/>
      <c r="F40" s="200"/>
      <c r="G40" s="200"/>
      <c r="H40" s="200"/>
      <c r="I40" s="200"/>
      <c r="J40" s="214"/>
      <c r="K40" s="200"/>
      <c r="L40" s="200"/>
    </row>
    <row r="41" spans="1:57" x14ac:dyDescent="0.25">
      <c r="A41" s="2">
        <f>A39+1</f>
        <v>24</v>
      </c>
      <c r="B41" s="206" t="s">
        <v>190</v>
      </c>
      <c r="D41" s="200">
        <f ca="1">'Distribution Class'!AJ148</f>
        <v>144347.57149315687</v>
      </c>
      <c r="E41" s="200"/>
      <c r="F41" s="200">
        <f ca="1">D41</f>
        <v>144347.57149315687</v>
      </c>
      <c r="G41" s="200"/>
      <c r="H41" s="200"/>
      <c r="I41" s="200"/>
      <c r="J41" s="214"/>
      <c r="K41" s="200"/>
      <c r="L41" s="200">
        <f t="shared" ref="L41:L46" ca="1" si="9">F41-H41</f>
        <v>144347.57149315687</v>
      </c>
      <c r="N41" s="91" t="s">
        <v>186</v>
      </c>
      <c r="P41" s="200">
        <f ca="1">IF($L41&lt;&gt;0,VLOOKUP($N41,'Allocation Factors'!$B$12:$AU$603,5,FALSE)*$L41,0)+IF($H41&lt;&gt;0,(VLOOKUP($J41,'Allocation Factors'!$B$12:$AU$603,5,FALSE)*$H41),0)</f>
        <v>56893.312697637433</v>
      </c>
      <c r="Q41" s="200">
        <f ca="1">IF($L41&lt;&gt;0,VLOOKUP($N41,'Allocation Factors'!$B$12:$AU$603,6,FALSE)*$L41,0)+IF($H41&lt;&gt;0,(VLOOKUP($J41,'Allocation Factors'!$B$12:$AU$603,6,FALSE)*$H41),0)</f>
        <v>23192.688405700643</v>
      </c>
      <c r="R41" s="200">
        <f ca="1">IF($L41&lt;&gt;0,VLOOKUP($N41,'Allocation Factors'!$B$12:$AU$603,7,FALSE)*$L41,0)+IF($H41&lt;&gt;0,(VLOOKUP($J41,'Allocation Factors'!$B$12:$AU$603,7,FALSE)*$H41),0)</f>
        <v>0</v>
      </c>
      <c r="S41" s="200">
        <f ca="1">IF($L41&lt;&gt;0,VLOOKUP($N41,'Allocation Factors'!$B$12:$AU$603,8,FALSE)*$L41,0)+IF($H41&lt;&gt;0,(VLOOKUP($J41,'Allocation Factors'!$B$12:$AU$603,8,FALSE)*$H41),0)</f>
        <v>184.73747524735788</v>
      </c>
      <c r="T41" s="200">
        <f ca="1">IF($L41&lt;&gt;0,VLOOKUP($N41,'Allocation Factors'!$B$12:$AU$603,9,FALSE)*$L41,0)+IF($H41&lt;&gt;0,(VLOOKUP($J41,'Allocation Factors'!$B$12:$AU$603,9,FALSE)*$H41),0)</f>
        <v>1664.9070491573086</v>
      </c>
      <c r="U41" s="200">
        <f ca="1">IF($L41&lt;&gt;0,VLOOKUP($N41,'Allocation Factors'!$B$12:$AU$603,10,FALSE)*$L41,0)+IF($H41&lt;&gt;0,(VLOOKUP($J41,'Allocation Factors'!$B$12:$AU$603,10,FALSE)*$H41),0)</f>
        <v>714.84768900906147</v>
      </c>
      <c r="V41" s="200">
        <f ca="1">IF($L41&lt;&gt;0,VLOOKUP($N41,'Allocation Factors'!$B$12:$AU$603,11,FALSE)*$L41,0)+IF($H41&lt;&gt;0,(VLOOKUP($J41,'Allocation Factors'!$B$12:$AU$603,11,FALSE)*$H41),0)</f>
        <v>139.25157143873889</v>
      </c>
      <c r="W41" s="200">
        <f ca="1">IF($L41&lt;&gt;0,VLOOKUP($N41,'Allocation Factors'!$B$12:$AU$603,12,FALSE)*$L41,0)+IF($H41&lt;&gt;0,(VLOOKUP($J41,'Allocation Factors'!$B$12:$AU$603,12,FALSE)*$H41),0)</f>
        <v>661.02361534366526</v>
      </c>
      <c r="X41" s="200">
        <f ca="1">IF($L41&lt;&gt;0,VLOOKUP($N41,'Allocation Factors'!$B$12:$AU$603,13,FALSE)*$L41,0)+IF($H41&lt;&gt;0,(VLOOKUP($J41,'Allocation Factors'!$B$12:$AU$603,13,FALSE)*$H41),0)</f>
        <v>233.43877489657126</v>
      </c>
      <c r="Y41" s="200">
        <f ca="1">IF($L41&lt;&gt;0,VLOOKUP($N41,'Allocation Factors'!$B$12:$AU$603,14,FALSE)*$L41,0)+IF($H41&lt;&gt;0,(VLOOKUP($J41,'Allocation Factors'!$B$12:$AU$603,14,FALSE)*$H41),0)</f>
        <v>262.02972680496083</v>
      </c>
      <c r="Z41" s="200">
        <f ca="1">IF($L41&lt;&gt;0,VLOOKUP($N41,'Allocation Factors'!$B$12:$AU$603,15,FALSE)*$L41,0)+IF($H41&lt;&gt;0,(VLOOKUP($J41,'Allocation Factors'!$B$12:$AU$603,15,FALSE)*$H41),0)</f>
        <v>33.69032795198293</v>
      </c>
      <c r="AA41" s="200">
        <f ca="1">IF($L41&lt;&gt;0,VLOOKUP($N41,'Allocation Factors'!$B$12:$AU$603,16,FALSE)*$L41,0)+IF($H41&lt;&gt;0,(VLOOKUP($J41,'Allocation Factors'!$B$12:$AU$603,16,FALSE)*$H41),0)</f>
        <v>0</v>
      </c>
      <c r="AB41" s="200">
        <f ca="1">IF($L41&lt;&gt;0,VLOOKUP($N41,'Allocation Factors'!$B$12:$AU$603,17,FALSE)*$L41,0)+IF($H41&lt;&gt;0,(VLOOKUP($J41,'Allocation Factors'!$B$12:$AU$603,17,FALSE)*$H41),0)</f>
        <v>0</v>
      </c>
      <c r="AC41" s="200">
        <f ca="1">IF($L41&lt;&gt;0,VLOOKUP($N41,'Allocation Factors'!$B$12:$AU$603,18,FALSE)*$L41,0)+IF($H41&lt;&gt;0,(VLOOKUP($J41,'Allocation Factors'!$B$12:$AU$603,18,FALSE)*$H41),0)</f>
        <v>5301.3007105267361</v>
      </c>
      <c r="AD41" s="200">
        <f ca="1">IF($L41&lt;&gt;0,VLOOKUP($N41,'Allocation Factors'!$B$12:$AU$603,19,FALSE)*$L41,0)+IF($H41&lt;&gt;0,(VLOOKUP($J41,'Allocation Factors'!$B$12:$AU$603,19,FALSE)*$H41),0)</f>
        <v>1252.0740772384988</v>
      </c>
      <c r="AE41" s="200">
        <f ca="1">IF($L41&lt;&gt;0,VLOOKUP($N41,'Allocation Factors'!$B$12:$AU$603,20,FALSE)*$L41,0)+IF($H41&lt;&gt;0,(VLOOKUP($J41,'Allocation Factors'!$B$12:$AU$603,20,FALSE)*$H41),0)</f>
        <v>931.12032184095222</v>
      </c>
      <c r="AF41" s="200">
        <f ca="1">IF($L41&lt;&gt;0,VLOOKUP($N41,'Allocation Factors'!$B$12:$AU$603,21,FALSE)*$L41,0)+IF($H41&lt;&gt;0,(VLOOKUP($J41,'Allocation Factors'!$B$12:$AU$603,21,FALSE)*$H41),0)</f>
        <v>62.982296081059019</v>
      </c>
      <c r="AG41" s="200">
        <f ca="1">IF($L41&lt;&gt;0,VLOOKUP($N41,'Allocation Factors'!$B$12:$AU$603,22,FALSE)*$L41,0)+IF($H41&lt;&gt;0,(VLOOKUP($J41,'Allocation Factors'!$B$12:$AU$603,22,FALSE)*$H41),0)</f>
        <v>717.18715307386015</v>
      </c>
      <c r="AH41" s="200">
        <f ca="1">IF($L41&lt;&gt;0,VLOOKUP($N41,'Allocation Factors'!$B$12:$AU$603,23,FALSE)*$L41,0)+IF($H41&lt;&gt;0,(VLOOKUP($J41,'Allocation Factors'!$B$12:$AU$603,23,FALSE)*$H41),0)</f>
        <v>36345.932515774402</v>
      </c>
      <c r="AI41" s="200">
        <f ca="1">IF($L41&lt;&gt;0,VLOOKUP($N41,'Allocation Factors'!$B$12:$AU$603,24,FALSE)*$L41,0)+IF($H41&lt;&gt;0,(VLOOKUP($J41,'Allocation Factors'!$B$12:$AU$603,24,FALSE)*$H41),0)</f>
        <v>5198.7408015945784</v>
      </c>
      <c r="AJ41" s="200">
        <f ca="1">IF($L41&lt;&gt;0,VLOOKUP($N41,'Allocation Factors'!$B$12:$AU$603,25,FALSE)*$L41,0)+IF($H41&lt;&gt;0,(VLOOKUP($J41,'Allocation Factors'!$B$12:$AU$603,25,FALSE)*$H41),0)</f>
        <v>3793.5025278462781</v>
      </c>
      <c r="AK41" s="200">
        <f ca="1">IF($L41&lt;&gt;0,VLOOKUP($N41,'Allocation Factors'!$B$12:$AU$603,26,FALSE)*$L41,0)+IF($H41&lt;&gt;0,(VLOOKUP($J41,'Allocation Factors'!$B$12:$AU$603,26,FALSE)*$H41),0)</f>
        <v>1.5208841282015346</v>
      </c>
      <c r="AL41" s="200">
        <f ca="1">IF($L41&lt;&gt;0,VLOOKUP($N41,'Allocation Factors'!$B$12:$AU$603,27,FALSE)*$L41,0)+IF($H41&lt;&gt;0,(VLOOKUP($J41,'Allocation Factors'!$B$12:$AU$603,27,FALSE)*$H41),0)</f>
        <v>21.666346437717859</v>
      </c>
      <c r="AM41" s="200">
        <f ca="1">IF($L41&lt;&gt;0,VLOOKUP($N41,'Allocation Factors'!$B$12:$AU$603,28,FALSE)*$L41,0)+IF($H41&lt;&gt;0,(VLOOKUP($J41,'Allocation Factors'!$B$12:$AU$603,28,FALSE)*$H41),0)</f>
        <v>270.89598092565882</v>
      </c>
      <c r="AN41" s="200">
        <f ca="1">IF($L41&lt;&gt;0,VLOOKUP($N41,'Allocation Factors'!$B$12:$AU$603,29,FALSE)*$L41,0)+IF($H41&lt;&gt;0,(VLOOKUP($J41,'Allocation Factors'!$B$12:$AU$603,29,FALSE)*$H41),0)</f>
        <v>2601.8623555395016</v>
      </c>
      <c r="AO41" s="200">
        <f ca="1">IF($L41&lt;&gt;0,VLOOKUP($N41,'Allocation Factors'!$B$12:$AU$603,30,FALSE)*$L41,0)+IF($H41&lt;&gt;0,(VLOOKUP($J41,'Allocation Factors'!$B$12:$AU$603,30,FALSE)*$H41),0)</f>
        <v>277.0471742652548</v>
      </c>
      <c r="AP41" s="200">
        <f ca="1">IF($L41&lt;&gt;0,VLOOKUP($N41,'Allocation Factors'!$B$12:$AU$603,31,FALSE)*$L41,0)+IF($H41&lt;&gt;0,(VLOOKUP($J41,'Allocation Factors'!$B$12:$AU$603,31,FALSE)*$H41),0)</f>
        <v>14.128103887367409</v>
      </c>
      <c r="AQ41" s="200">
        <f ca="1">IF($L41&lt;&gt;0,VLOOKUP($N41,'Allocation Factors'!$B$12:$AU$603,32,FALSE)*$L41,0)+IF($H41&lt;&gt;0,(VLOOKUP($J41,'Allocation Factors'!$B$12:$AU$603,32,FALSE)*$H41),0)</f>
        <v>0</v>
      </c>
      <c r="AR41" s="200">
        <f ca="1">IF($L41&lt;&gt;0,VLOOKUP($N41,'Allocation Factors'!$B$12:$AU$603,33,FALSE)*$L41,0)+IF($H41&lt;&gt;0,(VLOOKUP($J41,'Allocation Factors'!$B$12:$AU$603,33,FALSE)*$H41),0)</f>
        <v>627.82817381424832</v>
      </c>
      <c r="AS41" s="200">
        <f ca="1">IF($L41&lt;&gt;0,VLOOKUP($N41,'Allocation Factors'!$B$12:$AU$603,34,FALSE)*$L41,0)+IF($H41&lt;&gt;0,(VLOOKUP($J41,'Allocation Factors'!$B$12:$AU$603,34,FALSE)*$H41),0)</f>
        <v>59.849158543427983</v>
      </c>
      <c r="AT41" s="200">
        <f ca="1">IF($L41&lt;&gt;0,VLOOKUP($N41,'Allocation Factors'!$B$12:$AU$603,35,FALSE)*$L41,0)+IF($H41&lt;&gt;0,(VLOOKUP($J41,'Allocation Factors'!$B$12:$AU$603,35,FALSE)*$H41),0)</f>
        <v>2777.7372495714553</v>
      </c>
      <c r="AU41" s="200">
        <f ca="1">IF($L41&lt;&gt;0,VLOOKUP($N41,'Allocation Factors'!$B$12:$AU$603,36,FALSE)*$L41,0)+IF($H41&lt;&gt;0,(VLOOKUP($J41,'Allocation Factors'!$B$12:$AU$603,36,FALSE)*$H41),0)</f>
        <v>23.36971401556125</v>
      </c>
      <c r="AV41" s="200">
        <f ca="1">IF($L41&lt;&gt;0,VLOOKUP($N41,'Allocation Factors'!$B$12:$AU$603,37,FALSE)*$L41,0)+IF($H41&lt;&gt;0,(VLOOKUP($J41,'Allocation Factors'!$B$12:$AU$603,37,FALSE)*$H41),0)</f>
        <v>88.898614864400031</v>
      </c>
      <c r="AW41" s="200">
        <f ca="1">IF($L41&lt;&gt;0,VLOOKUP($N41,'Allocation Factors'!$B$12:$AU$603,38,FALSE)*$L41,0)+IF($H41&lt;&gt;0,(VLOOKUP($J41,'Allocation Factors'!$B$12:$AU$603,38,FALSE)*$H41),0)</f>
        <v>0</v>
      </c>
      <c r="AX41" s="200">
        <f ca="1">IF($L41&lt;&gt;0,VLOOKUP($N41,'Allocation Factors'!$B$12:$AU$603,39,FALSE)*$L41,0)+IF($H41&lt;&gt;0,(VLOOKUP($J41,'Allocation Factors'!$B$12:$AU$603,39,FALSE)*$H41),0)</f>
        <v>0</v>
      </c>
      <c r="AY41" s="200">
        <f ca="1">IF($L41&lt;&gt;0,VLOOKUP($N41,'Allocation Factors'!$B$12:$AU$603,40,FALSE)*$L41,0)+IF($H41&lt;&gt;0,(VLOOKUP($J41,'Allocation Factors'!$B$12:$AU$603,40,FALSE)*$H41),0)</f>
        <v>0</v>
      </c>
      <c r="AZ41" s="200">
        <f ca="1">IF($L41&lt;&gt;0,VLOOKUP($N41,'Allocation Factors'!$B$12:$AU$603,41,FALSE)*$L41,0)+IF($H41&lt;&gt;0,(VLOOKUP($J41,'Allocation Factors'!$B$12:$AU$603,41,FALSE)*$H41),0)</f>
        <v>0</v>
      </c>
      <c r="BA41" s="200">
        <f ca="1">IF($L41&lt;&gt;0,VLOOKUP($N41,'Allocation Factors'!$B$12:$AU$603,42,FALSE)*$L41,0)+IF($H41&lt;&gt;0,(VLOOKUP($J41,'Allocation Factors'!$B$12:$AU$603,42,FALSE)*$H41),0)</f>
        <v>0</v>
      </c>
      <c r="BB41" s="200">
        <f ca="1">IF($L41&lt;&gt;0,VLOOKUP($N41,'Allocation Factors'!$B$12:$AU$603,43,FALSE)*$L41,0)+IF($H41&lt;&gt;0,(VLOOKUP($J41,'Allocation Factors'!$B$12:$AU$603,43,FALSE)*$H41),0)</f>
        <v>0</v>
      </c>
      <c r="BC41" s="200">
        <f ca="1">IF($L41&lt;&gt;0,VLOOKUP($N41,'Allocation Factors'!$B$12:$AU$603,44,FALSE)*$L41,0)+IF($H41&lt;&gt;0,(VLOOKUP($J41,'Allocation Factors'!$B$12:$AU$603,44,FALSE)*$H41),0)</f>
        <v>0</v>
      </c>
      <c r="BD41" s="200">
        <f ca="1">IF($L41&lt;&gt;0,VLOOKUP($N41,'Allocation Factors'!$B$12:$AU$603,45,FALSE)*$L41,0)+IF($H41&lt;&gt;0,(VLOOKUP($J41,'Allocation Factors'!$B$12:$AU$603,45,FALSE)*$H41),0)</f>
        <v>0</v>
      </c>
      <c r="BE41" s="200">
        <f ca="1">IF($L41&lt;&gt;0,VLOOKUP($N41,'Allocation Factors'!$B$12:$AU$603,46,FALSE)*$L41,0)+IF($H41&lt;&gt;0,(VLOOKUP($J41,'Allocation Factors'!$B$12:$AU$603,46,FALSE)*$H41),0)</f>
        <v>0</v>
      </c>
    </row>
    <row r="42" spans="1:57" x14ac:dyDescent="0.25">
      <c r="A42" s="2">
        <f t="shared" si="8"/>
        <v>25</v>
      </c>
      <c r="B42" s="206" t="s">
        <v>191</v>
      </c>
      <c r="D42" s="200">
        <f ca="1">'Distribution Class'!V164-'Total ALLOCATION'!D41</f>
        <v>65422.060839956306</v>
      </c>
      <c r="E42" s="200"/>
      <c r="F42" s="200">
        <f ca="1">D42</f>
        <v>65422.060839956306</v>
      </c>
      <c r="G42" s="200"/>
      <c r="H42" s="200"/>
      <c r="I42" s="200"/>
      <c r="J42" s="214"/>
      <c r="K42" s="200"/>
      <c r="L42" s="200">
        <f t="shared" ca="1" si="9"/>
        <v>65422.060839956306</v>
      </c>
      <c r="N42" s="91" t="s">
        <v>187</v>
      </c>
      <c r="P42" s="200">
        <f ca="1">IF($L42&lt;&gt;0,VLOOKUP($N42,'Allocation Factors'!$B$12:$AU$603,5,FALSE)*$L42,0)+IF($H42&lt;&gt;0,(VLOOKUP($J42,'Allocation Factors'!$B$12:$AU$603,5,FALSE)*$H42),0)</f>
        <v>20276.909027180536</v>
      </c>
      <c r="Q42" s="200">
        <f ca="1">IF($L42&lt;&gt;0,VLOOKUP($N42,'Allocation Factors'!$B$12:$AU$603,6,FALSE)*$L42,0)+IF($H42&lt;&gt;0,(VLOOKUP($J42,'Allocation Factors'!$B$12:$AU$603,6,FALSE)*$H42),0)</f>
        <v>14530.559136573671</v>
      </c>
      <c r="R42" s="200">
        <f ca="1">IF($L42&lt;&gt;0,VLOOKUP($N42,'Allocation Factors'!$B$12:$AU$603,7,FALSE)*$L42,0)+IF($H42&lt;&gt;0,(VLOOKUP($J42,'Allocation Factors'!$B$12:$AU$603,7,FALSE)*$H42),0)</f>
        <v>0</v>
      </c>
      <c r="S42" s="200">
        <f ca="1">IF($L42&lt;&gt;0,VLOOKUP($N42,'Allocation Factors'!$B$12:$AU$603,8,FALSE)*$L42,0)+IF($H42&lt;&gt;0,(VLOOKUP($J42,'Allocation Factors'!$B$12:$AU$603,8,FALSE)*$H42),0)</f>
        <v>160.62767767512051</v>
      </c>
      <c r="T42" s="200">
        <f ca="1">IF($L42&lt;&gt;0,VLOOKUP($N42,'Allocation Factors'!$B$12:$AU$603,9,FALSE)*$L42,0)+IF($H42&lt;&gt;0,(VLOOKUP($J42,'Allocation Factors'!$B$12:$AU$603,9,FALSE)*$H42),0)</f>
        <v>1327.0525182947517</v>
      </c>
      <c r="U42" s="200">
        <f ca="1">IF($L42&lt;&gt;0,VLOOKUP($N42,'Allocation Factors'!$B$12:$AU$603,10,FALSE)*$L42,0)+IF($H42&lt;&gt;0,(VLOOKUP($J42,'Allocation Factors'!$B$12:$AU$603,10,FALSE)*$H42),0)</f>
        <v>606.0340539672037</v>
      </c>
      <c r="V42" s="200">
        <f ca="1">IF($L42&lt;&gt;0,VLOOKUP($N42,'Allocation Factors'!$B$12:$AU$603,11,FALSE)*$L42,0)+IF($H42&lt;&gt;0,(VLOOKUP($J42,'Allocation Factors'!$B$12:$AU$603,11,FALSE)*$H42),0)</f>
        <v>58.833957148176601</v>
      </c>
      <c r="W42" s="200">
        <f ca="1">IF($L42&lt;&gt;0,VLOOKUP($N42,'Allocation Factors'!$B$12:$AU$603,12,FALSE)*$L42,0)+IF($H42&lt;&gt;0,(VLOOKUP($J42,'Allocation Factors'!$B$12:$AU$603,12,FALSE)*$H42),0)</f>
        <v>584.79880339478666</v>
      </c>
      <c r="X42" s="200">
        <f ca="1">IF($L42&lt;&gt;0,VLOOKUP($N42,'Allocation Factors'!$B$12:$AU$603,13,FALSE)*$L42,0)+IF($H42&lt;&gt;0,(VLOOKUP($J42,'Allocation Factors'!$B$12:$AU$603,13,FALSE)*$H42),0)</f>
        <v>152.23502783639321</v>
      </c>
      <c r="Y42" s="200">
        <f ca="1">IF($L42&lt;&gt;0,VLOOKUP($N42,'Allocation Factors'!$B$12:$AU$603,14,FALSE)*$L42,0)+IF($H42&lt;&gt;0,(VLOOKUP($J42,'Allocation Factors'!$B$12:$AU$603,14,FALSE)*$H42),0)</f>
        <v>188.82142713917</v>
      </c>
      <c r="Z42" s="200">
        <f ca="1">IF($L42&lt;&gt;0,VLOOKUP($N42,'Allocation Factors'!$B$12:$AU$603,15,FALSE)*$L42,0)+IF($H42&lt;&gt;0,(VLOOKUP($J42,'Allocation Factors'!$B$12:$AU$603,15,FALSE)*$H42),0)</f>
        <v>14.23420425748648</v>
      </c>
      <c r="AA42" s="200">
        <f ca="1">IF($L42&lt;&gt;0,VLOOKUP($N42,'Allocation Factors'!$B$12:$AU$603,16,FALSE)*$L42,0)+IF($H42&lt;&gt;0,(VLOOKUP($J42,'Allocation Factors'!$B$12:$AU$603,16,FALSE)*$H42),0)</f>
        <v>0</v>
      </c>
      <c r="AB42" s="200">
        <f ca="1">IF($L42&lt;&gt;0,VLOOKUP($N42,'Allocation Factors'!$B$12:$AU$603,17,FALSE)*$L42,0)+IF($H42&lt;&gt;0,(VLOOKUP($J42,'Allocation Factors'!$B$12:$AU$603,17,FALSE)*$H42),0)</f>
        <v>0</v>
      </c>
      <c r="AC42" s="200">
        <f ca="1">IF($L42&lt;&gt;0,VLOOKUP($N42,'Allocation Factors'!$B$12:$AU$603,18,FALSE)*$L42,0)+IF($H42&lt;&gt;0,(VLOOKUP($J42,'Allocation Factors'!$B$12:$AU$603,18,FALSE)*$H42),0)</f>
        <v>2119.7668367147412</v>
      </c>
      <c r="AD42" s="200">
        <f ca="1">IF($L42&lt;&gt;0,VLOOKUP($N42,'Allocation Factors'!$B$12:$AU$603,19,FALSE)*$L42,0)+IF($H42&lt;&gt;0,(VLOOKUP($J42,'Allocation Factors'!$B$12:$AU$603,19,FALSE)*$H42),0)</f>
        <v>693.66542635716553</v>
      </c>
      <c r="AE42" s="200">
        <f ca="1">IF($L42&lt;&gt;0,VLOOKUP($N42,'Allocation Factors'!$B$12:$AU$603,20,FALSE)*$L42,0)+IF($H42&lt;&gt;0,(VLOOKUP($J42,'Allocation Factors'!$B$12:$AU$603,20,FALSE)*$H42),0)</f>
        <v>690.65823152451696</v>
      </c>
      <c r="AF42" s="200">
        <f ca="1">IF($L42&lt;&gt;0,VLOOKUP($N42,'Allocation Factors'!$B$12:$AU$603,21,FALSE)*$L42,0)+IF($H42&lt;&gt;0,(VLOOKUP($J42,'Allocation Factors'!$B$12:$AU$603,21,FALSE)*$H42),0)</f>
        <v>26.610096176594748</v>
      </c>
      <c r="AG42" s="200">
        <f ca="1">IF($L42&lt;&gt;0,VLOOKUP($N42,'Allocation Factors'!$B$12:$AU$603,22,FALSE)*$L42,0)+IF($H42&lt;&gt;0,(VLOOKUP($J42,'Allocation Factors'!$B$12:$AU$603,22,FALSE)*$H42),0)</f>
        <v>314.41241829820427</v>
      </c>
      <c r="AH42" s="200">
        <f ca="1">IF($L42&lt;&gt;0,VLOOKUP($N42,'Allocation Factors'!$B$12:$AU$603,23,FALSE)*$L42,0)+IF($H42&lt;&gt;0,(VLOOKUP($J42,'Allocation Factors'!$B$12:$AU$603,23,FALSE)*$H42),0)</f>
        <v>12907.97049617077</v>
      </c>
      <c r="AI42" s="200">
        <f ca="1">IF($L42&lt;&gt;0,VLOOKUP($N42,'Allocation Factors'!$B$12:$AU$603,24,FALSE)*$L42,0)+IF($H42&lt;&gt;0,(VLOOKUP($J42,'Allocation Factors'!$B$12:$AU$603,24,FALSE)*$H42),0)</f>
        <v>3264.3736867573948</v>
      </c>
      <c r="AJ42" s="200">
        <f ca="1">IF($L42&lt;&gt;0,VLOOKUP($N42,'Allocation Factors'!$B$12:$AU$603,25,FALSE)*$L42,0)+IF($H42&lt;&gt;0,(VLOOKUP($J42,'Allocation Factors'!$B$12:$AU$603,25,FALSE)*$H42),0)</f>
        <v>3147.8428903140762</v>
      </c>
      <c r="AK42" s="200">
        <f ca="1">IF($L42&lt;&gt;0,VLOOKUP($N42,'Allocation Factors'!$B$12:$AU$603,26,FALSE)*$L42,0)+IF($H42&lt;&gt;0,(VLOOKUP($J42,'Allocation Factors'!$B$12:$AU$603,26,FALSE)*$H42),0)</f>
        <v>1.262027441607843</v>
      </c>
      <c r="AL42" s="200">
        <f ca="1">IF($L42&lt;&gt;0,VLOOKUP($N42,'Allocation Factors'!$B$12:$AU$603,27,FALSE)*$L42,0)+IF($H42&lt;&gt;0,(VLOOKUP($J42,'Allocation Factors'!$B$12:$AU$603,27,FALSE)*$H42),0)</f>
        <v>14.448306405820546</v>
      </c>
      <c r="AM42" s="200">
        <f ca="1">IF($L42&lt;&gt;0,VLOOKUP($N42,'Allocation Factors'!$B$12:$AU$603,28,FALSE)*$L42,0)+IF($H42&lt;&gt;0,(VLOOKUP($J42,'Allocation Factors'!$B$12:$AU$603,28,FALSE)*$H42),0)</f>
        <v>180.64827624585425</v>
      </c>
      <c r="AN42" s="200">
        <f ca="1">IF($L42&lt;&gt;0,VLOOKUP($N42,'Allocation Factors'!$B$12:$AU$603,29,FALSE)*$L42,0)+IF($H42&lt;&gt;0,(VLOOKUP($J42,'Allocation Factors'!$B$12:$AU$603,29,FALSE)*$H42),0)</f>
        <v>2158.0240019598546</v>
      </c>
      <c r="AO42" s="200">
        <f ca="1">IF($L42&lt;&gt;0,VLOOKUP($N42,'Allocation Factors'!$B$12:$AU$603,30,FALSE)*$L42,0)+IF($H42&lt;&gt;0,(VLOOKUP($J42,'Allocation Factors'!$B$12:$AU$603,30,FALSE)*$H42),0)</f>
        <v>229.78711785681836</v>
      </c>
      <c r="AP42" s="200">
        <f ca="1">IF($L42&lt;&gt;0,VLOOKUP($N42,'Allocation Factors'!$B$12:$AU$603,31,FALSE)*$L42,0)+IF($H42&lt;&gt;0,(VLOOKUP($J42,'Allocation Factors'!$B$12:$AU$603,31,FALSE)*$H42),0)</f>
        <v>5.9691409591024778</v>
      </c>
      <c r="AQ42" s="200">
        <f ca="1">IF($L42&lt;&gt;0,VLOOKUP($N42,'Allocation Factors'!$B$12:$AU$603,32,FALSE)*$L42,0)+IF($H42&lt;&gt;0,(VLOOKUP($J42,'Allocation Factors'!$B$12:$AU$603,32,FALSE)*$H42),0)</f>
        <v>0</v>
      </c>
      <c r="AR42" s="200">
        <f ca="1">IF($L42&lt;&gt;0,VLOOKUP($N42,'Allocation Factors'!$B$12:$AU$603,33,FALSE)*$L42,0)+IF($H42&lt;&gt;0,(VLOOKUP($J42,'Allocation Factors'!$B$12:$AU$603,33,FALSE)*$H42),0)</f>
        <v>455.19624824241248</v>
      </c>
      <c r="AS42" s="200">
        <f ca="1">IF($L42&lt;&gt;0,VLOOKUP($N42,'Allocation Factors'!$B$12:$AU$603,34,FALSE)*$L42,0)+IF($H42&lt;&gt;0,(VLOOKUP($J42,'Allocation Factors'!$B$12:$AU$603,34,FALSE)*$H42),0)</f>
        <v>43.392624870469739</v>
      </c>
      <c r="AT42" s="200">
        <f ca="1">IF($L42&lt;&gt;0,VLOOKUP($N42,'Allocation Factors'!$B$12:$AU$603,35,FALSE)*$L42,0)+IF($H42&lt;&gt;0,(VLOOKUP($J42,'Allocation Factors'!$B$12:$AU$603,35,FALSE)*$H42),0)</f>
        <v>1220.1024182065198</v>
      </c>
      <c r="AU42" s="200">
        <f ca="1">IF($L42&lt;&gt;0,VLOOKUP($N42,'Allocation Factors'!$B$12:$AU$603,36,FALSE)*$L42,0)+IF($H42&lt;&gt;0,(VLOOKUP($J42,'Allocation Factors'!$B$12:$AU$603,36,FALSE)*$H42),0)</f>
        <v>10.264989817730271</v>
      </c>
      <c r="AV42" s="200">
        <f ca="1">IF($L42&lt;&gt;0,VLOOKUP($N42,'Allocation Factors'!$B$12:$AU$603,37,FALSE)*$L42,0)+IF($H42&lt;&gt;0,(VLOOKUP($J42,'Allocation Factors'!$B$12:$AU$603,37,FALSE)*$H42),0)</f>
        <v>37.559772169359817</v>
      </c>
      <c r="AW42" s="200">
        <f ca="1">IF($L42&lt;&gt;0,VLOOKUP($N42,'Allocation Factors'!$B$12:$AU$603,38,FALSE)*$L42,0)+IF($H42&lt;&gt;0,(VLOOKUP($J42,'Allocation Factors'!$B$12:$AU$603,38,FALSE)*$H42),0)</f>
        <v>0</v>
      </c>
      <c r="AX42" s="200">
        <f ca="1">IF($L42&lt;&gt;0,VLOOKUP($N42,'Allocation Factors'!$B$12:$AU$603,39,FALSE)*$L42,0)+IF($H42&lt;&gt;0,(VLOOKUP($J42,'Allocation Factors'!$B$12:$AU$603,39,FALSE)*$H42),0)</f>
        <v>0</v>
      </c>
      <c r="AY42" s="200">
        <f ca="1">IF($L42&lt;&gt;0,VLOOKUP($N42,'Allocation Factors'!$B$12:$AU$603,40,FALSE)*$L42,0)+IF($H42&lt;&gt;0,(VLOOKUP($J42,'Allocation Factors'!$B$12:$AU$603,40,FALSE)*$H42),0)</f>
        <v>0</v>
      </c>
      <c r="AZ42" s="200">
        <f ca="1">IF($L42&lt;&gt;0,VLOOKUP($N42,'Allocation Factors'!$B$12:$AU$603,41,FALSE)*$L42,0)+IF($H42&lt;&gt;0,(VLOOKUP($J42,'Allocation Factors'!$B$12:$AU$603,41,FALSE)*$H42),0)</f>
        <v>0</v>
      </c>
      <c r="BA42" s="200">
        <f ca="1">IF($L42&lt;&gt;0,VLOOKUP($N42,'Allocation Factors'!$B$12:$AU$603,42,FALSE)*$L42,0)+IF($H42&lt;&gt;0,(VLOOKUP($J42,'Allocation Factors'!$B$12:$AU$603,42,FALSE)*$H42),0)</f>
        <v>0</v>
      </c>
      <c r="BB42" s="200">
        <f ca="1">IF($L42&lt;&gt;0,VLOOKUP($N42,'Allocation Factors'!$B$12:$AU$603,43,FALSE)*$L42,0)+IF($H42&lt;&gt;0,(VLOOKUP($J42,'Allocation Factors'!$B$12:$AU$603,43,FALSE)*$H42),0)</f>
        <v>0</v>
      </c>
      <c r="BC42" s="200">
        <f ca="1">IF($L42&lt;&gt;0,VLOOKUP($N42,'Allocation Factors'!$B$12:$AU$603,44,FALSE)*$L42,0)+IF($H42&lt;&gt;0,(VLOOKUP($J42,'Allocation Factors'!$B$12:$AU$603,44,FALSE)*$H42),0)</f>
        <v>0</v>
      </c>
      <c r="BD42" s="200">
        <f ca="1">IF($L42&lt;&gt;0,VLOOKUP($N42,'Allocation Factors'!$B$12:$AU$603,45,FALSE)*$L42,0)+IF($H42&lt;&gt;0,(VLOOKUP($J42,'Allocation Factors'!$B$12:$AU$603,45,FALSE)*$H42),0)</f>
        <v>0</v>
      </c>
      <c r="BE42" s="200">
        <f ca="1">IF($L42&lt;&gt;0,VLOOKUP($N42,'Allocation Factors'!$B$12:$AU$603,46,FALSE)*$L42,0)+IF($H42&lt;&gt;0,(VLOOKUP($J42,'Allocation Factors'!$B$12:$AU$603,46,FALSE)*$H42),0)</f>
        <v>0</v>
      </c>
    </row>
    <row r="43" spans="1:57" x14ac:dyDescent="0.25">
      <c r="A43" s="2">
        <f t="shared" si="8"/>
        <v>26</v>
      </c>
      <c r="B43" s="73" t="s">
        <v>124</v>
      </c>
      <c r="D43" s="200">
        <f ca="1">'Distribution Class'!X164</f>
        <v>358838.07449580694</v>
      </c>
      <c r="E43" s="200"/>
      <c r="F43" s="200">
        <f ca="1">'Distribution Class'!X180</f>
        <v>358236.27763321943</v>
      </c>
      <c r="G43" s="200"/>
      <c r="H43" s="200"/>
      <c r="I43" s="200"/>
      <c r="J43" s="214"/>
      <c r="K43" s="200"/>
      <c r="L43" s="200">
        <f t="shared" ca="1" si="9"/>
        <v>358236.27763321943</v>
      </c>
      <c r="N43" s="91" t="s">
        <v>247</v>
      </c>
      <c r="P43" s="200">
        <f ca="1">IF($L43&lt;&gt;0,VLOOKUP($N43,'Allocation Factors'!$B$12:$AU$603,5,FALSE)*$L43,0)+IF($H43&lt;&gt;0,(VLOOKUP($J43,'Allocation Factors'!$B$12:$AU$603,5,FALSE)*$H43),0)</f>
        <v>197527.08521656567</v>
      </c>
      <c r="Q43" s="200">
        <f ca="1">IF($L43&lt;&gt;0,VLOOKUP($N43,'Allocation Factors'!$B$12:$AU$603,6,FALSE)*$L43,0)+IF($H43&lt;&gt;0,(VLOOKUP($J43,'Allocation Factors'!$B$12:$AU$603,6,FALSE)*$H43),0)</f>
        <v>15816.976916736598</v>
      </c>
      <c r="R43" s="200">
        <f ca="1">IF($L43&lt;&gt;0,VLOOKUP($N43,'Allocation Factors'!$B$12:$AU$603,7,FALSE)*$L43,0)+IF($H43&lt;&gt;0,(VLOOKUP($J43,'Allocation Factors'!$B$12:$AU$603,7,FALSE)*$H43),0)</f>
        <v>0</v>
      </c>
      <c r="S43" s="200">
        <f ca="1">IF($L43&lt;&gt;0,VLOOKUP($N43,'Allocation Factors'!$B$12:$AU$603,8,FALSE)*$L43,0)+IF($H43&lt;&gt;0,(VLOOKUP($J43,'Allocation Factors'!$B$12:$AU$603,8,FALSE)*$H43),0)</f>
        <v>1.2811504681091532</v>
      </c>
      <c r="T43" s="200">
        <f ca="1">IF($L43&lt;&gt;0,VLOOKUP($N43,'Allocation Factors'!$B$12:$AU$603,9,FALSE)*$L43,0)+IF($H43&lt;&gt;0,(VLOOKUP($J43,'Allocation Factors'!$B$12:$AU$603,9,FALSE)*$H43),0)</f>
        <v>38.068471052386265</v>
      </c>
      <c r="U43" s="200">
        <f ca="1">IF($L43&lt;&gt;0,VLOOKUP($N43,'Allocation Factors'!$B$12:$AU$603,10,FALSE)*$L43,0)+IF($H43&lt;&gt;0,(VLOOKUP($J43,'Allocation Factors'!$B$12:$AU$603,10,FALSE)*$H43),0)</f>
        <v>2.0132364498858122</v>
      </c>
      <c r="V43" s="200">
        <f ca="1">IF($L43&lt;&gt;0,VLOOKUP($N43,'Allocation Factors'!$B$12:$AU$603,11,FALSE)*$L43,0)+IF($H43&lt;&gt;0,(VLOOKUP($J43,'Allocation Factors'!$B$12:$AU$603,11,FALSE)*$H43),0)</f>
        <v>0.36604299088832948</v>
      </c>
      <c r="W43" s="200">
        <f ca="1">IF($L43&lt;&gt;0,VLOOKUP($N43,'Allocation Factors'!$B$12:$AU$603,12,FALSE)*$L43,0)+IF($H43&lt;&gt;0,(VLOOKUP($J43,'Allocation Factors'!$B$12:$AU$603,12,FALSE)*$H43),0)</f>
        <v>3.7519406566053775</v>
      </c>
      <c r="X43" s="200">
        <f ca="1">IF($L43&lt;&gt;0,VLOOKUP($N43,'Allocation Factors'!$B$12:$AU$603,13,FALSE)*$L43,0)+IF($H43&lt;&gt;0,(VLOOKUP($J43,'Allocation Factors'!$B$12:$AU$603,13,FALSE)*$H43),0)</f>
        <v>0.45755373861041188</v>
      </c>
      <c r="Y43" s="200">
        <f ca="1">IF($L43&lt;&gt;0,VLOOKUP($N43,'Allocation Factors'!$B$12:$AU$603,14,FALSE)*$L43,0)+IF($H43&lt;&gt;0,(VLOOKUP($J43,'Allocation Factors'!$B$12:$AU$603,14,FALSE)*$H43),0)</f>
        <v>1.0066182249429061</v>
      </c>
      <c r="Z43" s="200">
        <f ca="1">IF($L43&lt;&gt;0,VLOOKUP($N43,'Allocation Factors'!$B$12:$AU$603,15,FALSE)*$L43,0)+IF($H43&lt;&gt;0,(VLOOKUP($J43,'Allocation Factors'!$B$12:$AU$603,15,FALSE)*$H43),0)</f>
        <v>9.151074772208237E-2</v>
      </c>
      <c r="AA43" s="200">
        <f ca="1">IF($L43&lt;&gt;0,VLOOKUP($N43,'Allocation Factors'!$B$12:$AU$603,16,FALSE)*$L43,0)+IF($H43&lt;&gt;0,(VLOOKUP($J43,'Allocation Factors'!$B$12:$AU$603,16,FALSE)*$H43),0)</f>
        <v>0</v>
      </c>
      <c r="AB43" s="200">
        <f ca="1">IF($L43&lt;&gt;0,VLOOKUP($N43,'Allocation Factors'!$B$12:$AU$603,17,FALSE)*$L43,0)+IF($H43&lt;&gt;0,(VLOOKUP($J43,'Allocation Factors'!$B$12:$AU$603,17,FALSE)*$H43),0)</f>
        <v>0</v>
      </c>
      <c r="AC43" s="200">
        <f ca="1">IF($L43&lt;&gt;0,VLOOKUP($N43,'Allocation Factors'!$B$12:$AU$603,18,FALSE)*$L43,0)+IF($H43&lt;&gt;0,(VLOOKUP($J43,'Allocation Factors'!$B$12:$AU$603,18,FALSE)*$H43),0)</f>
        <v>33782.900722230857</v>
      </c>
      <c r="AD43" s="200">
        <f ca="1">IF($L43&lt;&gt;0,VLOOKUP($N43,'Allocation Factors'!$B$12:$AU$603,19,FALSE)*$L43,0)+IF($H43&lt;&gt;0,(VLOOKUP($J43,'Allocation Factors'!$B$12:$AU$603,19,FALSE)*$H43),0)</f>
        <v>201.68968797946954</v>
      </c>
      <c r="AE43" s="200">
        <f ca="1">IF($L43&lt;&gt;0,VLOOKUP($N43,'Allocation Factors'!$B$12:$AU$603,20,FALSE)*$L43,0)+IF($H43&lt;&gt;0,(VLOOKUP($J43,'Allocation Factors'!$B$12:$AU$603,20,FALSE)*$H43),0)</f>
        <v>5.6736663587691067</v>
      </c>
      <c r="AF43" s="200">
        <f ca="1">IF($L43&lt;&gt;0,VLOOKUP($N43,'Allocation Factors'!$B$12:$AU$603,21,FALSE)*$L43,0)+IF($H43&lt;&gt;0,(VLOOKUP($J43,'Allocation Factors'!$B$12:$AU$603,21,FALSE)*$H43),0)</f>
        <v>0.36604299088832948</v>
      </c>
      <c r="AG43" s="200">
        <f ca="1">IF($L43&lt;&gt;0,VLOOKUP($N43,'Allocation Factors'!$B$12:$AU$603,22,FALSE)*$L43,0)+IF($H43&lt;&gt;0,(VLOOKUP($J43,'Allocation Factors'!$B$12:$AU$603,22,FALSE)*$H43),0)</f>
        <v>1.0981289726649885</v>
      </c>
      <c r="AH43" s="200">
        <f ca="1">IF($L43&lt;&gt;0,VLOOKUP($N43,'Allocation Factors'!$B$12:$AU$603,23,FALSE)*$L43,0)+IF($H43&lt;&gt;0,(VLOOKUP($J43,'Allocation Factors'!$B$12:$AU$603,23,FALSE)*$H43),0)</f>
        <v>110077.07354338119</v>
      </c>
      <c r="AI43" s="200">
        <f ca="1">IF($L43&lt;&gt;0,VLOOKUP($N43,'Allocation Factors'!$B$12:$AU$603,24,FALSE)*$L43,0)+IF($H43&lt;&gt;0,(VLOOKUP($J43,'Allocation Factors'!$B$12:$AU$603,24,FALSE)*$H43),0)</f>
        <v>738.40022336948277</v>
      </c>
      <c r="AJ43" s="200">
        <f ca="1">IF($L43&lt;&gt;0,VLOOKUP($N43,'Allocation Factors'!$B$12:$AU$603,25,FALSE)*$L43,0)+IF($H43&lt;&gt;0,(VLOOKUP($J43,'Allocation Factors'!$B$12:$AU$603,25,FALSE)*$H43),0)</f>
        <v>20.589918237468535</v>
      </c>
      <c r="AK43" s="200">
        <f ca="1">IF($L43&lt;&gt;0,VLOOKUP($N43,'Allocation Factors'!$B$12:$AU$603,26,FALSE)*$L43,0)+IF($H43&lt;&gt;0,(VLOOKUP($J43,'Allocation Factors'!$B$12:$AU$603,26,FALSE)*$H43),0)</f>
        <v>0</v>
      </c>
      <c r="AL43" s="200">
        <f ca="1">IF($L43&lt;&gt;0,VLOOKUP($N43,'Allocation Factors'!$B$12:$AU$603,27,FALSE)*$L43,0)+IF($H43&lt;&gt;0,(VLOOKUP($J43,'Allocation Factors'!$B$12:$AU$603,27,FALSE)*$H43),0)</f>
        <v>0.64057523405457661</v>
      </c>
      <c r="AM43" s="200">
        <f ca="1">IF($L43&lt;&gt;0,VLOOKUP($N43,'Allocation Factors'!$B$12:$AU$603,28,FALSE)*$L43,0)+IF($H43&lt;&gt;0,(VLOOKUP($J43,'Allocation Factors'!$B$12:$AU$603,28,FALSE)*$H43),0)</f>
        <v>2.7453224316624709</v>
      </c>
      <c r="AN43" s="200">
        <f ca="1">IF($L43&lt;&gt;0,VLOOKUP($N43,'Allocation Factors'!$B$12:$AU$603,29,FALSE)*$L43,0)+IF($H43&lt;&gt;0,(VLOOKUP($J43,'Allocation Factors'!$B$12:$AU$603,29,FALSE)*$H43),0)</f>
        <v>5.2161126201586949</v>
      </c>
      <c r="AO43" s="200">
        <f ca="1">IF($L43&lt;&gt;0,VLOOKUP($N43,'Allocation Factors'!$B$12:$AU$603,30,FALSE)*$L43,0)+IF($H43&lt;&gt;0,(VLOOKUP($J43,'Allocation Factors'!$B$12:$AU$603,30,FALSE)*$H43),0)</f>
        <v>0.36604299088832948</v>
      </c>
      <c r="AP43" s="200">
        <f ca="1">IF($L43&lt;&gt;0,VLOOKUP($N43,'Allocation Factors'!$B$12:$AU$603,31,FALSE)*$L43,0)+IF($H43&lt;&gt;0,(VLOOKUP($J43,'Allocation Factors'!$B$12:$AU$603,31,FALSE)*$H43),0)</f>
        <v>0.36604299088832948</v>
      </c>
      <c r="AQ43" s="200">
        <f ca="1">IF($L43&lt;&gt;0,VLOOKUP($N43,'Allocation Factors'!$B$12:$AU$603,32,FALSE)*$L43,0)+IF($H43&lt;&gt;0,(VLOOKUP($J43,'Allocation Factors'!$B$12:$AU$603,32,FALSE)*$H43),0)</f>
        <v>0</v>
      </c>
      <c r="AR43" s="200">
        <f ca="1">IF($L43&lt;&gt;0,VLOOKUP($N43,'Allocation Factors'!$B$12:$AU$603,33,FALSE)*$L43,0)+IF($H43&lt;&gt;0,(VLOOKUP($J43,'Allocation Factors'!$B$12:$AU$603,33,FALSE)*$H43),0)</f>
        <v>4.2094943952157893</v>
      </c>
      <c r="AS43" s="200">
        <f ca="1">IF($L43&lt;&gt;0,VLOOKUP($N43,'Allocation Factors'!$B$12:$AU$603,34,FALSE)*$L43,0)+IF($H43&lt;&gt;0,(VLOOKUP($J43,'Allocation Factors'!$B$12:$AU$603,34,FALSE)*$H43),0)</f>
        <v>0</v>
      </c>
      <c r="AT43" s="200">
        <f ca="1">IF($L43&lt;&gt;0,VLOOKUP($N43,'Allocation Factors'!$B$12:$AU$603,35,FALSE)*$L43,0)+IF($H43&lt;&gt;0,(VLOOKUP($J43,'Allocation Factors'!$B$12:$AU$603,35,FALSE)*$H43),0)</f>
        <v>3.7519406566053775</v>
      </c>
      <c r="AU43" s="200">
        <f ca="1">IF($L43&lt;&gt;0,VLOOKUP($N43,'Allocation Factors'!$B$12:$AU$603,36,FALSE)*$L43,0)+IF($H43&lt;&gt;0,(VLOOKUP($J43,'Allocation Factors'!$B$12:$AU$603,36,FALSE)*$H43),0)</f>
        <v>0</v>
      </c>
      <c r="AV43" s="200">
        <f ca="1">IF($L43&lt;&gt;0,VLOOKUP($N43,'Allocation Factors'!$B$12:$AU$603,37,FALSE)*$L43,0)+IF($H43&lt;&gt;0,(VLOOKUP($J43,'Allocation Factors'!$B$12:$AU$603,37,FALSE)*$H43),0)</f>
        <v>9.151074772208237E-2</v>
      </c>
      <c r="AW43" s="200">
        <f ca="1">IF($L43&lt;&gt;0,VLOOKUP($N43,'Allocation Factors'!$B$12:$AU$603,38,FALSE)*$L43,0)+IF($H43&lt;&gt;0,(VLOOKUP($J43,'Allocation Factors'!$B$12:$AU$603,38,FALSE)*$H43),0)</f>
        <v>0</v>
      </c>
      <c r="AX43" s="200">
        <f ca="1">IF($L43&lt;&gt;0,VLOOKUP($N43,'Allocation Factors'!$B$12:$AU$603,39,FALSE)*$L43,0)+IF($H43&lt;&gt;0,(VLOOKUP($J43,'Allocation Factors'!$B$12:$AU$603,39,FALSE)*$H43),0)</f>
        <v>0</v>
      </c>
      <c r="AY43" s="200">
        <f ca="1">IF($L43&lt;&gt;0,VLOOKUP($N43,'Allocation Factors'!$B$12:$AU$603,40,FALSE)*$L43,0)+IF($H43&lt;&gt;0,(VLOOKUP($J43,'Allocation Factors'!$B$12:$AU$603,40,FALSE)*$H43),0)</f>
        <v>0</v>
      </c>
      <c r="AZ43" s="200">
        <f ca="1">IF($L43&lt;&gt;0,VLOOKUP($N43,'Allocation Factors'!$B$12:$AU$603,41,FALSE)*$L43,0)+IF($H43&lt;&gt;0,(VLOOKUP($J43,'Allocation Factors'!$B$12:$AU$603,41,FALSE)*$H43),0)</f>
        <v>0</v>
      </c>
      <c r="BA43" s="200">
        <f ca="1">IF($L43&lt;&gt;0,VLOOKUP($N43,'Allocation Factors'!$B$12:$AU$603,42,FALSE)*$L43,0)+IF($H43&lt;&gt;0,(VLOOKUP($J43,'Allocation Factors'!$B$12:$AU$603,42,FALSE)*$H43),0)</f>
        <v>0</v>
      </c>
      <c r="BB43" s="200">
        <f ca="1">IF($L43&lt;&gt;0,VLOOKUP($N43,'Allocation Factors'!$B$12:$AU$603,43,FALSE)*$L43,0)+IF($H43&lt;&gt;0,(VLOOKUP($J43,'Allocation Factors'!$B$12:$AU$603,43,FALSE)*$H43),0)</f>
        <v>0</v>
      </c>
      <c r="BC43" s="200">
        <f ca="1">IF($L43&lt;&gt;0,VLOOKUP($N43,'Allocation Factors'!$B$12:$AU$603,44,FALSE)*$L43,0)+IF($H43&lt;&gt;0,(VLOOKUP($J43,'Allocation Factors'!$B$12:$AU$603,44,FALSE)*$H43),0)</f>
        <v>0</v>
      </c>
      <c r="BD43" s="200">
        <f ca="1">IF($L43&lt;&gt;0,VLOOKUP($N43,'Allocation Factors'!$B$12:$AU$603,45,FALSE)*$L43,0)+IF($H43&lt;&gt;0,(VLOOKUP($J43,'Allocation Factors'!$B$12:$AU$603,45,FALSE)*$H43),0)</f>
        <v>0</v>
      </c>
      <c r="BE43" s="200">
        <f ca="1">IF($L43&lt;&gt;0,VLOOKUP($N43,'Allocation Factors'!$B$12:$AU$603,46,FALSE)*$L43,0)+IF($H43&lt;&gt;0,(VLOOKUP($J43,'Allocation Factors'!$B$12:$AU$603,46,FALSE)*$H43),0)</f>
        <v>0</v>
      </c>
    </row>
    <row r="44" spans="1:57" x14ac:dyDescent="0.25">
      <c r="A44" s="2">
        <f t="shared" si="8"/>
        <v>27</v>
      </c>
      <c r="B44" s="73" t="s">
        <v>125</v>
      </c>
      <c r="D44" s="200">
        <f ca="1">'Distribution Class'!Z164</f>
        <v>568306.25453006651</v>
      </c>
      <c r="E44" s="200"/>
      <c r="F44" s="200">
        <f ca="1">'Distribution Class'!Z180</f>
        <v>567353.16469575732</v>
      </c>
      <c r="G44" s="200"/>
      <c r="H44" s="200"/>
      <c r="I44" s="200"/>
      <c r="J44" s="214"/>
      <c r="K44" s="200"/>
      <c r="L44" s="200">
        <f t="shared" ca="1" si="9"/>
        <v>567353.16469575732</v>
      </c>
      <c r="N44" s="91" t="s">
        <v>247</v>
      </c>
      <c r="P44" s="200">
        <f ca="1">IF($L44&lt;&gt;0,VLOOKUP($N44,'Allocation Factors'!$B$12:$AU$603,5,FALSE)*$L44,0)+IF($H44&lt;&gt;0,(VLOOKUP($J44,'Allocation Factors'!$B$12:$AU$603,5,FALSE)*$H44),0)</f>
        <v>312831.56929597066</v>
      </c>
      <c r="Q44" s="200">
        <f ca="1">IF($L44&lt;&gt;0,VLOOKUP($N44,'Allocation Factors'!$B$12:$AU$603,6,FALSE)*$L44,0)+IF($H44&lt;&gt;0,(VLOOKUP($J44,'Allocation Factors'!$B$12:$AU$603,6,FALSE)*$H44),0)</f>
        <v>25049.980892270483</v>
      </c>
      <c r="R44" s="200">
        <f ca="1">IF($L44&lt;&gt;0,VLOOKUP($N44,'Allocation Factors'!$B$12:$AU$603,7,FALSE)*$L44,0)+IF($H44&lt;&gt;0,(VLOOKUP($J44,'Allocation Factors'!$B$12:$AU$603,7,FALSE)*$H44),0)</f>
        <v>0</v>
      </c>
      <c r="S44" s="200">
        <f ca="1">IF($L44&lt;&gt;0,VLOOKUP($N44,'Allocation Factors'!$B$12:$AU$603,8,FALSE)*$L44,0)+IF($H44&lt;&gt;0,(VLOOKUP($J44,'Allocation Factors'!$B$12:$AU$603,8,FALSE)*$H44),0)</f>
        <v>2.0290093938430775</v>
      </c>
      <c r="T44" s="200">
        <f ca="1">IF($L44&lt;&gt;0,VLOOKUP($N44,'Allocation Factors'!$B$12:$AU$603,9,FALSE)*$L44,0)+IF($H44&lt;&gt;0,(VLOOKUP($J44,'Allocation Factors'!$B$12:$AU$603,9,FALSE)*$H44),0)</f>
        <v>60.290564845622875</v>
      </c>
      <c r="U44" s="200">
        <f ca="1">IF($L44&lt;&gt;0,VLOOKUP($N44,'Allocation Factors'!$B$12:$AU$603,10,FALSE)*$L44,0)+IF($H44&lt;&gt;0,(VLOOKUP($J44,'Allocation Factors'!$B$12:$AU$603,10,FALSE)*$H44),0)</f>
        <v>3.1884433331819788</v>
      </c>
      <c r="V44" s="200">
        <f ca="1">IF($L44&lt;&gt;0,VLOOKUP($N44,'Allocation Factors'!$B$12:$AU$603,11,FALSE)*$L44,0)+IF($H44&lt;&gt;0,(VLOOKUP($J44,'Allocation Factors'!$B$12:$AU$603,11,FALSE)*$H44),0)</f>
        <v>0.57971696966945074</v>
      </c>
      <c r="W44" s="200">
        <f ca="1">IF($L44&lt;&gt;0,VLOOKUP($N44,'Allocation Factors'!$B$12:$AU$603,12,FALSE)*$L44,0)+IF($H44&lt;&gt;0,(VLOOKUP($J44,'Allocation Factors'!$B$12:$AU$603,12,FALSE)*$H44),0)</f>
        <v>5.9420989391118697</v>
      </c>
      <c r="X44" s="200">
        <f ca="1">IF($L44&lt;&gt;0,VLOOKUP($N44,'Allocation Factors'!$B$12:$AU$603,13,FALSE)*$L44,0)+IF($H44&lt;&gt;0,(VLOOKUP($J44,'Allocation Factors'!$B$12:$AU$603,13,FALSE)*$H44),0)</f>
        <v>0.72464621208681346</v>
      </c>
      <c r="Y44" s="200">
        <f ca="1">IF($L44&lt;&gt;0,VLOOKUP($N44,'Allocation Factors'!$B$12:$AU$603,14,FALSE)*$L44,0)+IF($H44&lt;&gt;0,(VLOOKUP($J44,'Allocation Factors'!$B$12:$AU$603,14,FALSE)*$H44),0)</f>
        <v>1.5942216665909894</v>
      </c>
      <c r="Z44" s="200">
        <f ca="1">IF($L44&lt;&gt;0,VLOOKUP($N44,'Allocation Factors'!$B$12:$AU$603,15,FALSE)*$L44,0)+IF($H44&lt;&gt;0,(VLOOKUP($J44,'Allocation Factors'!$B$12:$AU$603,15,FALSE)*$H44),0)</f>
        <v>0.14492924241736269</v>
      </c>
      <c r="AA44" s="200">
        <f ca="1">IF($L44&lt;&gt;0,VLOOKUP($N44,'Allocation Factors'!$B$12:$AU$603,16,FALSE)*$L44,0)+IF($H44&lt;&gt;0,(VLOOKUP($J44,'Allocation Factors'!$B$12:$AU$603,16,FALSE)*$H44),0)</f>
        <v>0</v>
      </c>
      <c r="AB44" s="200">
        <f ca="1">IF($L44&lt;&gt;0,VLOOKUP($N44,'Allocation Factors'!$B$12:$AU$603,17,FALSE)*$L44,0)+IF($H44&lt;&gt;0,(VLOOKUP($J44,'Allocation Factors'!$B$12:$AU$603,17,FALSE)*$H44),0)</f>
        <v>0</v>
      </c>
      <c r="AC44" s="200">
        <f ca="1">IF($L44&lt;&gt;0,VLOOKUP($N44,'Allocation Factors'!$B$12:$AU$603,18,FALSE)*$L44,0)+IF($H44&lt;&gt;0,(VLOOKUP($J44,'Allocation Factors'!$B$12:$AU$603,18,FALSE)*$H44),0)</f>
        <v>53503.335184227893</v>
      </c>
      <c r="AD44" s="200">
        <f ca="1">IF($L44&lt;&gt;0,VLOOKUP($N44,'Allocation Factors'!$B$12:$AU$603,19,FALSE)*$L44,0)+IF($H44&lt;&gt;0,(VLOOKUP($J44,'Allocation Factors'!$B$12:$AU$603,19,FALSE)*$H44),0)</f>
        <v>319.42405028786732</v>
      </c>
      <c r="AE44" s="200">
        <f ca="1">IF($L44&lt;&gt;0,VLOOKUP($N44,'Allocation Factors'!$B$12:$AU$603,20,FALSE)*$L44,0)+IF($H44&lt;&gt;0,(VLOOKUP($J44,'Allocation Factors'!$B$12:$AU$603,20,FALSE)*$H44),0)</f>
        <v>8.985613029876486</v>
      </c>
      <c r="AF44" s="200">
        <f ca="1">IF($L44&lt;&gt;0,VLOOKUP($N44,'Allocation Factors'!$B$12:$AU$603,21,FALSE)*$L44,0)+IF($H44&lt;&gt;0,(VLOOKUP($J44,'Allocation Factors'!$B$12:$AU$603,21,FALSE)*$H44),0)</f>
        <v>0.57971696966945074</v>
      </c>
      <c r="AG44" s="200">
        <f ca="1">IF($L44&lt;&gt;0,VLOOKUP($N44,'Allocation Factors'!$B$12:$AU$603,22,FALSE)*$L44,0)+IF($H44&lt;&gt;0,(VLOOKUP($J44,'Allocation Factors'!$B$12:$AU$603,22,FALSE)*$H44),0)</f>
        <v>1.7391509090083521</v>
      </c>
      <c r="AH44" s="200">
        <f ca="1">IF($L44&lt;&gt;0,VLOOKUP($N44,'Allocation Factors'!$B$12:$AU$603,23,FALSE)*$L44,0)+IF($H44&lt;&gt;0,(VLOOKUP($J44,'Allocation Factors'!$B$12:$AU$603,23,FALSE)*$H44),0)</f>
        <v>174333.47746882038</v>
      </c>
      <c r="AI44" s="200">
        <f ca="1">IF($L44&lt;&gt;0,VLOOKUP($N44,'Allocation Factors'!$B$12:$AU$603,24,FALSE)*$L44,0)+IF($H44&lt;&gt;0,(VLOOKUP($J44,'Allocation Factors'!$B$12:$AU$603,24,FALSE)*$H44),0)</f>
        <v>1169.4340570656996</v>
      </c>
      <c r="AJ44" s="200">
        <f ca="1">IF($L44&lt;&gt;0,VLOOKUP($N44,'Allocation Factors'!$B$12:$AU$603,25,FALSE)*$L44,0)+IF($H44&lt;&gt;0,(VLOOKUP($J44,'Allocation Factors'!$B$12:$AU$603,25,FALSE)*$H44),0)</f>
        <v>32.609079543906603</v>
      </c>
      <c r="AK44" s="200">
        <f ca="1">IF($L44&lt;&gt;0,VLOOKUP($N44,'Allocation Factors'!$B$12:$AU$603,26,FALSE)*$L44,0)+IF($H44&lt;&gt;0,(VLOOKUP($J44,'Allocation Factors'!$B$12:$AU$603,26,FALSE)*$H44),0)</f>
        <v>0</v>
      </c>
      <c r="AL44" s="200">
        <f ca="1">IF($L44&lt;&gt;0,VLOOKUP($N44,'Allocation Factors'!$B$12:$AU$603,27,FALSE)*$L44,0)+IF($H44&lt;&gt;0,(VLOOKUP($J44,'Allocation Factors'!$B$12:$AU$603,27,FALSE)*$H44),0)</f>
        <v>1.0145046969215388</v>
      </c>
      <c r="AM44" s="200">
        <f ca="1">IF($L44&lt;&gt;0,VLOOKUP($N44,'Allocation Factors'!$B$12:$AU$603,28,FALSE)*$L44,0)+IF($H44&lt;&gt;0,(VLOOKUP($J44,'Allocation Factors'!$B$12:$AU$603,28,FALSE)*$H44),0)</f>
        <v>4.3478772725208801</v>
      </c>
      <c r="AN44" s="200">
        <f ca="1">IF($L44&lt;&gt;0,VLOOKUP($N44,'Allocation Factors'!$B$12:$AU$603,29,FALSE)*$L44,0)+IF($H44&lt;&gt;0,(VLOOKUP($J44,'Allocation Factors'!$B$12:$AU$603,29,FALSE)*$H44),0)</f>
        <v>8.2609668177896722</v>
      </c>
      <c r="AO44" s="200">
        <f ca="1">IF($L44&lt;&gt;0,VLOOKUP($N44,'Allocation Factors'!$B$12:$AU$603,30,FALSE)*$L44,0)+IF($H44&lt;&gt;0,(VLOOKUP($J44,'Allocation Factors'!$B$12:$AU$603,30,FALSE)*$H44),0)</f>
        <v>0.57971696966945074</v>
      </c>
      <c r="AP44" s="200">
        <f ca="1">IF($L44&lt;&gt;0,VLOOKUP($N44,'Allocation Factors'!$B$12:$AU$603,31,FALSE)*$L44,0)+IF($H44&lt;&gt;0,(VLOOKUP($J44,'Allocation Factors'!$B$12:$AU$603,31,FALSE)*$H44),0)</f>
        <v>0.57971696966945074</v>
      </c>
      <c r="AQ44" s="200">
        <f ca="1">IF($L44&lt;&gt;0,VLOOKUP($N44,'Allocation Factors'!$B$12:$AU$603,32,FALSE)*$L44,0)+IF($H44&lt;&gt;0,(VLOOKUP($J44,'Allocation Factors'!$B$12:$AU$603,32,FALSE)*$H44),0)</f>
        <v>0</v>
      </c>
      <c r="AR44" s="200">
        <f ca="1">IF($L44&lt;&gt;0,VLOOKUP($N44,'Allocation Factors'!$B$12:$AU$603,33,FALSE)*$L44,0)+IF($H44&lt;&gt;0,(VLOOKUP($J44,'Allocation Factors'!$B$12:$AU$603,33,FALSE)*$H44),0)</f>
        <v>6.6667451511986835</v>
      </c>
      <c r="AS44" s="200">
        <f ca="1">IF($L44&lt;&gt;0,VLOOKUP($N44,'Allocation Factors'!$B$12:$AU$603,34,FALSE)*$L44,0)+IF($H44&lt;&gt;0,(VLOOKUP($J44,'Allocation Factors'!$B$12:$AU$603,34,FALSE)*$H44),0)</f>
        <v>0</v>
      </c>
      <c r="AT44" s="200">
        <f ca="1">IF($L44&lt;&gt;0,VLOOKUP($N44,'Allocation Factors'!$B$12:$AU$603,35,FALSE)*$L44,0)+IF($H44&lt;&gt;0,(VLOOKUP($J44,'Allocation Factors'!$B$12:$AU$603,35,FALSE)*$H44),0)</f>
        <v>5.9420989391118697</v>
      </c>
      <c r="AU44" s="200">
        <f ca="1">IF($L44&lt;&gt;0,VLOOKUP($N44,'Allocation Factors'!$B$12:$AU$603,36,FALSE)*$L44,0)+IF($H44&lt;&gt;0,(VLOOKUP($J44,'Allocation Factors'!$B$12:$AU$603,36,FALSE)*$H44),0)</f>
        <v>0</v>
      </c>
      <c r="AV44" s="200">
        <f ca="1">IF($L44&lt;&gt;0,VLOOKUP($N44,'Allocation Factors'!$B$12:$AU$603,37,FALSE)*$L44,0)+IF($H44&lt;&gt;0,(VLOOKUP($J44,'Allocation Factors'!$B$12:$AU$603,37,FALSE)*$H44),0)</f>
        <v>0.14492924241736269</v>
      </c>
      <c r="AW44" s="200">
        <f ca="1">IF($L44&lt;&gt;0,VLOOKUP($N44,'Allocation Factors'!$B$12:$AU$603,38,FALSE)*$L44,0)+IF($H44&lt;&gt;0,(VLOOKUP($J44,'Allocation Factors'!$B$12:$AU$603,38,FALSE)*$H44),0)</f>
        <v>0</v>
      </c>
      <c r="AX44" s="200">
        <f ca="1">IF($L44&lt;&gt;0,VLOOKUP($N44,'Allocation Factors'!$B$12:$AU$603,39,FALSE)*$L44,0)+IF($H44&lt;&gt;0,(VLOOKUP($J44,'Allocation Factors'!$B$12:$AU$603,39,FALSE)*$H44),0)</f>
        <v>0</v>
      </c>
      <c r="AY44" s="200">
        <f ca="1">IF($L44&lt;&gt;0,VLOOKUP($N44,'Allocation Factors'!$B$12:$AU$603,40,FALSE)*$L44,0)+IF($H44&lt;&gt;0,(VLOOKUP($J44,'Allocation Factors'!$B$12:$AU$603,40,FALSE)*$H44),0)</f>
        <v>0</v>
      </c>
      <c r="AZ44" s="200">
        <f ca="1">IF($L44&lt;&gt;0,VLOOKUP($N44,'Allocation Factors'!$B$12:$AU$603,41,FALSE)*$L44,0)+IF($H44&lt;&gt;0,(VLOOKUP($J44,'Allocation Factors'!$B$12:$AU$603,41,FALSE)*$H44),0)</f>
        <v>0</v>
      </c>
      <c r="BA44" s="200">
        <f ca="1">IF($L44&lt;&gt;0,VLOOKUP($N44,'Allocation Factors'!$B$12:$AU$603,42,FALSE)*$L44,0)+IF($H44&lt;&gt;0,(VLOOKUP($J44,'Allocation Factors'!$B$12:$AU$603,42,FALSE)*$H44),0)</f>
        <v>0</v>
      </c>
      <c r="BB44" s="200">
        <f ca="1">IF($L44&lt;&gt;0,VLOOKUP($N44,'Allocation Factors'!$B$12:$AU$603,43,FALSE)*$L44,0)+IF($H44&lt;&gt;0,(VLOOKUP($J44,'Allocation Factors'!$B$12:$AU$603,43,FALSE)*$H44),0)</f>
        <v>0</v>
      </c>
      <c r="BC44" s="200">
        <f ca="1">IF($L44&lt;&gt;0,VLOOKUP($N44,'Allocation Factors'!$B$12:$AU$603,44,FALSE)*$L44,0)+IF($H44&lt;&gt;0,(VLOOKUP($J44,'Allocation Factors'!$B$12:$AU$603,44,FALSE)*$H44),0)</f>
        <v>0</v>
      </c>
      <c r="BD44" s="200">
        <f ca="1">IF($L44&lt;&gt;0,VLOOKUP($N44,'Allocation Factors'!$B$12:$AU$603,45,FALSE)*$L44,0)+IF($H44&lt;&gt;0,(VLOOKUP($J44,'Allocation Factors'!$B$12:$AU$603,45,FALSE)*$H44),0)</f>
        <v>0</v>
      </c>
      <c r="BE44" s="200">
        <f ca="1">IF($L44&lt;&gt;0,VLOOKUP($N44,'Allocation Factors'!$B$12:$AU$603,46,FALSE)*$L44,0)+IF($H44&lt;&gt;0,(VLOOKUP($J44,'Allocation Factors'!$B$12:$AU$603,46,FALSE)*$H44),0)</f>
        <v>0</v>
      </c>
    </row>
    <row r="45" spans="1:57" x14ac:dyDescent="0.25">
      <c r="A45" s="2">
        <f t="shared" si="8"/>
        <v>28</v>
      </c>
      <c r="B45" s="73" t="s">
        <v>126</v>
      </c>
      <c r="D45" s="200">
        <f ca="1">'Distribution Class'!AB164</f>
        <v>301364.32281612593</v>
      </c>
      <c r="E45" s="200"/>
      <c r="F45" s="200">
        <f ca="1">'Distribution Class'!AB180</f>
        <v>300858.91350519547</v>
      </c>
      <c r="G45" s="200"/>
      <c r="H45" s="200"/>
      <c r="I45" s="200"/>
      <c r="J45" s="214"/>
      <c r="K45" s="200"/>
      <c r="L45" s="200">
        <f t="shared" ca="1" si="9"/>
        <v>300858.91350519547</v>
      </c>
      <c r="N45" s="91" t="s">
        <v>215</v>
      </c>
      <c r="P45" s="200">
        <f ca="1">IF($L45&lt;&gt;0,VLOOKUP($N45,'Allocation Factors'!$B$12:$AU$603,5,FALSE)*$L45,0)+IF($H45&lt;&gt;0,(VLOOKUP($J45,'Allocation Factors'!$B$12:$AU$603,5,FALSE)*$H45),0)</f>
        <v>130924.06778272106</v>
      </c>
      <c r="Q45" s="200">
        <f ca="1">IF($L45&lt;&gt;0,VLOOKUP($N45,'Allocation Factors'!$B$12:$AU$603,6,FALSE)*$L45,0)+IF($H45&lt;&gt;0,(VLOOKUP($J45,'Allocation Factors'!$B$12:$AU$603,6,FALSE)*$H45),0)</f>
        <v>46947.338078469256</v>
      </c>
      <c r="R45" s="200">
        <f ca="1">IF($L45&lt;&gt;0,VLOOKUP($N45,'Allocation Factors'!$B$12:$AU$603,7,FALSE)*$L45,0)+IF($H45&lt;&gt;0,(VLOOKUP($J45,'Allocation Factors'!$B$12:$AU$603,7,FALSE)*$H45),0)</f>
        <v>0</v>
      </c>
      <c r="S45" s="200">
        <f ca="1">IF($L45&lt;&gt;0,VLOOKUP($N45,'Allocation Factors'!$B$12:$AU$603,8,FALSE)*$L45,0)+IF($H45&lt;&gt;0,(VLOOKUP($J45,'Allocation Factors'!$B$12:$AU$603,8,FALSE)*$H45),0)</f>
        <v>84.580553141050856</v>
      </c>
      <c r="T45" s="200">
        <f ca="1">IF($L45&lt;&gt;0,VLOOKUP($N45,'Allocation Factors'!$B$12:$AU$603,9,FALSE)*$L45,0)+IF($H45&lt;&gt;0,(VLOOKUP($J45,'Allocation Factors'!$B$12:$AU$603,9,FALSE)*$H45),0)</f>
        <v>1031.1267972506823</v>
      </c>
      <c r="U45" s="200">
        <f ca="1">IF($L45&lt;&gt;0,VLOOKUP($N45,'Allocation Factors'!$B$12:$AU$603,10,FALSE)*$L45,0)+IF($H45&lt;&gt;0,(VLOOKUP($J45,'Allocation Factors'!$B$12:$AU$603,10,FALSE)*$H45),0)</f>
        <v>174.84637483034155</v>
      </c>
      <c r="V45" s="200">
        <f ca="1">IF($L45&lt;&gt;0,VLOOKUP($N45,'Allocation Factors'!$B$12:$AU$603,11,FALSE)*$L45,0)+IF($H45&lt;&gt;0,(VLOOKUP($J45,'Allocation Factors'!$B$12:$AU$603,11,FALSE)*$H45),0)</f>
        <v>45.144027525801839</v>
      </c>
      <c r="W45" s="200">
        <f ca="1">IF($L45&lt;&gt;0,VLOOKUP($N45,'Allocation Factors'!$B$12:$AU$603,12,FALSE)*$L45,0)+IF($H45&lt;&gt;0,(VLOOKUP($J45,'Allocation Factors'!$B$12:$AU$603,12,FALSE)*$H45),0)</f>
        <v>293.38729391871834</v>
      </c>
      <c r="X45" s="200">
        <f ca="1">IF($L45&lt;&gt;0,VLOOKUP($N45,'Allocation Factors'!$B$12:$AU$603,13,FALSE)*$L45,0)+IF($H45&lt;&gt;0,(VLOOKUP($J45,'Allocation Factors'!$B$12:$AU$603,13,FALSE)*$H45),0)</f>
        <v>25.977988616966861</v>
      </c>
      <c r="Y45" s="200">
        <f ca="1">IF($L45&lt;&gt;0,VLOOKUP($N45,'Allocation Factors'!$B$12:$AU$603,14,FALSE)*$L45,0)+IF($H45&lt;&gt;0,(VLOOKUP($J45,'Allocation Factors'!$B$12:$AU$603,14,FALSE)*$H45),0)</f>
        <v>115.69139435106084</v>
      </c>
      <c r="Z45" s="200">
        <f ca="1">IF($L45&lt;&gt;0,VLOOKUP($N45,'Allocation Factors'!$B$12:$AU$603,15,FALSE)*$L45,0)+IF($H45&lt;&gt;0,(VLOOKUP($J45,'Allocation Factors'!$B$12:$AU$603,15,FALSE)*$H45),0)</f>
        <v>0</v>
      </c>
      <c r="AA45" s="200">
        <f ca="1">IF($L45&lt;&gt;0,VLOOKUP($N45,'Allocation Factors'!$B$12:$AU$603,16,FALSE)*$L45,0)+IF($H45&lt;&gt;0,(VLOOKUP($J45,'Allocation Factors'!$B$12:$AU$603,16,FALSE)*$H45),0)</f>
        <v>0</v>
      </c>
      <c r="AB45" s="200">
        <f ca="1">IF($L45&lt;&gt;0,VLOOKUP($N45,'Allocation Factors'!$B$12:$AU$603,17,FALSE)*$L45,0)+IF($H45&lt;&gt;0,(VLOOKUP($J45,'Allocation Factors'!$B$12:$AU$603,17,FALSE)*$H45),0)</f>
        <v>0</v>
      </c>
      <c r="AC45" s="200">
        <f ca="1">IF($L45&lt;&gt;0,VLOOKUP($N45,'Allocation Factors'!$B$12:$AU$603,18,FALSE)*$L45,0)+IF($H45&lt;&gt;0,(VLOOKUP($J45,'Allocation Factors'!$B$12:$AU$603,18,FALSE)*$H45),0)</f>
        <v>25324.387814275986</v>
      </c>
      <c r="AD45" s="200">
        <f ca="1">IF($L45&lt;&gt;0,VLOOKUP($N45,'Allocation Factors'!$B$12:$AU$603,19,FALSE)*$L45,0)+IF($H45&lt;&gt;0,(VLOOKUP($J45,'Allocation Factors'!$B$12:$AU$603,19,FALSE)*$H45),0)</f>
        <v>1587.9708711906917</v>
      </c>
      <c r="AE45" s="200">
        <f ca="1">IF($L45&lt;&gt;0,VLOOKUP($N45,'Allocation Factors'!$B$12:$AU$603,20,FALSE)*$L45,0)+IF($H45&lt;&gt;0,(VLOOKUP($J45,'Allocation Factors'!$B$12:$AU$603,20,FALSE)*$H45),0)</f>
        <v>292.32367313375505</v>
      </c>
      <c r="AF45" s="200">
        <f ca="1">IF($L45&lt;&gt;0,VLOOKUP($N45,'Allocation Factors'!$B$12:$AU$603,21,FALSE)*$L45,0)+IF($H45&lt;&gt;0,(VLOOKUP($J45,'Allocation Factors'!$B$12:$AU$603,21,FALSE)*$H45),0)</f>
        <v>11.509994952082833</v>
      </c>
      <c r="AG45" s="200">
        <f ca="1">IF($L45&lt;&gt;0,VLOOKUP($N45,'Allocation Factors'!$B$12:$AU$603,22,FALSE)*$L45,0)+IF($H45&lt;&gt;0,(VLOOKUP($J45,'Allocation Factors'!$B$12:$AU$603,22,FALSE)*$H45),0)</f>
        <v>186.5546756830698</v>
      </c>
      <c r="AH45" s="200">
        <f ca="1">IF($L45&lt;&gt;0,VLOOKUP($N45,'Allocation Factors'!$B$12:$AU$603,23,FALSE)*$L45,0)+IF($H45&lt;&gt;0,(VLOOKUP($J45,'Allocation Factors'!$B$12:$AU$603,23,FALSE)*$H45),0)</f>
        <v>83518.12626999784</v>
      </c>
      <c r="AI45" s="200">
        <f ca="1">IF($L45&lt;&gt;0,VLOOKUP($N45,'Allocation Factors'!$B$12:$AU$603,24,FALSE)*$L45,0)+IF($H45&lt;&gt;0,(VLOOKUP($J45,'Allocation Factors'!$B$12:$AU$603,24,FALSE)*$H45),0)</f>
        <v>7262.5765359648858</v>
      </c>
      <c r="AJ45" s="200">
        <f ca="1">IF($L45&lt;&gt;0,VLOOKUP($N45,'Allocation Factors'!$B$12:$AU$603,25,FALSE)*$L45,0)+IF($H45&lt;&gt;0,(VLOOKUP($J45,'Allocation Factors'!$B$12:$AU$603,25,FALSE)*$H45),0)</f>
        <v>976.47867972536994</v>
      </c>
      <c r="AK45" s="200">
        <f ca="1">IF($L45&lt;&gt;0,VLOOKUP($N45,'Allocation Factors'!$B$12:$AU$603,26,FALSE)*$L45,0)+IF($H45&lt;&gt;0,(VLOOKUP($J45,'Allocation Factors'!$B$12:$AU$603,26,FALSE)*$H45),0)</f>
        <v>0</v>
      </c>
      <c r="AL45" s="200">
        <f ca="1">IF($L45&lt;&gt;0,VLOOKUP($N45,'Allocation Factors'!$B$12:$AU$603,27,FALSE)*$L45,0)+IF($H45&lt;&gt;0,(VLOOKUP($J45,'Allocation Factors'!$B$12:$AU$603,27,FALSE)*$H45),0)</f>
        <v>39.601849659857329</v>
      </c>
      <c r="AM45" s="200">
        <f ca="1">IF($L45&lt;&gt;0,VLOOKUP($N45,'Allocation Factors'!$B$12:$AU$603,28,FALSE)*$L45,0)+IF($H45&lt;&gt;0,(VLOOKUP($J45,'Allocation Factors'!$B$12:$AU$603,28,FALSE)*$H45),0)</f>
        <v>169.72221282795996</v>
      </c>
      <c r="AN45" s="200">
        <f ca="1">IF($L45&lt;&gt;0,VLOOKUP($N45,'Allocation Factors'!$B$12:$AU$603,29,FALSE)*$L45,0)+IF($H45&lt;&gt;0,(VLOOKUP($J45,'Allocation Factors'!$B$12:$AU$603,29,FALSE)*$H45),0)</f>
        <v>601.31725812119419</v>
      </c>
      <c r="AO45" s="200">
        <f ca="1">IF($L45&lt;&gt;0,VLOOKUP($N45,'Allocation Factors'!$B$12:$AU$603,30,FALSE)*$L45,0)+IF($H45&lt;&gt;0,(VLOOKUP($J45,'Allocation Factors'!$B$12:$AU$603,30,FALSE)*$H45),0)</f>
        <v>42.197702324294333</v>
      </c>
      <c r="AP45" s="200">
        <f ca="1">IF($L45&lt;&gt;0,VLOOKUP($N45,'Allocation Factors'!$B$12:$AU$603,31,FALSE)*$L45,0)+IF($H45&lt;&gt;0,(VLOOKUP($J45,'Allocation Factors'!$B$12:$AU$603,31,FALSE)*$H45),0)</f>
        <v>23.280016677381205</v>
      </c>
      <c r="AQ45" s="200">
        <f ca="1">IF($L45&lt;&gt;0,VLOOKUP($N45,'Allocation Factors'!$B$12:$AU$603,32,FALSE)*$L45,0)+IF($H45&lt;&gt;0,(VLOOKUP($J45,'Allocation Factors'!$B$12:$AU$603,32,FALSE)*$H45),0)</f>
        <v>0</v>
      </c>
      <c r="AR45" s="200">
        <f ca="1">IF($L45&lt;&gt;0,VLOOKUP($N45,'Allocation Factors'!$B$12:$AU$603,33,FALSE)*$L45,0)+IF($H45&lt;&gt;0,(VLOOKUP($J45,'Allocation Factors'!$B$12:$AU$603,33,FALSE)*$H45),0)</f>
        <v>392.27267046663599</v>
      </c>
      <c r="AS45" s="200">
        <f ca="1">IF($L45&lt;&gt;0,VLOOKUP($N45,'Allocation Factors'!$B$12:$AU$603,34,FALSE)*$L45,0)+IF($H45&lt;&gt;0,(VLOOKUP($J45,'Allocation Factors'!$B$12:$AU$603,34,FALSE)*$H45),0)</f>
        <v>0</v>
      </c>
      <c r="AT45" s="200">
        <f ca="1">IF($L45&lt;&gt;0,VLOOKUP($N45,'Allocation Factors'!$B$12:$AU$603,35,FALSE)*$L45,0)+IF($H45&lt;&gt;0,(VLOOKUP($J45,'Allocation Factors'!$B$12:$AU$603,35,FALSE)*$H45),0)</f>
        <v>765.86097560649648</v>
      </c>
      <c r="AU45" s="200">
        <f ca="1">IF($L45&lt;&gt;0,VLOOKUP($N45,'Allocation Factors'!$B$12:$AU$603,36,FALSE)*$L45,0)+IF($H45&lt;&gt;0,(VLOOKUP($J45,'Allocation Factors'!$B$12:$AU$603,36,FALSE)*$H45),0)</f>
        <v>0</v>
      </c>
      <c r="AV45" s="200">
        <f ca="1">IF($L45&lt;&gt;0,VLOOKUP($N45,'Allocation Factors'!$B$12:$AU$603,37,FALSE)*$L45,0)+IF($H45&lt;&gt;0,(VLOOKUP($J45,'Allocation Factors'!$B$12:$AU$603,37,FALSE)*$H45),0)</f>
        <v>22.572013762900919</v>
      </c>
      <c r="AW45" s="200">
        <f ca="1">IF($L45&lt;&gt;0,VLOOKUP($N45,'Allocation Factors'!$B$12:$AU$603,38,FALSE)*$L45,0)+IF($H45&lt;&gt;0,(VLOOKUP($J45,'Allocation Factors'!$B$12:$AU$603,38,FALSE)*$H45),0)</f>
        <v>0</v>
      </c>
      <c r="AX45" s="200">
        <f ca="1">IF($L45&lt;&gt;0,VLOOKUP($N45,'Allocation Factors'!$B$12:$AU$603,39,FALSE)*$L45,0)+IF($H45&lt;&gt;0,(VLOOKUP($J45,'Allocation Factors'!$B$12:$AU$603,39,FALSE)*$H45),0)</f>
        <v>0</v>
      </c>
      <c r="AY45" s="200">
        <f ca="1">IF($L45&lt;&gt;0,VLOOKUP($N45,'Allocation Factors'!$B$12:$AU$603,40,FALSE)*$L45,0)+IF($H45&lt;&gt;0,(VLOOKUP($J45,'Allocation Factors'!$B$12:$AU$603,40,FALSE)*$H45),0)</f>
        <v>0</v>
      </c>
      <c r="AZ45" s="200">
        <f ca="1">IF($L45&lt;&gt;0,VLOOKUP($N45,'Allocation Factors'!$B$12:$AU$603,41,FALSE)*$L45,0)+IF($H45&lt;&gt;0,(VLOOKUP($J45,'Allocation Factors'!$B$12:$AU$603,41,FALSE)*$H45),0)</f>
        <v>0</v>
      </c>
      <c r="BA45" s="200">
        <f ca="1">IF($L45&lt;&gt;0,VLOOKUP($N45,'Allocation Factors'!$B$12:$AU$603,42,FALSE)*$L45,0)+IF($H45&lt;&gt;0,(VLOOKUP($J45,'Allocation Factors'!$B$12:$AU$603,42,FALSE)*$H45),0)</f>
        <v>0</v>
      </c>
      <c r="BB45" s="200">
        <f ca="1">IF($L45&lt;&gt;0,VLOOKUP($N45,'Allocation Factors'!$B$12:$AU$603,43,FALSE)*$L45,0)+IF($H45&lt;&gt;0,(VLOOKUP($J45,'Allocation Factors'!$B$12:$AU$603,43,FALSE)*$H45),0)</f>
        <v>0</v>
      </c>
      <c r="BC45" s="200">
        <f ca="1">IF($L45&lt;&gt;0,VLOOKUP($N45,'Allocation Factors'!$B$12:$AU$603,44,FALSE)*$L45,0)+IF($H45&lt;&gt;0,(VLOOKUP($J45,'Allocation Factors'!$B$12:$AU$603,44,FALSE)*$H45),0)</f>
        <v>0</v>
      </c>
      <c r="BD45" s="200">
        <f ca="1">IF($L45&lt;&gt;0,VLOOKUP($N45,'Allocation Factors'!$B$12:$AU$603,45,FALSE)*$L45,0)+IF($H45&lt;&gt;0,(VLOOKUP($J45,'Allocation Factors'!$B$12:$AU$603,45,FALSE)*$H45),0)</f>
        <v>0</v>
      </c>
      <c r="BE45" s="200">
        <f ca="1">IF($L45&lt;&gt;0,VLOOKUP($N45,'Allocation Factors'!$B$12:$AU$603,46,FALSE)*$L45,0)+IF($H45&lt;&gt;0,(VLOOKUP($J45,'Allocation Factors'!$B$12:$AU$603,46,FALSE)*$H45),0)</f>
        <v>0</v>
      </c>
    </row>
    <row r="46" spans="1:57" x14ac:dyDescent="0.25">
      <c r="A46" s="2">
        <f t="shared" si="8"/>
        <v>29</v>
      </c>
      <c r="B46" s="73" t="s">
        <v>211</v>
      </c>
      <c r="D46" s="200">
        <f ca="1">'Distribution Class'!AD164</f>
        <v>53081.38852421011</v>
      </c>
      <c r="E46" s="200"/>
      <c r="F46" s="200">
        <f ca="1">'Distribution Class'!AD180</f>
        <v>49972.77810994997</v>
      </c>
      <c r="G46" s="200"/>
      <c r="H46" s="200"/>
      <c r="I46" s="200"/>
      <c r="J46" s="214"/>
      <c r="K46" s="200"/>
      <c r="L46" s="200">
        <f t="shared" ca="1" si="9"/>
        <v>49972.77810994997</v>
      </c>
      <c r="N46" s="91" t="s">
        <v>216</v>
      </c>
      <c r="P46" s="200">
        <f ca="1">IF($L46&lt;&gt;0,VLOOKUP($N46,'Allocation Factors'!$B$12:$AU$603,5,FALSE)*$L46,0)+IF($H46&lt;&gt;0,(VLOOKUP($J46,'Allocation Factors'!$B$12:$AU$603,5,FALSE)*$H46),0)</f>
        <v>0</v>
      </c>
      <c r="Q46" s="200">
        <f ca="1">IF($L46&lt;&gt;0,VLOOKUP($N46,'Allocation Factors'!$B$12:$AU$603,6,FALSE)*$L46,0)+IF($H46&lt;&gt;0,(VLOOKUP($J46,'Allocation Factors'!$B$12:$AU$603,6,FALSE)*$H46),0)</f>
        <v>13838.234851764697</v>
      </c>
      <c r="R46" s="200">
        <f ca="1">IF($L46&lt;&gt;0,VLOOKUP($N46,'Allocation Factors'!$B$12:$AU$603,7,FALSE)*$L46,0)+IF($H46&lt;&gt;0,(VLOOKUP($J46,'Allocation Factors'!$B$12:$AU$603,7,FALSE)*$H46),0)</f>
        <v>0</v>
      </c>
      <c r="S46" s="200">
        <f ca="1">IF($L46&lt;&gt;0,VLOOKUP($N46,'Allocation Factors'!$B$12:$AU$603,8,FALSE)*$L46,0)+IF($H46&lt;&gt;0,(VLOOKUP($J46,'Allocation Factors'!$B$12:$AU$603,8,FALSE)*$H46),0)</f>
        <v>36.96233579527221</v>
      </c>
      <c r="T46" s="200">
        <f ca="1">IF($L46&lt;&gt;0,VLOOKUP($N46,'Allocation Factors'!$B$12:$AU$603,9,FALSE)*$L46,0)+IF($H46&lt;&gt;0,(VLOOKUP($J46,'Allocation Factors'!$B$12:$AU$603,9,FALSE)*$H46),0)</f>
        <v>1492.1277092045111</v>
      </c>
      <c r="U46" s="200">
        <f ca="1">IF($L46&lt;&gt;0,VLOOKUP($N46,'Allocation Factors'!$B$12:$AU$603,10,FALSE)*$L46,0)+IF($H46&lt;&gt;0,(VLOOKUP($J46,'Allocation Factors'!$B$12:$AU$603,10,FALSE)*$H46),0)</f>
        <v>187.89458494258042</v>
      </c>
      <c r="V46" s="200">
        <f ca="1">IF($L46&lt;&gt;0,VLOOKUP($N46,'Allocation Factors'!$B$12:$AU$603,11,FALSE)*$L46,0)+IF($H46&lt;&gt;0,(VLOOKUP($J46,'Allocation Factors'!$B$12:$AU$603,11,FALSE)*$H46),0)</f>
        <v>494.62937872229008</v>
      </c>
      <c r="W46" s="200">
        <f ca="1">IF($L46&lt;&gt;0,VLOOKUP($N46,'Allocation Factors'!$B$12:$AU$603,12,FALSE)*$L46,0)+IF($H46&lt;&gt;0,(VLOOKUP($J46,'Allocation Factors'!$B$12:$AU$603,12,FALSE)*$H46),0)</f>
        <v>216.29602764458221</v>
      </c>
      <c r="X46" s="200">
        <f ca="1">IF($L46&lt;&gt;0,VLOOKUP($N46,'Allocation Factors'!$B$12:$AU$603,13,FALSE)*$L46,0)+IF($H46&lt;&gt;0,(VLOOKUP($J46,'Allocation Factors'!$B$12:$AU$603,13,FALSE)*$H46),0)</f>
        <v>144.92827834554893</v>
      </c>
      <c r="Y46" s="200">
        <f ca="1">IF($L46&lt;&gt;0,VLOOKUP($N46,'Allocation Factors'!$B$12:$AU$603,14,FALSE)*$L46,0)+IF($H46&lt;&gt;0,(VLOOKUP($J46,'Allocation Factors'!$B$12:$AU$603,14,FALSE)*$H46),0)</f>
        <v>56.964726534683074</v>
      </c>
      <c r="Z46" s="200">
        <f ca="1">IF($L46&lt;&gt;0,VLOOKUP($N46,'Allocation Factors'!$B$12:$AU$603,15,FALSE)*$L46,0)+IF($H46&lt;&gt;0,(VLOOKUP($J46,'Allocation Factors'!$B$12:$AU$603,15,FALSE)*$H46),0)</f>
        <v>0</v>
      </c>
      <c r="AA46" s="200">
        <f ca="1">IF($L46&lt;&gt;0,VLOOKUP($N46,'Allocation Factors'!$B$12:$AU$603,16,FALSE)*$L46,0)+IF($H46&lt;&gt;0,(VLOOKUP($J46,'Allocation Factors'!$B$12:$AU$603,16,FALSE)*$H46),0)</f>
        <v>0</v>
      </c>
      <c r="AB46" s="200">
        <f ca="1">IF($L46&lt;&gt;0,VLOOKUP($N46,'Allocation Factors'!$B$12:$AU$603,17,FALSE)*$L46,0)+IF($H46&lt;&gt;0,(VLOOKUP($J46,'Allocation Factors'!$B$12:$AU$603,17,FALSE)*$H46),0)</f>
        <v>0</v>
      </c>
      <c r="AC46" s="200">
        <f ca="1">IF($L46&lt;&gt;0,VLOOKUP($N46,'Allocation Factors'!$B$12:$AU$603,18,FALSE)*$L46,0)+IF($H46&lt;&gt;0,(VLOOKUP($J46,'Allocation Factors'!$B$12:$AU$603,18,FALSE)*$H46),0)</f>
        <v>1602.0050561060314</v>
      </c>
      <c r="AD46" s="200">
        <f ca="1">IF($L46&lt;&gt;0,VLOOKUP($N46,'Allocation Factors'!$B$12:$AU$603,19,FALSE)*$L46,0)+IF($H46&lt;&gt;0,(VLOOKUP($J46,'Allocation Factors'!$B$12:$AU$603,19,FALSE)*$H46),0)</f>
        <v>2282.2313766246079</v>
      </c>
      <c r="AE46" s="200">
        <f ca="1">IF($L46&lt;&gt;0,VLOOKUP($N46,'Allocation Factors'!$B$12:$AU$603,20,FALSE)*$L46,0)+IF($H46&lt;&gt;0,(VLOOKUP($J46,'Allocation Factors'!$B$12:$AU$603,20,FALSE)*$H46),0)</f>
        <v>710.51047972830429</v>
      </c>
      <c r="AF46" s="200">
        <f ca="1">IF($L46&lt;&gt;0,VLOOKUP($N46,'Allocation Factors'!$B$12:$AU$603,21,FALSE)*$L46,0)+IF($H46&lt;&gt;0,(VLOOKUP($J46,'Allocation Factors'!$B$12:$AU$603,21,FALSE)*$H46),0)</f>
        <v>9.350613711497072</v>
      </c>
      <c r="AG46" s="200">
        <f ca="1">IF($L46&lt;&gt;0,VLOOKUP($N46,'Allocation Factors'!$B$12:$AU$603,22,FALSE)*$L46,0)+IF($H46&lt;&gt;0,(VLOOKUP($J46,'Allocation Factors'!$B$12:$AU$603,22,FALSE)*$H46),0)</f>
        <v>261.94454186657333</v>
      </c>
      <c r="AH46" s="200">
        <f ca="1">IF($L46&lt;&gt;0,VLOOKUP($N46,'Allocation Factors'!$B$12:$AU$603,23,FALSE)*$L46,0)+IF($H46&lt;&gt;0,(VLOOKUP($J46,'Allocation Factors'!$B$12:$AU$603,23,FALSE)*$H46),0)</f>
        <v>9199.5320529043238</v>
      </c>
      <c r="AI46" s="200">
        <f ca="1">IF($L46&lt;&gt;0,VLOOKUP($N46,'Allocation Factors'!$B$12:$AU$603,24,FALSE)*$L46,0)+IF($H46&lt;&gt;0,(VLOOKUP($J46,'Allocation Factors'!$B$12:$AU$603,24,FALSE)*$H46),0)</f>
        <v>11731.673881466455</v>
      </c>
      <c r="AJ46" s="200">
        <f ca="1">IF($L46&lt;&gt;0,VLOOKUP($N46,'Allocation Factors'!$B$12:$AU$603,25,FALSE)*$L46,0)+IF($H46&lt;&gt;0,(VLOOKUP($J46,'Allocation Factors'!$B$12:$AU$603,25,FALSE)*$H46),0)</f>
        <v>754.91871429546768</v>
      </c>
      <c r="AK46" s="200">
        <f ca="1">IF($L46&lt;&gt;0,VLOOKUP($N46,'Allocation Factors'!$B$12:$AU$603,26,FALSE)*$L46,0)+IF($H46&lt;&gt;0,(VLOOKUP($J46,'Allocation Factors'!$B$12:$AU$603,26,FALSE)*$H46),0)</f>
        <v>0</v>
      </c>
      <c r="AL46" s="200">
        <f ca="1">IF($L46&lt;&gt;0,VLOOKUP($N46,'Allocation Factors'!$B$12:$AU$603,27,FALSE)*$L46,0)+IF($H46&lt;&gt;0,(VLOOKUP($J46,'Allocation Factors'!$B$12:$AU$603,27,FALSE)*$H46),0)</f>
        <v>37.855534192226365</v>
      </c>
      <c r="AM46" s="200">
        <f ca="1">IF($L46&lt;&gt;0,VLOOKUP($N46,'Allocation Factors'!$B$12:$AU$603,28,FALSE)*$L46,0)+IF($H46&lt;&gt;0,(VLOOKUP($J46,'Allocation Factors'!$B$12:$AU$603,28,FALSE)*$H46),0)</f>
        <v>162.23800368097011</v>
      </c>
      <c r="AN46" s="200">
        <f ca="1">IF($L46&lt;&gt;0,VLOOKUP($N46,'Allocation Factors'!$B$12:$AU$603,29,FALSE)*$L46,0)+IF($H46&lt;&gt;0,(VLOOKUP($J46,'Allocation Factors'!$B$12:$AU$603,29,FALSE)*$H46),0)</f>
        <v>1844.9744590058165</v>
      </c>
      <c r="AO46" s="200">
        <f ca="1">IF($L46&lt;&gt;0,VLOOKUP($N46,'Allocation Factors'!$B$12:$AU$603,30,FALSE)*$L46,0)+IF($H46&lt;&gt;0,(VLOOKUP($J46,'Allocation Factors'!$B$12:$AU$603,30,FALSE)*$H46),0)</f>
        <v>129.47189186005727</v>
      </c>
      <c r="AP46" s="200">
        <f ca="1">IF($L46&lt;&gt;0,VLOOKUP($N46,'Allocation Factors'!$B$12:$AU$603,31,FALSE)*$L46,0)+IF($H46&lt;&gt;0,(VLOOKUP($J46,'Allocation Factors'!$B$12:$AU$603,31,FALSE)*$H46),0)</f>
        <v>73.159961220532239</v>
      </c>
      <c r="AQ46" s="200">
        <f ca="1">IF($L46&lt;&gt;0,VLOOKUP($N46,'Allocation Factors'!$B$12:$AU$603,32,FALSE)*$L46,0)+IF($H46&lt;&gt;0,(VLOOKUP($J46,'Allocation Factors'!$B$12:$AU$603,32,FALSE)*$H46),0)</f>
        <v>0</v>
      </c>
      <c r="AR46" s="200">
        <f ca="1">IF($L46&lt;&gt;0,VLOOKUP($N46,'Allocation Factors'!$B$12:$AU$603,33,FALSE)*$L46,0)+IF($H46&lt;&gt;0,(VLOOKUP($J46,'Allocation Factors'!$B$12:$AU$603,33,FALSE)*$H46),0)</f>
        <v>514.04926815268379</v>
      </c>
      <c r="AS46" s="200">
        <f ca="1">IF($L46&lt;&gt;0,VLOOKUP($N46,'Allocation Factors'!$B$12:$AU$603,34,FALSE)*$L46,0)+IF($H46&lt;&gt;0,(VLOOKUP($J46,'Allocation Factors'!$B$12:$AU$603,34,FALSE)*$H46),0)</f>
        <v>0</v>
      </c>
      <c r="AT46" s="200">
        <f ca="1">IF($L46&lt;&gt;0,VLOOKUP($N46,'Allocation Factors'!$B$12:$AU$603,35,FALSE)*$L46,0)+IF($H46&lt;&gt;0,(VLOOKUP($J46,'Allocation Factors'!$B$12:$AU$603,35,FALSE)*$H46),0)</f>
        <v>3858.3878995122441</v>
      </c>
      <c r="AU46" s="200">
        <f ca="1">IF($L46&lt;&gt;0,VLOOKUP($N46,'Allocation Factors'!$B$12:$AU$603,36,FALSE)*$L46,0)+IF($H46&lt;&gt;0,(VLOOKUP($J46,'Allocation Factors'!$B$12:$AU$603,36,FALSE)*$H46),0)</f>
        <v>0</v>
      </c>
      <c r="AV46" s="200">
        <f ca="1">IF($L46&lt;&gt;0,VLOOKUP($N46,'Allocation Factors'!$B$12:$AU$603,37,FALSE)*$L46,0)+IF($H46&lt;&gt;0,(VLOOKUP($J46,'Allocation Factors'!$B$12:$AU$603,37,FALSE)*$H46),0)</f>
        <v>332.43648266801813</v>
      </c>
      <c r="AW46" s="200">
        <f ca="1">IF($L46&lt;&gt;0,VLOOKUP($N46,'Allocation Factors'!$B$12:$AU$603,38,FALSE)*$L46,0)+IF($H46&lt;&gt;0,(VLOOKUP($J46,'Allocation Factors'!$B$12:$AU$603,38,FALSE)*$H46),0)</f>
        <v>0</v>
      </c>
      <c r="AX46" s="200">
        <f ca="1">IF($L46&lt;&gt;0,VLOOKUP($N46,'Allocation Factors'!$B$12:$AU$603,39,FALSE)*$L46,0)+IF($H46&lt;&gt;0,(VLOOKUP($J46,'Allocation Factors'!$B$12:$AU$603,39,FALSE)*$H46),0)</f>
        <v>0</v>
      </c>
      <c r="AY46" s="200">
        <f ca="1">IF($L46&lt;&gt;0,VLOOKUP($N46,'Allocation Factors'!$B$12:$AU$603,40,FALSE)*$L46,0)+IF($H46&lt;&gt;0,(VLOOKUP($J46,'Allocation Factors'!$B$12:$AU$603,40,FALSE)*$H46),0)</f>
        <v>0</v>
      </c>
      <c r="AZ46" s="200">
        <f ca="1">IF($L46&lt;&gt;0,VLOOKUP($N46,'Allocation Factors'!$B$12:$AU$603,41,FALSE)*$L46,0)+IF($H46&lt;&gt;0,(VLOOKUP($J46,'Allocation Factors'!$B$12:$AU$603,41,FALSE)*$H46),0)</f>
        <v>0</v>
      </c>
      <c r="BA46" s="200">
        <f ca="1">IF($L46&lt;&gt;0,VLOOKUP($N46,'Allocation Factors'!$B$12:$AU$603,42,FALSE)*$L46,0)+IF($H46&lt;&gt;0,(VLOOKUP($J46,'Allocation Factors'!$B$12:$AU$603,42,FALSE)*$H46),0)</f>
        <v>0</v>
      </c>
      <c r="BB46" s="200">
        <f ca="1">IF($L46&lt;&gt;0,VLOOKUP($N46,'Allocation Factors'!$B$12:$AU$603,43,FALSE)*$L46,0)+IF($H46&lt;&gt;0,(VLOOKUP($J46,'Allocation Factors'!$B$12:$AU$603,43,FALSE)*$H46),0)</f>
        <v>0</v>
      </c>
      <c r="BC46" s="200">
        <f ca="1">IF($L46&lt;&gt;0,VLOOKUP($N46,'Allocation Factors'!$B$12:$AU$603,44,FALSE)*$L46,0)+IF($H46&lt;&gt;0,(VLOOKUP($J46,'Allocation Factors'!$B$12:$AU$603,44,FALSE)*$H46),0)</f>
        <v>0</v>
      </c>
      <c r="BD46" s="200">
        <f ca="1">IF($L46&lt;&gt;0,VLOOKUP($N46,'Allocation Factors'!$B$12:$AU$603,45,FALSE)*$L46,0)+IF($H46&lt;&gt;0,(VLOOKUP($J46,'Allocation Factors'!$B$12:$AU$603,45,FALSE)*$H46),0)</f>
        <v>0</v>
      </c>
      <c r="BE46" s="200">
        <f ca="1">IF($L46&lt;&gt;0,VLOOKUP($N46,'Allocation Factors'!$B$12:$AU$603,46,FALSE)*$L46,0)+IF($H46&lt;&gt;0,(VLOOKUP($J46,'Allocation Factors'!$B$12:$AU$603,46,FALSE)*$H46),0)</f>
        <v>0</v>
      </c>
    </row>
    <row r="47" spans="1:57" x14ac:dyDescent="0.25">
      <c r="B47" s="73" t="s">
        <v>189</v>
      </c>
      <c r="D47" s="200"/>
      <c r="E47" s="200"/>
      <c r="F47" s="200"/>
      <c r="G47" s="200"/>
      <c r="H47" s="200"/>
      <c r="I47" s="200"/>
      <c r="J47" s="214"/>
      <c r="K47" s="200"/>
      <c r="L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</row>
    <row r="48" spans="1:57" x14ac:dyDescent="0.25">
      <c r="A48" s="2">
        <f>A46+1</f>
        <v>30</v>
      </c>
      <c r="B48" s="206" t="s">
        <v>201</v>
      </c>
      <c r="D48" s="200">
        <f ca="1">'Dist Cust Class'!P164</f>
        <v>12503.901685000221</v>
      </c>
      <c r="F48" s="113">
        <f ca="1">'Dist Cust Class'!P180</f>
        <v>12503.901685000221</v>
      </c>
      <c r="L48" s="200">
        <f ca="1">F48-H48</f>
        <v>12503.901685000221</v>
      </c>
      <c r="N48" s="91" t="s">
        <v>252</v>
      </c>
      <c r="P48" s="200">
        <f ca="1">IF($L48&lt;&gt;0,VLOOKUP($N48,'Allocation Factors'!$B$12:$AU$603,5,FALSE)*$L48,0)+IF($H48&lt;&gt;0,(VLOOKUP($J48,'Allocation Factors'!$B$12:$AU$603,5,FALSE)*$H48),0)</f>
        <v>6194.9606794236561</v>
      </c>
      <c r="Q48" s="200">
        <f ca="1">IF($L48&lt;&gt;0,VLOOKUP($N48,'Allocation Factors'!$B$12:$AU$603,6,FALSE)*$L48,0)+IF($H48&lt;&gt;0,(VLOOKUP($J48,'Allocation Factors'!$B$12:$AU$603,6,FALSE)*$H48),0)</f>
        <v>496.06133740648784</v>
      </c>
      <c r="R48" s="200">
        <f ca="1">IF($L48&lt;&gt;0,VLOOKUP($N48,'Allocation Factors'!$B$12:$AU$603,7,FALSE)*$L48,0)+IF($H48&lt;&gt;0,(VLOOKUP($J48,'Allocation Factors'!$B$12:$AU$603,7,FALSE)*$H48),0)</f>
        <v>0</v>
      </c>
      <c r="S48" s="200">
        <f ca="1">IF($L48&lt;&gt;0,VLOOKUP($N48,'Allocation Factors'!$B$12:$AU$603,8,FALSE)*$L48,0)+IF($H48&lt;&gt;0,(VLOOKUP($J48,'Allocation Factors'!$B$12:$AU$603,8,FALSE)*$H48),0)</f>
        <v>17.678299791451089</v>
      </c>
      <c r="T48" s="200">
        <f ca="1">IF($L48&lt;&gt;0,VLOOKUP($N48,'Allocation Factors'!$B$12:$AU$603,9,FALSE)*$L48,0)+IF($H48&lt;&gt;0,(VLOOKUP($J48,'Allocation Factors'!$B$12:$AU$603,9,FALSE)*$H48),0)</f>
        <v>525.29805094597521</v>
      </c>
      <c r="U48" s="200">
        <f ca="1">IF($L48&lt;&gt;0,VLOOKUP($N48,'Allocation Factors'!$B$12:$AU$603,10,FALSE)*$L48,0)+IF($H48&lt;&gt;0,(VLOOKUP($J48,'Allocation Factors'!$B$12:$AU$603,10,FALSE)*$H48),0)</f>
        <v>27.780185386565996</v>
      </c>
      <c r="V48" s="200">
        <f ca="1">IF($L48&lt;&gt;0,VLOOKUP($N48,'Allocation Factors'!$B$12:$AU$603,11,FALSE)*$L48,0)+IF($H48&lt;&gt;0,(VLOOKUP($J48,'Allocation Factors'!$B$12:$AU$603,11,FALSE)*$H48),0)</f>
        <v>5.0509427975574548</v>
      </c>
      <c r="W48" s="200">
        <f ca="1">IF($L48&lt;&gt;0,VLOOKUP($N48,'Allocation Factors'!$B$12:$AU$603,12,FALSE)*$L48,0)+IF($H48&lt;&gt;0,(VLOOKUP($J48,'Allocation Factors'!$B$12:$AU$603,12,FALSE)*$H48),0)</f>
        <v>51.772163674963906</v>
      </c>
      <c r="X48" s="200">
        <f ca="1">IF($L48&lt;&gt;0,VLOOKUP($N48,'Allocation Factors'!$B$12:$AU$603,13,FALSE)*$L48,0)+IF($H48&lt;&gt;0,(VLOOKUP($J48,'Allocation Factors'!$B$12:$AU$603,13,FALSE)*$H48),0)</f>
        <v>6.3136784969468183</v>
      </c>
      <c r="Y48" s="200">
        <f ca="1">IF($L48&lt;&gt;0,VLOOKUP($N48,'Allocation Factors'!$B$12:$AU$603,14,FALSE)*$L48,0)+IF($H48&lt;&gt;0,(VLOOKUP($J48,'Allocation Factors'!$B$12:$AU$603,14,FALSE)*$H48),0)</f>
        <v>13.890092693282998</v>
      </c>
      <c r="Z48" s="200">
        <f ca="1">IF($L48&lt;&gt;0,VLOOKUP($N48,'Allocation Factors'!$B$12:$AU$603,15,FALSE)*$L48,0)+IF($H48&lt;&gt;0,(VLOOKUP($J48,'Allocation Factors'!$B$12:$AU$603,15,FALSE)*$H48),0)</f>
        <v>1.2627356993893637</v>
      </c>
      <c r="AA48" s="200">
        <f ca="1">IF($L48&lt;&gt;0,VLOOKUP($N48,'Allocation Factors'!$B$12:$AU$603,16,FALSE)*$L48,0)+IF($H48&lt;&gt;0,(VLOOKUP($J48,'Allocation Factors'!$B$12:$AU$603,16,FALSE)*$H48),0)</f>
        <v>0</v>
      </c>
      <c r="AB48" s="200">
        <f ca="1">IF($L48&lt;&gt;0,VLOOKUP($N48,'Allocation Factors'!$B$12:$AU$603,17,FALSE)*$L48,0)+IF($H48&lt;&gt;0,(VLOOKUP($J48,'Allocation Factors'!$B$12:$AU$603,17,FALSE)*$H48),0)</f>
        <v>0</v>
      </c>
      <c r="AC48" s="200">
        <f ca="1">IF($L48&lt;&gt;0,VLOOKUP($N48,'Allocation Factors'!$B$12:$AU$603,18,FALSE)*$L48,0)+IF($H48&lt;&gt;0,(VLOOKUP($J48,'Allocation Factors'!$B$12:$AU$603,18,FALSE)*$H48),0)</f>
        <v>1059.5192116647584</v>
      </c>
      <c r="AD48" s="200">
        <f ca="1">IF($L48&lt;&gt;0,VLOOKUP($N48,'Allocation Factors'!$B$12:$AU$603,19,FALSE)*$L48,0)+IF($H48&lt;&gt;0,(VLOOKUP($J48,'Allocation Factors'!$B$12:$AU$603,19,FALSE)*$H48),0)</f>
        <v>6.3255106767163172</v>
      </c>
      <c r="AE48" s="200">
        <f ca="1">IF($L48&lt;&gt;0,VLOOKUP($N48,'Allocation Factors'!$B$12:$AU$603,20,FALSE)*$L48,0)+IF($H48&lt;&gt;0,(VLOOKUP($J48,'Allocation Factors'!$B$12:$AU$603,20,FALSE)*$H48),0)</f>
        <v>78.289613362140543</v>
      </c>
      <c r="AF48" s="200">
        <f ca="1">IF($L48&lt;&gt;0,VLOOKUP($N48,'Allocation Factors'!$B$12:$AU$603,21,FALSE)*$L48,0)+IF($H48&lt;&gt;0,(VLOOKUP($J48,'Allocation Factors'!$B$12:$AU$603,21,FALSE)*$H48),0)</f>
        <v>5.0509427975574548</v>
      </c>
      <c r="AG48" s="200">
        <f ca="1">IF($L48&lt;&gt;0,VLOOKUP($N48,'Allocation Factors'!$B$12:$AU$603,22,FALSE)*$L48,0)+IF($H48&lt;&gt;0,(VLOOKUP($J48,'Allocation Factors'!$B$12:$AU$603,22,FALSE)*$H48),0)</f>
        <v>15.152828392672363</v>
      </c>
      <c r="AH48" s="200">
        <f ca="1">IF($L48&lt;&gt;0,VLOOKUP($N48,'Allocation Factors'!$B$12:$AU$603,23,FALSE)*$L48,0)+IF($H48&lt;&gt;0,(VLOOKUP($J48,'Allocation Factors'!$B$12:$AU$603,23,FALSE)*$H48),0)</f>
        <v>3452.3019542338839</v>
      </c>
      <c r="AI48" s="200">
        <f ca="1">IF($L48&lt;&gt;0,VLOOKUP($N48,'Allocation Factors'!$B$12:$AU$603,24,FALSE)*$L48,0)+IF($H48&lt;&gt;0,(VLOOKUP($J48,'Allocation Factors'!$B$12:$AU$603,24,FALSE)*$H48),0)</f>
        <v>23.158142309629746</v>
      </c>
      <c r="AJ48" s="200">
        <f ca="1">IF($L48&lt;&gt;0,VLOOKUP($N48,'Allocation Factors'!$B$12:$AU$603,25,FALSE)*$L48,0)+IF($H48&lt;&gt;0,(VLOOKUP($J48,'Allocation Factors'!$B$12:$AU$603,25,FALSE)*$H48),0)</f>
        <v>284.11553236260681</v>
      </c>
      <c r="AK48" s="200">
        <f ca="1">IF($L48&lt;&gt;0,VLOOKUP($N48,'Allocation Factors'!$B$12:$AU$603,26,FALSE)*$L48,0)+IF($H48&lt;&gt;0,(VLOOKUP($J48,'Allocation Factors'!$B$12:$AU$603,26,FALSE)*$H48),0)</f>
        <v>0</v>
      </c>
      <c r="AL48" s="200">
        <f ca="1">IF($L48&lt;&gt;0,VLOOKUP($N48,'Allocation Factors'!$B$12:$AU$603,27,FALSE)*$L48,0)+IF($H48&lt;&gt;0,(VLOOKUP($J48,'Allocation Factors'!$B$12:$AU$603,27,FALSE)*$H48),0)</f>
        <v>8.8391498957255443</v>
      </c>
      <c r="AM48" s="200">
        <f ca="1">IF($L48&lt;&gt;0,VLOOKUP($N48,'Allocation Factors'!$B$12:$AU$603,28,FALSE)*$L48,0)+IF($H48&lt;&gt;0,(VLOOKUP($J48,'Allocation Factors'!$B$12:$AU$603,28,FALSE)*$H48),0)</f>
        <v>37.882070981680911</v>
      </c>
      <c r="AN48" s="200">
        <f ca="1">IF($L48&lt;&gt;0,VLOOKUP($N48,'Allocation Factors'!$B$12:$AU$603,29,FALSE)*$L48,0)+IF($H48&lt;&gt;0,(VLOOKUP($J48,'Allocation Factors'!$B$12:$AU$603,29,FALSE)*$H48),0)</f>
        <v>71.975934865193736</v>
      </c>
      <c r="AO48" s="200">
        <f ca="1">IF($L48&lt;&gt;0,VLOOKUP($N48,'Allocation Factors'!$B$12:$AU$603,30,FALSE)*$L48,0)+IF($H48&lt;&gt;0,(VLOOKUP($J48,'Allocation Factors'!$B$12:$AU$603,30,FALSE)*$H48),0)</f>
        <v>5.0509427975574548</v>
      </c>
      <c r="AP48" s="200">
        <f ca="1">IF($L48&lt;&gt;0,VLOOKUP($N48,'Allocation Factors'!$B$12:$AU$603,31,FALSE)*$L48,0)+IF($H48&lt;&gt;0,(VLOOKUP($J48,'Allocation Factors'!$B$12:$AU$603,31,FALSE)*$H48),0)</f>
        <v>5.0509427975574548</v>
      </c>
      <c r="AQ48" s="200">
        <f ca="1">IF($L48&lt;&gt;0,VLOOKUP($N48,'Allocation Factors'!$B$12:$AU$603,32,FALSE)*$L48,0)+IF($H48&lt;&gt;0,(VLOOKUP($J48,'Allocation Factors'!$B$12:$AU$603,32,FALSE)*$H48),0)</f>
        <v>0</v>
      </c>
      <c r="AR48" s="200">
        <f ca="1">IF($L48&lt;&gt;0,VLOOKUP($N48,'Allocation Factors'!$B$12:$AU$603,33,FALSE)*$L48,0)+IF($H48&lt;&gt;0,(VLOOKUP($J48,'Allocation Factors'!$B$12:$AU$603,33,FALSE)*$H48),0)</f>
        <v>58.085842171910727</v>
      </c>
      <c r="AS48" s="200">
        <f ca="1">IF($L48&lt;&gt;0,VLOOKUP($N48,'Allocation Factors'!$B$12:$AU$603,34,FALSE)*$L48,0)+IF($H48&lt;&gt;0,(VLOOKUP($J48,'Allocation Factors'!$B$12:$AU$603,34,FALSE)*$H48),0)</f>
        <v>0</v>
      </c>
      <c r="AT48" s="200">
        <f ca="1">IF($L48&lt;&gt;0,VLOOKUP($N48,'Allocation Factors'!$B$12:$AU$603,35,FALSE)*$L48,0)+IF($H48&lt;&gt;0,(VLOOKUP($J48,'Allocation Factors'!$B$12:$AU$603,35,FALSE)*$H48),0)</f>
        <v>51.772163674963906</v>
      </c>
      <c r="AU48" s="200">
        <f ca="1">IF($L48&lt;&gt;0,VLOOKUP($N48,'Allocation Factors'!$B$12:$AU$603,36,FALSE)*$L48,0)+IF($H48&lt;&gt;0,(VLOOKUP($J48,'Allocation Factors'!$B$12:$AU$603,36,FALSE)*$H48),0)</f>
        <v>0</v>
      </c>
      <c r="AV48" s="200">
        <f ca="1">IF($L48&lt;&gt;0,VLOOKUP($N48,'Allocation Factors'!$B$12:$AU$603,37,FALSE)*$L48,0)+IF($H48&lt;&gt;0,(VLOOKUP($J48,'Allocation Factors'!$B$12:$AU$603,37,FALSE)*$H48),0)</f>
        <v>1.2627356993893637</v>
      </c>
      <c r="AW48" s="200">
        <f ca="1">IF($L48&lt;&gt;0,VLOOKUP($N48,'Allocation Factors'!$B$12:$AU$603,38,FALSE)*$L48,0)+IF($H48&lt;&gt;0,(VLOOKUP($J48,'Allocation Factors'!$B$12:$AU$603,38,FALSE)*$H48),0)</f>
        <v>0</v>
      </c>
      <c r="AX48" s="200">
        <f ca="1">IF($L48&lt;&gt;0,VLOOKUP($N48,'Allocation Factors'!$B$12:$AU$603,39,FALSE)*$L48,0)+IF($H48&lt;&gt;0,(VLOOKUP($J48,'Allocation Factors'!$B$12:$AU$603,39,FALSE)*$H48),0)</f>
        <v>0</v>
      </c>
      <c r="AY48" s="200">
        <f ca="1">IF($L48&lt;&gt;0,VLOOKUP($N48,'Allocation Factors'!$B$12:$AU$603,40,FALSE)*$L48,0)+IF($H48&lt;&gt;0,(VLOOKUP($J48,'Allocation Factors'!$B$12:$AU$603,40,FALSE)*$H48),0)</f>
        <v>0</v>
      </c>
      <c r="AZ48" s="200">
        <f ca="1">IF($L48&lt;&gt;0,VLOOKUP($N48,'Allocation Factors'!$B$12:$AU$603,41,FALSE)*$L48,0)+IF($H48&lt;&gt;0,(VLOOKUP($J48,'Allocation Factors'!$B$12:$AU$603,41,FALSE)*$H48),0)</f>
        <v>0</v>
      </c>
      <c r="BA48" s="200">
        <f ca="1">IF($L48&lt;&gt;0,VLOOKUP($N48,'Allocation Factors'!$B$12:$AU$603,42,FALSE)*$L48,0)+IF($H48&lt;&gt;0,(VLOOKUP($J48,'Allocation Factors'!$B$12:$AU$603,42,FALSE)*$H48),0)</f>
        <v>0</v>
      </c>
      <c r="BB48" s="200">
        <f ca="1">IF($L48&lt;&gt;0,VLOOKUP($N48,'Allocation Factors'!$B$12:$AU$603,43,FALSE)*$L48,0)+IF($H48&lt;&gt;0,(VLOOKUP($J48,'Allocation Factors'!$B$12:$AU$603,43,FALSE)*$H48),0)</f>
        <v>0</v>
      </c>
      <c r="BC48" s="200">
        <f ca="1">IF($L48&lt;&gt;0,VLOOKUP($N48,'Allocation Factors'!$B$12:$AU$603,44,FALSE)*$L48,0)+IF($H48&lt;&gt;0,(VLOOKUP($J48,'Allocation Factors'!$B$12:$AU$603,44,FALSE)*$H48),0)</f>
        <v>0</v>
      </c>
      <c r="BD48" s="200">
        <f ca="1">IF($L48&lt;&gt;0,VLOOKUP($N48,'Allocation Factors'!$B$12:$AU$603,45,FALSE)*$L48,0)+IF($H48&lt;&gt;0,(VLOOKUP($J48,'Allocation Factors'!$B$12:$AU$603,45,FALSE)*$H48),0)</f>
        <v>0</v>
      </c>
      <c r="BE48" s="200">
        <f ca="1">IF($L48&lt;&gt;0,VLOOKUP($N48,'Allocation Factors'!$B$12:$AU$603,46,FALSE)*$L48,0)+IF($H48&lt;&gt;0,(VLOOKUP($J48,'Allocation Factors'!$B$12:$AU$603,46,FALSE)*$H48),0)</f>
        <v>0</v>
      </c>
    </row>
    <row r="49" spans="1:57" x14ac:dyDescent="0.25">
      <c r="A49" s="2">
        <f t="shared" si="8"/>
        <v>31</v>
      </c>
      <c r="B49" s="206" t="s">
        <v>72</v>
      </c>
      <c r="D49" s="200">
        <f ca="1">'Dist Cust Class'!R164</f>
        <v>199129.41855412768</v>
      </c>
      <c r="F49" s="113">
        <f ca="1">'Dist Cust Class'!R180</f>
        <v>140214.0028086098</v>
      </c>
      <c r="H49" s="200">
        <f>'Allocation Factors'!D15</f>
        <v>11615.53513385792</v>
      </c>
      <c r="J49" s="91" t="s">
        <v>388</v>
      </c>
      <c r="L49" s="200">
        <f ca="1">F49-H49</f>
        <v>128598.46767475188</v>
      </c>
      <c r="N49" s="91" t="s">
        <v>247</v>
      </c>
      <c r="P49" s="200">
        <f ca="1">IF($L49&lt;&gt;0,VLOOKUP($N49,'Allocation Factors'!$B$12:$AU$603,5,FALSE)*$L49,0)+IF($H49&lt;&gt;0,(VLOOKUP($J49,'Allocation Factors'!$B$12:$AU$603,5,FALSE)*$H49),0)</f>
        <v>75844.102134170767</v>
      </c>
      <c r="Q49" s="200">
        <f ca="1">IF($L49&lt;&gt;0,VLOOKUP($N49,'Allocation Factors'!$B$12:$AU$603,6,FALSE)*$L49,0)+IF($H49&lt;&gt;0,(VLOOKUP($J49,'Allocation Factors'!$B$12:$AU$603,6,FALSE)*$H49),0)</f>
        <v>6073.214776654766</v>
      </c>
      <c r="R49" s="200">
        <f ca="1">IF($L49&lt;&gt;0,VLOOKUP($N49,'Allocation Factors'!$B$12:$AU$603,7,FALSE)*$L49,0)+IF($H49&lt;&gt;0,(VLOOKUP($J49,'Allocation Factors'!$B$12:$AU$603,7,FALSE)*$H49),0)</f>
        <v>0</v>
      </c>
      <c r="S49" s="200">
        <f ca="1">IF($L49&lt;&gt;0,VLOOKUP($N49,'Allocation Factors'!$B$12:$AU$603,8,FALSE)*$L49,0)+IF($H49&lt;&gt;0,(VLOOKUP($J49,'Allocation Factors'!$B$12:$AU$603,8,FALSE)*$H49),0)</f>
        <v>37.218328698147772</v>
      </c>
      <c r="T49" s="200">
        <f ca="1">IF($L49&lt;&gt;0,VLOOKUP($N49,'Allocation Factors'!$B$12:$AU$603,9,FALSE)*$L49,0)+IF($H49&lt;&gt;0,(VLOOKUP($J49,'Allocation Factors'!$B$12:$AU$603,9,FALSE)*$H49),0)</f>
        <v>1105.9160527449626</v>
      </c>
      <c r="U49" s="200">
        <f ca="1">IF($L49&lt;&gt;0,VLOOKUP($N49,'Allocation Factors'!$B$12:$AU$603,10,FALSE)*$L49,0)+IF($H49&lt;&gt;0,(VLOOKUP($J49,'Allocation Factors'!$B$12:$AU$603,10,FALSE)*$H49),0)</f>
        <v>58.485945097089356</v>
      </c>
      <c r="V49" s="200">
        <f ca="1">IF($L49&lt;&gt;0,VLOOKUP($N49,'Allocation Factors'!$B$12:$AU$603,11,FALSE)*$L49,0)+IF($H49&lt;&gt;0,(VLOOKUP($J49,'Allocation Factors'!$B$12:$AU$603,11,FALSE)*$H49),0)</f>
        <v>10.633808199470792</v>
      </c>
      <c r="W49" s="200">
        <f ca="1">IF($L49&lt;&gt;0,VLOOKUP($N49,'Allocation Factors'!$B$12:$AU$603,12,FALSE)*$L49,0)+IF($H49&lt;&gt;0,(VLOOKUP($J49,'Allocation Factors'!$B$12:$AU$603,12,FALSE)*$H49),0)</f>
        <v>108.99653404457563</v>
      </c>
      <c r="X49" s="200">
        <f ca="1">IF($L49&lt;&gt;0,VLOOKUP($N49,'Allocation Factors'!$B$12:$AU$603,13,FALSE)*$L49,0)+IF($H49&lt;&gt;0,(VLOOKUP($J49,'Allocation Factors'!$B$12:$AU$603,13,FALSE)*$H49),0)</f>
        <v>13.292260249338494</v>
      </c>
      <c r="Y49" s="200">
        <f ca="1">IF($L49&lt;&gt;0,VLOOKUP($N49,'Allocation Factors'!$B$12:$AU$603,14,FALSE)*$L49,0)+IF($H49&lt;&gt;0,(VLOOKUP($J49,'Allocation Factors'!$B$12:$AU$603,14,FALSE)*$H49),0)</f>
        <v>29.242972548544678</v>
      </c>
      <c r="Z49" s="200">
        <f ca="1">IF($L49&lt;&gt;0,VLOOKUP($N49,'Allocation Factors'!$B$12:$AU$603,15,FALSE)*$L49,0)+IF($H49&lt;&gt;0,(VLOOKUP($J49,'Allocation Factors'!$B$12:$AU$603,15,FALSE)*$H49),0)</f>
        <v>2.658452049867698</v>
      </c>
      <c r="AA49" s="200">
        <f ca="1">IF($L49&lt;&gt;0,VLOOKUP($N49,'Allocation Factors'!$B$12:$AU$603,16,FALSE)*$L49,0)+IF($H49&lt;&gt;0,(VLOOKUP($J49,'Allocation Factors'!$B$12:$AU$603,16,FALSE)*$H49),0)</f>
        <v>0</v>
      </c>
      <c r="AB49" s="200">
        <f ca="1">IF($L49&lt;&gt;0,VLOOKUP($N49,'Allocation Factors'!$B$12:$AU$603,17,FALSE)*$L49,0)+IF($H49&lt;&gt;0,(VLOOKUP($J49,'Allocation Factors'!$B$12:$AU$603,17,FALSE)*$H49),0)</f>
        <v>0</v>
      </c>
      <c r="AC49" s="200">
        <f ca="1">IF($L49&lt;&gt;0,VLOOKUP($N49,'Allocation Factors'!$B$12:$AU$603,18,FALSE)*$L49,0)+IF($H49&lt;&gt;0,(VLOOKUP($J49,'Allocation Factors'!$B$12:$AU$603,18,FALSE)*$H49),0)</f>
        <v>12971.556634657138</v>
      </c>
      <c r="AD49" s="200">
        <f ca="1">IF($L49&lt;&gt;0,VLOOKUP($N49,'Allocation Factors'!$B$12:$AU$603,19,FALSE)*$L49,0)+IF($H49&lt;&gt;0,(VLOOKUP($J49,'Allocation Factors'!$B$12:$AU$603,19,FALSE)*$H49),0)</f>
        <v>77.44240886130909</v>
      </c>
      <c r="AE49" s="200">
        <f ca="1">IF($L49&lt;&gt;0,VLOOKUP($N49,'Allocation Factors'!$B$12:$AU$603,20,FALSE)*$L49,0)+IF($H49&lt;&gt;0,(VLOOKUP($J49,'Allocation Factors'!$B$12:$AU$603,20,FALSE)*$H49),0)</f>
        <v>164.82402709179729</v>
      </c>
      <c r="AF49" s="200">
        <f ca="1">IF($L49&lt;&gt;0,VLOOKUP($N49,'Allocation Factors'!$B$12:$AU$603,21,FALSE)*$L49,0)+IF($H49&lt;&gt;0,(VLOOKUP($J49,'Allocation Factors'!$B$12:$AU$603,21,FALSE)*$H49),0)</f>
        <v>10.633808199470792</v>
      </c>
      <c r="AG49" s="200">
        <f ca="1">IF($L49&lt;&gt;0,VLOOKUP($N49,'Allocation Factors'!$B$12:$AU$603,22,FALSE)*$L49,0)+IF($H49&lt;&gt;0,(VLOOKUP($J49,'Allocation Factors'!$B$12:$AU$603,22,FALSE)*$H49),0)</f>
        <v>31.90142459841238</v>
      </c>
      <c r="AH49" s="200">
        <f ca="1">IF($L49&lt;&gt;0,VLOOKUP($N49,'Allocation Factors'!$B$12:$AU$603,23,FALSE)*$L49,0)+IF($H49&lt;&gt;0,(VLOOKUP($J49,'Allocation Factors'!$B$12:$AU$603,23,FALSE)*$H49),0)</f>
        <v>42266.086189149435</v>
      </c>
      <c r="AI49" s="200">
        <f ca="1">IF($L49&lt;&gt;0,VLOOKUP($N49,'Allocation Factors'!$B$12:$AU$603,24,FALSE)*$L49,0)+IF($H49&lt;&gt;0,(VLOOKUP($J49,'Allocation Factors'!$B$12:$AU$603,24,FALSE)*$H49),0)</f>
        <v>283.52214024587255</v>
      </c>
      <c r="AJ49" s="200">
        <f ca="1">IF($L49&lt;&gt;0,VLOOKUP($N49,'Allocation Factors'!$B$12:$AU$603,25,FALSE)*$L49,0)+IF($H49&lt;&gt;0,(VLOOKUP($J49,'Allocation Factors'!$B$12:$AU$603,25,FALSE)*$H49),0)</f>
        <v>598.15171122023219</v>
      </c>
      <c r="AK49" s="200">
        <f ca="1">IF($L49&lt;&gt;0,VLOOKUP($N49,'Allocation Factors'!$B$12:$AU$603,26,FALSE)*$L49,0)+IF($H49&lt;&gt;0,(VLOOKUP($J49,'Allocation Factors'!$B$12:$AU$603,26,FALSE)*$H49),0)</f>
        <v>0</v>
      </c>
      <c r="AL49" s="200">
        <f ca="1">IF($L49&lt;&gt;0,VLOOKUP($N49,'Allocation Factors'!$B$12:$AU$603,27,FALSE)*$L49,0)+IF($H49&lt;&gt;0,(VLOOKUP($J49,'Allocation Factors'!$B$12:$AU$603,27,FALSE)*$H49),0)</f>
        <v>18.609164349073886</v>
      </c>
      <c r="AM49" s="200">
        <f ca="1">IF($L49&lt;&gt;0,VLOOKUP($N49,'Allocation Factors'!$B$12:$AU$603,28,FALSE)*$L49,0)+IF($H49&lt;&gt;0,(VLOOKUP($J49,'Allocation Factors'!$B$12:$AU$603,28,FALSE)*$H49),0)</f>
        <v>79.753561496030954</v>
      </c>
      <c r="AN49" s="200">
        <f ca="1">IF($L49&lt;&gt;0,VLOOKUP($N49,'Allocation Factors'!$B$12:$AU$603,29,FALSE)*$L49,0)+IF($H49&lt;&gt;0,(VLOOKUP($J49,'Allocation Factors'!$B$12:$AU$603,29,FALSE)*$H49),0)</f>
        <v>151.53176684245881</v>
      </c>
      <c r="AO49" s="200">
        <f ca="1">IF($L49&lt;&gt;0,VLOOKUP($N49,'Allocation Factors'!$B$12:$AU$603,30,FALSE)*$L49,0)+IF($H49&lt;&gt;0,(VLOOKUP($J49,'Allocation Factors'!$B$12:$AU$603,30,FALSE)*$H49),0)</f>
        <v>10.633808199470792</v>
      </c>
      <c r="AP49" s="200">
        <f ca="1">IF($L49&lt;&gt;0,VLOOKUP($N49,'Allocation Factors'!$B$12:$AU$603,31,FALSE)*$L49,0)+IF($H49&lt;&gt;0,(VLOOKUP($J49,'Allocation Factors'!$B$12:$AU$603,31,FALSE)*$H49),0)</f>
        <v>10.633808199470792</v>
      </c>
      <c r="AQ49" s="200">
        <f ca="1">IF($L49&lt;&gt;0,VLOOKUP($N49,'Allocation Factors'!$B$12:$AU$603,32,FALSE)*$L49,0)+IF($H49&lt;&gt;0,(VLOOKUP($J49,'Allocation Factors'!$B$12:$AU$603,32,FALSE)*$H49),0)</f>
        <v>0</v>
      </c>
      <c r="AR49" s="200">
        <f ca="1">IF($L49&lt;&gt;0,VLOOKUP($N49,'Allocation Factors'!$B$12:$AU$603,33,FALSE)*$L49,0)+IF($H49&lt;&gt;0,(VLOOKUP($J49,'Allocation Factors'!$B$12:$AU$603,33,FALSE)*$H49),0)</f>
        <v>122.28879429391411</v>
      </c>
      <c r="AS49" s="200">
        <f ca="1">IF($L49&lt;&gt;0,VLOOKUP($N49,'Allocation Factors'!$B$12:$AU$603,34,FALSE)*$L49,0)+IF($H49&lt;&gt;0,(VLOOKUP($J49,'Allocation Factors'!$B$12:$AU$603,34,FALSE)*$H49),0)</f>
        <v>0</v>
      </c>
      <c r="AT49" s="200">
        <f ca="1">IF($L49&lt;&gt;0,VLOOKUP($N49,'Allocation Factors'!$B$12:$AU$603,35,FALSE)*$L49,0)+IF($H49&lt;&gt;0,(VLOOKUP($J49,'Allocation Factors'!$B$12:$AU$603,35,FALSE)*$H49),0)</f>
        <v>108.99653404457563</v>
      </c>
      <c r="AU49" s="200">
        <f ca="1">IF($L49&lt;&gt;0,VLOOKUP($N49,'Allocation Factors'!$B$12:$AU$603,36,FALSE)*$L49,0)+IF($H49&lt;&gt;0,(VLOOKUP($J49,'Allocation Factors'!$B$12:$AU$603,36,FALSE)*$H49),0)</f>
        <v>0</v>
      </c>
      <c r="AV49" s="200">
        <f ca="1">IF($L49&lt;&gt;0,VLOOKUP($N49,'Allocation Factors'!$B$12:$AU$603,37,FALSE)*$L49,0)+IF($H49&lt;&gt;0,(VLOOKUP($J49,'Allocation Factors'!$B$12:$AU$603,37,FALSE)*$H49),0)</f>
        <v>2.658452049867698</v>
      </c>
      <c r="AW49" s="200">
        <f ca="1">IF($L49&lt;&gt;0,VLOOKUP($N49,'Allocation Factors'!$B$12:$AU$603,38,FALSE)*$L49,0)+IF($H49&lt;&gt;0,(VLOOKUP($J49,'Allocation Factors'!$B$12:$AU$603,38,FALSE)*$H49),0)</f>
        <v>0</v>
      </c>
      <c r="AX49" s="200">
        <f ca="1">IF($L49&lt;&gt;0,VLOOKUP($N49,'Allocation Factors'!$B$12:$AU$603,39,FALSE)*$L49,0)+IF($H49&lt;&gt;0,(VLOOKUP($J49,'Allocation Factors'!$B$12:$AU$603,39,FALSE)*$H49),0)</f>
        <v>0</v>
      </c>
      <c r="AY49" s="200">
        <f ca="1">IF($L49&lt;&gt;0,VLOOKUP($N49,'Allocation Factors'!$B$12:$AU$603,40,FALSE)*$L49,0)+IF($H49&lt;&gt;0,(VLOOKUP($J49,'Allocation Factors'!$B$12:$AU$603,40,FALSE)*$H49),0)</f>
        <v>0</v>
      </c>
      <c r="AZ49" s="200">
        <f ca="1">IF($L49&lt;&gt;0,VLOOKUP($N49,'Allocation Factors'!$B$12:$AU$603,41,FALSE)*$L49,0)+IF($H49&lt;&gt;0,(VLOOKUP($J49,'Allocation Factors'!$B$12:$AU$603,41,FALSE)*$H49),0)</f>
        <v>0</v>
      </c>
      <c r="BA49" s="200">
        <f ca="1">IF($L49&lt;&gt;0,VLOOKUP($N49,'Allocation Factors'!$B$12:$AU$603,42,FALSE)*$L49,0)+IF($H49&lt;&gt;0,(VLOOKUP($J49,'Allocation Factors'!$B$12:$AU$603,42,FALSE)*$H49),0)</f>
        <v>0</v>
      </c>
      <c r="BB49" s="200">
        <f ca="1">IF($L49&lt;&gt;0,VLOOKUP($N49,'Allocation Factors'!$B$12:$AU$603,43,FALSE)*$L49,0)+IF($H49&lt;&gt;0,(VLOOKUP($J49,'Allocation Factors'!$B$12:$AU$603,43,FALSE)*$H49),0)</f>
        <v>21.017310653740001</v>
      </c>
      <c r="BC49" s="200">
        <f ca="1">IF($L49&lt;&gt;0,VLOOKUP($N49,'Allocation Factors'!$B$12:$AU$603,44,FALSE)*$L49,0)+IF($H49&lt;&gt;0,(VLOOKUP($J49,'Allocation Factors'!$B$12:$AU$603,44,FALSE)*$H49),0)</f>
        <v>0</v>
      </c>
      <c r="BD49" s="200">
        <f ca="1">IF($L49&lt;&gt;0,VLOOKUP($N49,'Allocation Factors'!$B$12:$AU$603,45,FALSE)*$L49,0)+IF($H49&lt;&gt;0,(VLOOKUP($J49,'Allocation Factors'!$B$12:$AU$603,45,FALSE)*$H49),0)</f>
        <v>0</v>
      </c>
      <c r="BE49" s="200">
        <f ca="1">IF($L49&lt;&gt;0,VLOOKUP($N49,'Allocation Factors'!$B$12:$AU$603,46,FALSE)*$L49,0)+IF($H49&lt;&gt;0,(VLOOKUP($J49,'Allocation Factors'!$B$12:$AU$603,46,FALSE)*$H49),0)</f>
        <v>0</v>
      </c>
    </row>
    <row r="50" spans="1:57" x14ac:dyDescent="0.25">
      <c r="A50" s="2">
        <f t="shared" si="8"/>
        <v>32</v>
      </c>
      <c r="B50" s="206" t="s">
        <v>199</v>
      </c>
      <c r="D50" s="200">
        <f ca="1">'Dist Cust Class'!T164</f>
        <v>11724.443938772294</v>
      </c>
      <c r="F50" s="113">
        <f ca="1">'Dist Cust Class'!T180</f>
        <v>11724.443938772294</v>
      </c>
      <c r="L50" s="200">
        <f ca="1">F50-H50</f>
        <v>11724.443938772294</v>
      </c>
      <c r="N50" s="91" t="s">
        <v>306</v>
      </c>
      <c r="P50" s="200">
        <f ca="1">IF($L50&lt;&gt;0,VLOOKUP($N50,'Allocation Factors'!$B$12:$AU$603,5,FALSE)*$L50,0)+IF($H50&lt;&gt;0,(VLOOKUP($J50,'Allocation Factors'!$B$12:$AU$603,5,FALSE)*$H50),0)</f>
        <v>0</v>
      </c>
      <c r="Q50" s="200">
        <f ca="1">IF($L50&lt;&gt;0,VLOOKUP($N50,'Allocation Factors'!$B$12:$AU$603,6,FALSE)*$L50,0)+IF($H50&lt;&gt;0,(VLOOKUP($J50,'Allocation Factors'!$B$12:$AU$603,6,FALSE)*$H50),0)</f>
        <v>0</v>
      </c>
      <c r="R50" s="200">
        <f ca="1">IF($L50&lt;&gt;0,VLOOKUP($N50,'Allocation Factors'!$B$12:$AU$603,7,FALSE)*$L50,0)+IF($H50&lt;&gt;0,(VLOOKUP($J50,'Allocation Factors'!$B$12:$AU$603,7,FALSE)*$H50),0)</f>
        <v>0</v>
      </c>
      <c r="S50" s="200">
        <f ca="1">IF($L50&lt;&gt;0,VLOOKUP($N50,'Allocation Factors'!$B$12:$AU$603,8,FALSE)*$L50,0)+IF($H50&lt;&gt;0,(VLOOKUP($J50,'Allocation Factors'!$B$12:$AU$603,8,FALSE)*$H50),0)</f>
        <v>163.00120669594054</v>
      </c>
      <c r="T50" s="200">
        <f ca="1">IF($L50&lt;&gt;0,VLOOKUP($N50,'Allocation Factors'!$B$12:$AU$603,9,FALSE)*$L50,0)+IF($H50&lt;&gt;0,(VLOOKUP($J50,'Allocation Factors'!$B$12:$AU$603,9,FALSE)*$H50),0)</f>
        <v>4843.464427536519</v>
      </c>
      <c r="U50" s="200">
        <f ca="1">IF($L50&lt;&gt;0,VLOOKUP($N50,'Allocation Factors'!$B$12:$AU$603,10,FALSE)*$L50,0)+IF($H50&lt;&gt;0,(VLOOKUP($J50,'Allocation Factors'!$B$12:$AU$603,10,FALSE)*$H50),0)</f>
        <v>256.1447533793351</v>
      </c>
      <c r="V50" s="200">
        <f ca="1">IF($L50&lt;&gt;0,VLOOKUP($N50,'Allocation Factors'!$B$12:$AU$603,11,FALSE)*$L50,0)+IF($H50&lt;&gt;0,(VLOOKUP($J50,'Allocation Factors'!$B$12:$AU$603,11,FALSE)*$H50),0)</f>
        <v>46.571773341697295</v>
      </c>
      <c r="W50" s="200">
        <f ca="1">IF($L50&lt;&gt;0,VLOOKUP($N50,'Allocation Factors'!$B$12:$AU$603,12,FALSE)*$L50,0)+IF($H50&lt;&gt;0,(VLOOKUP($J50,'Allocation Factors'!$B$12:$AU$603,12,FALSE)*$H50),0)</f>
        <v>477.36067675239724</v>
      </c>
      <c r="X50" s="200">
        <f ca="1">IF($L50&lt;&gt;0,VLOOKUP($N50,'Allocation Factors'!$B$12:$AU$603,13,FALSE)*$L50,0)+IF($H50&lt;&gt;0,(VLOOKUP($J50,'Allocation Factors'!$B$12:$AU$603,13,FALSE)*$H50),0)</f>
        <v>58.214716677121622</v>
      </c>
      <c r="Y50" s="200">
        <f ca="1">IF($L50&lt;&gt;0,VLOOKUP($N50,'Allocation Factors'!$B$12:$AU$603,14,FALSE)*$L50,0)+IF($H50&lt;&gt;0,(VLOOKUP($J50,'Allocation Factors'!$B$12:$AU$603,14,FALSE)*$H50),0)</f>
        <v>128.07237668966755</v>
      </c>
      <c r="Z50" s="200">
        <f ca="1">IF($L50&lt;&gt;0,VLOOKUP($N50,'Allocation Factors'!$B$12:$AU$603,15,FALSE)*$L50,0)+IF($H50&lt;&gt;0,(VLOOKUP($J50,'Allocation Factors'!$B$12:$AU$603,15,FALSE)*$H50),0)</f>
        <v>11.642943335424324</v>
      </c>
      <c r="AA50" s="200">
        <f ca="1">IF($L50&lt;&gt;0,VLOOKUP($N50,'Allocation Factors'!$B$12:$AU$603,16,FALSE)*$L50,0)+IF($H50&lt;&gt;0,(VLOOKUP($J50,'Allocation Factors'!$B$12:$AU$603,16,FALSE)*$H50),0)</f>
        <v>0</v>
      </c>
      <c r="AB50" s="200">
        <f ca="1">IF($L50&lt;&gt;0,VLOOKUP($N50,'Allocation Factors'!$B$12:$AU$603,17,FALSE)*$L50,0)+IF($H50&lt;&gt;0,(VLOOKUP($J50,'Allocation Factors'!$B$12:$AU$603,17,FALSE)*$H50),0)</f>
        <v>0</v>
      </c>
      <c r="AC50" s="200">
        <f ca="1">IF($L50&lt;&gt;0,VLOOKUP($N50,'Allocation Factors'!$B$12:$AU$603,18,FALSE)*$L50,0)+IF($H50&lt;&gt;0,(VLOOKUP($J50,'Allocation Factors'!$B$12:$AU$603,18,FALSE)*$H50),0)</f>
        <v>0</v>
      </c>
      <c r="AD50" s="200">
        <f ca="1">IF($L50&lt;&gt;0,VLOOKUP($N50,'Allocation Factors'!$B$12:$AU$603,19,FALSE)*$L50,0)+IF($H50&lt;&gt;0,(VLOOKUP($J50,'Allocation Factors'!$B$12:$AU$603,19,FALSE)*$H50),0)</f>
        <v>0</v>
      </c>
      <c r="AE50" s="200">
        <f ca="1">IF($L50&lt;&gt;0,VLOOKUP($N50,'Allocation Factors'!$B$12:$AU$603,20,FALSE)*$L50,0)+IF($H50&lt;&gt;0,(VLOOKUP($J50,'Allocation Factors'!$B$12:$AU$603,20,FALSE)*$H50),0)</f>
        <v>721.86248679630808</v>
      </c>
      <c r="AF50" s="200">
        <f ca="1">IF($L50&lt;&gt;0,VLOOKUP($N50,'Allocation Factors'!$B$12:$AU$603,21,FALSE)*$L50,0)+IF($H50&lt;&gt;0,(VLOOKUP($J50,'Allocation Factors'!$B$12:$AU$603,21,FALSE)*$H50),0)</f>
        <v>46.571773341697295</v>
      </c>
      <c r="AG50" s="200">
        <f ca="1">IF($L50&lt;&gt;0,VLOOKUP($N50,'Allocation Factors'!$B$12:$AU$603,22,FALSE)*$L50,0)+IF($H50&lt;&gt;0,(VLOOKUP($J50,'Allocation Factors'!$B$12:$AU$603,22,FALSE)*$H50),0)</f>
        <v>139.7153200250919</v>
      </c>
      <c r="AH50" s="200">
        <f ca="1">IF($L50&lt;&gt;0,VLOOKUP($N50,'Allocation Factors'!$B$12:$AU$603,23,FALSE)*$L50,0)+IF($H50&lt;&gt;0,(VLOOKUP($J50,'Allocation Factors'!$B$12:$AU$603,23,FALSE)*$H50),0)</f>
        <v>0</v>
      </c>
      <c r="AI50" s="200">
        <f ca="1">IF($L50&lt;&gt;0,VLOOKUP($N50,'Allocation Factors'!$B$12:$AU$603,24,FALSE)*$L50,0)+IF($H50&lt;&gt;0,(VLOOKUP($J50,'Allocation Factors'!$B$12:$AU$603,24,FALSE)*$H50),0)</f>
        <v>0</v>
      </c>
      <c r="AJ50" s="200">
        <f ca="1">IF($L50&lt;&gt;0,VLOOKUP($N50,'Allocation Factors'!$B$12:$AU$603,25,FALSE)*$L50,0)+IF($H50&lt;&gt;0,(VLOOKUP($J50,'Allocation Factors'!$B$12:$AU$603,25,FALSE)*$H50),0)</f>
        <v>2619.6622504704728</v>
      </c>
      <c r="AK50" s="200">
        <f ca="1">IF($L50&lt;&gt;0,VLOOKUP($N50,'Allocation Factors'!$B$12:$AU$603,26,FALSE)*$L50,0)+IF($H50&lt;&gt;0,(VLOOKUP($J50,'Allocation Factors'!$B$12:$AU$603,26,FALSE)*$H50),0)</f>
        <v>0</v>
      </c>
      <c r="AL50" s="200">
        <f ca="1">IF($L50&lt;&gt;0,VLOOKUP($N50,'Allocation Factors'!$B$12:$AU$603,27,FALSE)*$L50,0)+IF($H50&lt;&gt;0,(VLOOKUP($J50,'Allocation Factors'!$B$12:$AU$603,27,FALSE)*$H50),0)</f>
        <v>81.500603347970269</v>
      </c>
      <c r="AM50" s="200">
        <f ca="1">IF($L50&lt;&gt;0,VLOOKUP($N50,'Allocation Factors'!$B$12:$AU$603,28,FALSE)*$L50,0)+IF($H50&lt;&gt;0,(VLOOKUP($J50,'Allocation Factors'!$B$12:$AU$603,28,FALSE)*$H50),0)</f>
        <v>349.28830006272972</v>
      </c>
      <c r="AN50" s="200">
        <f ca="1">IF($L50&lt;&gt;0,VLOOKUP($N50,'Allocation Factors'!$B$12:$AU$603,29,FALSE)*$L50,0)+IF($H50&lt;&gt;0,(VLOOKUP($J50,'Allocation Factors'!$B$12:$AU$603,29,FALSE)*$H50),0)</f>
        <v>663.64777011918648</v>
      </c>
      <c r="AO50" s="200">
        <f ca="1">IF($L50&lt;&gt;0,VLOOKUP($N50,'Allocation Factors'!$B$12:$AU$603,30,FALSE)*$L50,0)+IF($H50&lt;&gt;0,(VLOOKUP($J50,'Allocation Factors'!$B$12:$AU$603,30,FALSE)*$H50),0)</f>
        <v>46.571773341697295</v>
      </c>
      <c r="AP50" s="200">
        <f ca="1">IF($L50&lt;&gt;0,VLOOKUP($N50,'Allocation Factors'!$B$12:$AU$603,31,FALSE)*$L50,0)+IF($H50&lt;&gt;0,(VLOOKUP($J50,'Allocation Factors'!$B$12:$AU$603,31,FALSE)*$H50),0)</f>
        <v>46.571773341697295</v>
      </c>
      <c r="AQ50" s="200">
        <f ca="1">IF($L50&lt;&gt;0,VLOOKUP($N50,'Allocation Factors'!$B$12:$AU$603,32,FALSE)*$L50,0)+IF($H50&lt;&gt;0,(VLOOKUP($J50,'Allocation Factors'!$B$12:$AU$603,32,FALSE)*$H50),0)</f>
        <v>0</v>
      </c>
      <c r="AR50" s="200">
        <f ca="1">IF($L50&lt;&gt;0,VLOOKUP($N50,'Allocation Factors'!$B$12:$AU$603,33,FALSE)*$L50,0)+IF($H50&lt;&gt;0,(VLOOKUP($J50,'Allocation Factors'!$B$12:$AU$603,33,FALSE)*$H50),0)</f>
        <v>535.57539342951895</v>
      </c>
      <c r="AS50" s="200">
        <f ca="1">IF($L50&lt;&gt;0,VLOOKUP($N50,'Allocation Factors'!$B$12:$AU$603,34,FALSE)*$L50,0)+IF($H50&lt;&gt;0,(VLOOKUP($J50,'Allocation Factors'!$B$12:$AU$603,34,FALSE)*$H50),0)</f>
        <v>0</v>
      </c>
      <c r="AT50" s="200">
        <f ca="1">IF($L50&lt;&gt;0,VLOOKUP($N50,'Allocation Factors'!$B$12:$AU$603,35,FALSE)*$L50,0)+IF($H50&lt;&gt;0,(VLOOKUP($J50,'Allocation Factors'!$B$12:$AU$603,35,FALSE)*$H50),0)</f>
        <v>477.36067675239724</v>
      </c>
      <c r="AU50" s="200">
        <f ca="1">IF($L50&lt;&gt;0,VLOOKUP($N50,'Allocation Factors'!$B$12:$AU$603,36,FALSE)*$L50,0)+IF($H50&lt;&gt;0,(VLOOKUP($J50,'Allocation Factors'!$B$12:$AU$603,36,FALSE)*$H50),0)</f>
        <v>0</v>
      </c>
      <c r="AV50" s="200">
        <f ca="1">IF($L50&lt;&gt;0,VLOOKUP($N50,'Allocation Factors'!$B$12:$AU$603,37,FALSE)*$L50,0)+IF($H50&lt;&gt;0,(VLOOKUP($J50,'Allocation Factors'!$B$12:$AU$603,37,FALSE)*$H50),0)</f>
        <v>11.642943335424324</v>
      </c>
      <c r="AW50" s="200">
        <f ca="1">IF($L50&lt;&gt;0,VLOOKUP($N50,'Allocation Factors'!$B$12:$AU$603,38,FALSE)*$L50,0)+IF($H50&lt;&gt;0,(VLOOKUP($J50,'Allocation Factors'!$B$12:$AU$603,38,FALSE)*$H50),0)</f>
        <v>0</v>
      </c>
      <c r="AX50" s="200">
        <f ca="1">IF($L50&lt;&gt;0,VLOOKUP($N50,'Allocation Factors'!$B$12:$AU$603,39,FALSE)*$L50,0)+IF($H50&lt;&gt;0,(VLOOKUP($J50,'Allocation Factors'!$B$12:$AU$603,39,FALSE)*$H50),0)</f>
        <v>0</v>
      </c>
      <c r="AY50" s="200">
        <f ca="1">IF($L50&lt;&gt;0,VLOOKUP($N50,'Allocation Factors'!$B$12:$AU$603,40,FALSE)*$L50,0)+IF($H50&lt;&gt;0,(VLOOKUP($J50,'Allocation Factors'!$B$12:$AU$603,40,FALSE)*$H50),0)</f>
        <v>0</v>
      </c>
      <c r="AZ50" s="200">
        <f ca="1">IF($L50&lt;&gt;0,VLOOKUP($N50,'Allocation Factors'!$B$12:$AU$603,41,FALSE)*$L50,0)+IF($H50&lt;&gt;0,(VLOOKUP($J50,'Allocation Factors'!$B$12:$AU$603,41,FALSE)*$H50),0)</f>
        <v>0</v>
      </c>
      <c r="BA50" s="200">
        <f ca="1">IF($L50&lt;&gt;0,VLOOKUP($N50,'Allocation Factors'!$B$12:$AU$603,42,FALSE)*$L50,0)+IF($H50&lt;&gt;0,(VLOOKUP($J50,'Allocation Factors'!$B$12:$AU$603,42,FALSE)*$H50),0)</f>
        <v>0</v>
      </c>
      <c r="BB50" s="200">
        <f ca="1">IF($L50&lt;&gt;0,VLOOKUP($N50,'Allocation Factors'!$B$12:$AU$603,43,FALSE)*$L50,0)+IF($H50&lt;&gt;0,(VLOOKUP($J50,'Allocation Factors'!$B$12:$AU$603,43,FALSE)*$H50),0)</f>
        <v>0</v>
      </c>
      <c r="BC50" s="200">
        <f ca="1">IF($L50&lt;&gt;0,VLOOKUP($N50,'Allocation Factors'!$B$12:$AU$603,44,FALSE)*$L50,0)+IF($H50&lt;&gt;0,(VLOOKUP($J50,'Allocation Factors'!$B$12:$AU$603,44,FALSE)*$H50),0)</f>
        <v>0</v>
      </c>
      <c r="BD50" s="200">
        <f ca="1">IF($L50&lt;&gt;0,VLOOKUP($N50,'Allocation Factors'!$B$12:$AU$603,45,FALSE)*$L50,0)+IF($H50&lt;&gt;0,(VLOOKUP($J50,'Allocation Factors'!$B$12:$AU$603,45,FALSE)*$H50),0)</f>
        <v>0</v>
      </c>
      <c r="BE50" s="200">
        <f ca="1">IF($L50&lt;&gt;0,VLOOKUP($N50,'Allocation Factors'!$B$12:$AU$603,46,FALSE)*$L50,0)+IF($H50&lt;&gt;0,(VLOOKUP($J50,'Allocation Factors'!$B$12:$AU$603,46,FALSE)*$H50),0)</f>
        <v>0</v>
      </c>
    </row>
    <row r="51" spans="1:57" x14ac:dyDescent="0.25">
      <c r="A51" s="2">
        <f t="shared" si="8"/>
        <v>33</v>
      </c>
      <c r="B51" s="73" t="s">
        <v>282</v>
      </c>
      <c r="D51" s="113">
        <f ca="1">'Distribution Class'!AH164</f>
        <v>29306.334396746555</v>
      </c>
      <c r="F51" s="113">
        <f ca="1">'Distribution Class'!AH180</f>
        <v>29306.334396746555</v>
      </c>
      <c r="H51" s="200">
        <f ca="1">'Distribution Class'!AH97+'Distribution Class'!AH110</f>
        <v>0</v>
      </c>
      <c r="L51" s="200">
        <f ca="1">F51-H51</f>
        <v>29306.334396746555</v>
      </c>
      <c r="N51" s="91" t="s">
        <v>381</v>
      </c>
      <c r="P51" s="200">
        <f ca="1">IF($L51&lt;&gt;0,VLOOKUP($N51,'Allocation Factors'!$B$12:$AU$603,5,FALSE)*$L51,0)+IF($H51&lt;&gt;0,(VLOOKUP($J51,'Allocation Factors'!$B$12:$AU$603,5,FALSE)*$H51),0)</f>
        <v>5346.4519355872599</v>
      </c>
      <c r="Q51" s="200">
        <f ca="1">IF($L51&lt;&gt;0,VLOOKUP($N51,'Allocation Factors'!$B$12:$AU$603,6,FALSE)*$L51,0)+IF($H51&lt;&gt;0,(VLOOKUP($J51,'Allocation Factors'!$B$12:$AU$603,6,FALSE)*$H51),0)</f>
        <v>5126.9359965926078</v>
      </c>
      <c r="R51" s="200">
        <f ca="1">IF($L51&lt;&gt;0,VLOOKUP($N51,'Allocation Factors'!$B$12:$AU$603,7,FALSE)*$L51,0)+IF($H51&lt;&gt;0,(VLOOKUP($J51,'Allocation Factors'!$B$12:$AU$603,7,FALSE)*$H51),0)</f>
        <v>0</v>
      </c>
      <c r="S51" s="200">
        <f ca="1">IF($L51&lt;&gt;0,VLOOKUP($N51,'Allocation Factors'!$B$12:$AU$603,8,FALSE)*$L51,0)+IF($H51&lt;&gt;0,(VLOOKUP($J51,'Allocation Factors'!$B$12:$AU$603,8,FALSE)*$H51),0)</f>
        <v>29.323703945826374</v>
      </c>
      <c r="T51" s="200">
        <f ca="1">IF($L51&lt;&gt;0,VLOOKUP($N51,'Allocation Factors'!$B$12:$AU$603,9,FALSE)*$L51,0)+IF($H51&lt;&gt;0,(VLOOKUP($J51,'Allocation Factors'!$B$12:$AU$603,9,FALSE)*$H51),0)</f>
        <v>1142.0682488373852</v>
      </c>
      <c r="U51" s="200">
        <f ca="1">IF($L51&lt;&gt;0,VLOOKUP($N51,'Allocation Factors'!$B$12:$AU$603,10,FALSE)*$L51,0)+IF($H51&lt;&gt;0,(VLOOKUP($J51,'Allocation Factors'!$B$12:$AU$603,10,FALSE)*$H51),0)</f>
        <v>408.24924218177284</v>
      </c>
      <c r="V51" s="200">
        <f ca="1">IF($L51&lt;&gt;0,VLOOKUP($N51,'Allocation Factors'!$B$12:$AU$603,11,FALSE)*$L51,0)+IF($H51&lt;&gt;0,(VLOOKUP($J51,'Allocation Factors'!$B$12:$AU$603,11,FALSE)*$H51),0)</f>
        <v>336.75731946411122</v>
      </c>
      <c r="W51" s="200">
        <f ca="1">IF($L51&lt;&gt;0,VLOOKUP($N51,'Allocation Factors'!$B$12:$AU$603,12,FALSE)*$L51,0)+IF($H51&lt;&gt;0,(VLOOKUP($J51,'Allocation Factors'!$B$12:$AU$603,12,FALSE)*$H51),0)</f>
        <v>56.28283571208334</v>
      </c>
      <c r="X51" s="200">
        <f ca="1">IF($L51&lt;&gt;0,VLOOKUP($N51,'Allocation Factors'!$B$12:$AU$603,13,FALSE)*$L51,0)+IF($H51&lt;&gt;0,(VLOOKUP($J51,'Allocation Factors'!$B$12:$AU$603,13,FALSE)*$H51),0)</f>
        <v>16.799016750812658</v>
      </c>
      <c r="Y51" s="200">
        <f ca="1">IF($L51&lt;&gt;0,VLOOKUP($N51,'Allocation Factors'!$B$12:$AU$603,14,FALSE)*$L51,0)+IF($H51&lt;&gt;0,(VLOOKUP($J51,'Allocation Factors'!$B$12:$AU$603,14,FALSE)*$H51),0)</f>
        <v>345.58115128812392</v>
      </c>
      <c r="Z51" s="200">
        <f ca="1">IF($L51&lt;&gt;0,VLOOKUP($N51,'Allocation Factors'!$B$12:$AU$603,15,FALSE)*$L51,0)+IF($H51&lt;&gt;0,(VLOOKUP($J51,'Allocation Factors'!$B$12:$AU$603,15,FALSE)*$H51),0)</f>
        <v>201.89627609894694</v>
      </c>
      <c r="AA51" s="200">
        <f ca="1">IF($L51&lt;&gt;0,VLOOKUP($N51,'Allocation Factors'!$B$12:$AU$603,16,FALSE)*$L51,0)+IF($H51&lt;&gt;0,(VLOOKUP($J51,'Allocation Factors'!$B$12:$AU$603,16,FALSE)*$H51),0)</f>
        <v>0</v>
      </c>
      <c r="AB51" s="200">
        <f ca="1">IF($L51&lt;&gt;0,VLOOKUP($N51,'Allocation Factors'!$B$12:$AU$603,17,FALSE)*$L51,0)+IF($H51&lt;&gt;0,(VLOOKUP($J51,'Allocation Factors'!$B$12:$AU$603,17,FALSE)*$H51),0)</f>
        <v>0</v>
      </c>
      <c r="AC51" s="200">
        <f ca="1">IF($L51&lt;&gt;0,VLOOKUP($N51,'Allocation Factors'!$B$12:$AU$603,18,FALSE)*$L51,0)+IF($H51&lt;&gt;0,(VLOOKUP($J51,'Allocation Factors'!$B$12:$AU$603,18,FALSE)*$H51),0)</f>
        <v>1057.3160155806563</v>
      </c>
      <c r="AD51" s="200">
        <f ca="1">IF($L51&lt;&gt;0,VLOOKUP($N51,'Allocation Factors'!$B$12:$AU$603,19,FALSE)*$L51,0)+IF($H51&lt;&gt;0,(VLOOKUP($J51,'Allocation Factors'!$B$12:$AU$603,19,FALSE)*$H51),0)</f>
        <v>350.62760221461508</v>
      </c>
      <c r="AE51" s="200">
        <f ca="1">IF($L51&lt;&gt;0,VLOOKUP($N51,'Allocation Factors'!$B$12:$AU$603,20,FALSE)*$L51,0)+IF($H51&lt;&gt;0,(VLOOKUP($J51,'Allocation Factors'!$B$12:$AU$603,20,FALSE)*$H51),0)</f>
        <v>993.27491341193422</v>
      </c>
      <c r="AF51" s="200">
        <f ca="1">IF($L51&lt;&gt;0,VLOOKUP($N51,'Allocation Factors'!$B$12:$AU$603,21,FALSE)*$L51,0)+IF($H51&lt;&gt;0,(VLOOKUP($J51,'Allocation Factors'!$B$12:$AU$603,21,FALSE)*$H51),0)</f>
        <v>135.59106526573521</v>
      </c>
      <c r="AG51" s="200">
        <f ca="1">IF($L51&lt;&gt;0,VLOOKUP($N51,'Allocation Factors'!$B$12:$AU$603,22,FALSE)*$L51,0)+IF($H51&lt;&gt;0,(VLOOKUP($J51,'Allocation Factors'!$B$12:$AU$603,22,FALSE)*$H51),0)</f>
        <v>1150.7243150119407</v>
      </c>
      <c r="AH51" s="200">
        <f ca="1">IF($L51&lt;&gt;0,VLOOKUP($N51,'Allocation Factors'!$B$12:$AU$603,23,FALSE)*$L51,0)+IF($H51&lt;&gt;0,(VLOOKUP($J51,'Allocation Factors'!$B$12:$AU$603,23,FALSE)*$H51),0)</f>
        <v>3479.9668855483956</v>
      </c>
      <c r="AI51" s="200">
        <f ca="1">IF($L51&lt;&gt;0,VLOOKUP($N51,'Allocation Factors'!$B$12:$AU$603,24,FALSE)*$L51,0)+IF($H51&lt;&gt;0,(VLOOKUP($J51,'Allocation Factors'!$B$12:$AU$603,24,FALSE)*$H51),0)</f>
        <v>1410.5068558585053</v>
      </c>
      <c r="AJ51" s="200">
        <f ca="1">IF($L51&lt;&gt;0,VLOOKUP($N51,'Allocation Factors'!$B$12:$AU$603,25,FALSE)*$L51,0)+IF($H51&lt;&gt;0,(VLOOKUP($J51,'Allocation Factors'!$B$12:$AU$603,25,FALSE)*$H51),0)</f>
        <v>634.66607979757362</v>
      </c>
      <c r="AK51" s="200">
        <f ca="1">IF($L51&lt;&gt;0,VLOOKUP($N51,'Allocation Factors'!$B$12:$AU$603,26,FALSE)*$L51,0)+IF($H51&lt;&gt;0,(VLOOKUP($J51,'Allocation Factors'!$B$12:$AU$603,26,FALSE)*$H51),0)</f>
        <v>0.25444916943815277</v>
      </c>
      <c r="AL51" s="200">
        <f ca="1">IF($L51&lt;&gt;0,VLOOKUP($N51,'Allocation Factors'!$B$12:$AU$603,27,FALSE)*$L51,0)+IF($H51&lt;&gt;0,(VLOOKUP($J51,'Allocation Factors'!$B$12:$AU$603,27,FALSE)*$H51),0)</f>
        <v>4.7101953348030854</v>
      </c>
      <c r="AM51" s="200">
        <f ca="1">IF($L51&lt;&gt;0,VLOOKUP($N51,'Allocation Factors'!$B$12:$AU$603,28,FALSE)*$L51,0)+IF($H51&lt;&gt;0,(VLOOKUP($J51,'Allocation Factors'!$B$12:$AU$603,28,FALSE)*$H51),0)</f>
        <v>58.891931283424242</v>
      </c>
      <c r="AN51" s="200">
        <f ca="1">IF($L51&lt;&gt;0,VLOOKUP($N51,'Allocation Factors'!$B$12:$AU$603,29,FALSE)*$L51,0)+IF($H51&lt;&gt;0,(VLOOKUP($J51,'Allocation Factors'!$B$12:$AU$603,29,FALSE)*$H51),0)</f>
        <v>763.03611687125328</v>
      </c>
      <c r="AO51" s="200">
        <f ca="1">IF($L51&lt;&gt;0,VLOOKUP($N51,'Allocation Factors'!$B$12:$AU$603,30,FALSE)*$L51,0)+IF($H51&lt;&gt;0,(VLOOKUP($J51,'Allocation Factors'!$B$12:$AU$603,30,FALSE)*$H51),0)</f>
        <v>81.248341055182308</v>
      </c>
      <c r="AP51" s="200">
        <f ca="1">IF($L51&lt;&gt;0,VLOOKUP($N51,'Allocation Factors'!$B$12:$AU$603,31,FALSE)*$L51,0)+IF($H51&lt;&gt;0,(VLOOKUP($J51,'Allocation Factors'!$B$12:$AU$603,31,FALSE)*$H51),0)</f>
        <v>96.294874372563555</v>
      </c>
      <c r="AQ51" s="200">
        <f ca="1">IF($L51&lt;&gt;0,VLOOKUP($N51,'Allocation Factors'!$B$12:$AU$603,32,FALSE)*$L51,0)+IF($H51&lt;&gt;0,(VLOOKUP($J51,'Allocation Factors'!$B$12:$AU$603,32,FALSE)*$H51),0)</f>
        <v>0</v>
      </c>
      <c r="AR51" s="200">
        <f ca="1">IF($L51&lt;&gt;0,VLOOKUP($N51,'Allocation Factors'!$B$12:$AU$603,33,FALSE)*$L51,0)+IF($H51&lt;&gt;0,(VLOOKUP($J51,'Allocation Factors'!$B$12:$AU$603,33,FALSE)*$H51),0)</f>
        <v>420.95091563779329</v>
      </c>
      <c r="AS51" s="200">
        <f ca="1">IF($L51&lt;&gt;0,VLOOKUP($N51,'Allocation Factors'!$B$12:$AU$603,34,FALSE)*$L51,0)+IF($H51&lt;&gt;0,(VLOOKUP($J51,'Allocation Factors'!$B$12:$AU$603,34,FALSE)*$H51),0)</f>
        <v>40.128110110046343</v>
      </c>
      <c r="AT51" s="200">
        <f ca="1">IF($L51&lt;&gt;0,VLOOKUP($N51,'Allocation Factors'!$B$12:$AU$603,35,FALSE)*$L51,0)+IF($H51&lt;&gt;0,(VLOOKUP($J51,'Allocation Factors'!$B$12:$AU$603,35,FALSE)*$H51),0)</f>
        <v>5306.7406158694876</v>
      </c>
      <c r="AU51" s="200">
        <f ca="1">IF($L51&lt;&gt;0,VLOOKUP($N51,'Allocation Factors'!$B$12:$AU$603,36,FALSE)*$L51,0)+IF($H51&lt;&gt;0,(VLOOKUP($J51,'Allocation Factors'!$B$12:$AU$603,36,FALSE)*$H51),0)</f>
        <v>44.646775200486104</v>
      </c>
      <c r="AV51" s="200">
        <f ca="1">IF($L51&lt;&gt;0,VLOOKUP($N51,'Allocation Factors'!$B$12:$AU$603,37,FALSE)*$L51,0)+IF($H51&lt;&gt;0,(VLOOKUP($J51,'Allocation Factors'!$B$12:$AU$603,37,FALSE)*$H51),0)</f>
        <v>266.41261269378981</v>
      </c>
      <c r="AW51" s="200">
        <f ca="1">IF($L51&lt;&gt;0,VLOOKUP($N51,'Allocation Factors'!$B$12:$AU$603,38,FALSE)*$L51,0)+IF($H51&lt;&gt;0,(VLOOKUP($J51,'Allocation Factors'!$B$12:$AU$603,38,FALSE)*$H51),0)</f>
        <v>0</v>
      </c>
      <c r="AX51" s="200">
        <f ca="1">IF($L51&lt;&gt;0,VLOOKUP($N51,'Allocation Factors'!$B$12:$AU$603,39,FALSE)*$L51,0)+IF($H51&lt;&gt;0,(VLOOKUP($J51,'Allocation Factors'!$B$12:$AU$603,39,FALSE)*$H51),0)</f>
        <v>0</v>
      </c>
      <c r="AY51" s="200">
        <f ca="1">IF($L51&lt;&gt;0,VLOOKUP($N51,'Allocation Factors'!$B$12:$AU$603,40,FALSE)*$L51,0)+IF($H51&lt;&gt;0,(VLOOKUP($J51,'Allocation Factors'!$B$12:$AU$603,40,FALSE)*$H51),0)</f>
        <v>0</v>
      </c>
      <c r="AZ51" s="200">
        <f ca="1">IF($L51&lt;&gt;0,VLOOKUP($N51,'Allocation Factors'!$B$12:$AU$603,41,FALSE)*$L51,0)+IF($H51&lt;&gt;0,(VLOOKUP($J51,'Allocation Factors'!$B$12:$AU$603,41,FALSE)*$H51),0)</f>
        <v>0</v>
      </c>
      <c r="BA51" s="200">
        <f ca="1">IF($L51&lt;&gt;0,VLOOKUP($N51,'Allocation Factors'!$B$12:$AU$603,42,FALSE)*$L51,0)+IF($H51&lt;&gt;0,(VLOOKUP($J51,'Allocation Factors'!$B$12:$AU$603,42,FALSE)*$H51),0)</f>
        <v>0</v>
      </c>
      <c r="BB51" s="200">
        <f ca="1">IF($L51&lt;&gt;0,VLOOKUP($N51,'Allocation Factors'!$B$12:$AU$603,43,FALSE)*$L51,0)+IF($H51&lt;&gt;0,(VLOOKUP($J51,'Allocation Factors'!$B$12:$AU$603,43,FALSE)*$H51),0)</f>
        <v>0</v>
      </c>
      <c r="BC51" s="200">
        <f ca="1">IF($L51&lt;&gt;0,VLOOKUP($N51,'Allocation Factors'!$B$12:$AU$603,44,FALSE)*$L51,0)+IF($H51&lt;&gt;0,(VLOOKUP($J51,'Allocation Factors'!$B$12:$AU$603,44,FALSE)*$H51),0)</f>
        <v>0</v>
      </c>
      <c r="BD51" s="200">
        <f ca="1">IF($L51&lt;&gt;0,VLOOKUP($N51,'Allocation Factors'!$B$12:$AU$603,45,FALSE)*$L51,0)+IF($H51&lt;&gt;0,(VLOOKUP($J51,'Allocation Factors'!$B$12:$AU$603,45,FALSE)*$H51),0)</f>
        <v>0</v>
      </c>
      <c r="BE51" s="200">
        <f ca="1">IF($L51&lt;&gt;0,VLOOKUP($N51,'Allocation Factors'!$B$12:$AU$603,46,FALSE)*$L51,0)+IF($H51&lt;&gt;0,(VLOOKUP($J51,'Allocation Factors'!$B$12:$AU$603,46,FALSE)*$H51),0)</f>
        <v>0</v>
      </c>
    </row>
    <row r="52" spans="1:57" x14ac:dyDescent="0.25">
      <c r="A52" s="2">
        <f t="shared" si="8"/>
        <v>34</v>
      </c>
      <c r="B52" s="73" t="s">
        <v>460</v>
      </c>
      <c r="D52" s="79">
        <f ca="1">SUM(D37:D51)</f>
        <v>2570021.9495961657</v>
      </c>
      <c r="F52" s="79">
        <f ca="1">SUM(F37:F51)</f>
        <v>2505089.3645171695</v>
      </c>
      <c r="H52" s="79">
        <f ca="1">SUM(H37:H51)</f>
        <v>11615.53513385792</v>
      </c>
      <c r="L52" s="79">
        <f ca="1">SUM(L37:L51)</f>
        <v>2493473.8293833113</v>
      </c>
      <c r="P52" s="79">
        <f t="shared" ref="P52:BE52" ca="1" si="10">SUM(P37:P51)</f>
        <v>1046251.7628318309</v>
      </c>
      <c r="Q52" s="79">
        <f t="shared" ca="1" si="10"/>
        <v>365615.04662053473</v>
      </c>
      <c r="R52" s="79">
        <f t="shared" ca="1" si="10"/>
        <v>0</v>
      </c>
      <c r="S52" s="79">
        <f t="shared" ca="1" si="10"/>
        <v>1301.1098445730097</v>
      </c>
      <c r="T52" s="79">
        <f t="shared" ca="1" si="10"/>
        <v>28997.990199568849</v>
      </c>
      <c r="U52" s="79">
        <f t="shared" ca="1" si="10"/>
        <v>4166.0399389551003</v>
      </c>
      <c r="V52" s="79">
        <f t="shared" ca="1" si="10"/>
        <v>12270.746579221142</v>
      </c>
      <c r="W52" s="79">
        <f t="shared" ca="1" si="10"/>
        <v>2510.8364143299355</v>
      </c>
      <c r="X52" s="79">
        <f t="shared" ca="1" si="10"/>
        <v>703.51473894270271</v>
      </c>
      <c r="Y52" s="79">
        <f t="shared" ca="1" si="10"/>
        <v>1397.001751838922</v>
      </c>
      <c r="Z52" s="79">
        <f t="shared" ca="1" si="10"/>
        <v>1770.9131515755766</v>
      </c>
      <c r="AA52" s="79">
        <f t="shared" ca="1" si="10"/>
        <v>0</v>
      </c>
      <c r="AB52" s="79">
        <f t="shared" ca="1" si="10"/>
        <v>0</v>
      </c>
      <c r="AC52" s="79">
        <f t="shared" ca="1" si="10"/>
        <v>180978.43917178761</v>
      </c>
      <c r="AD52" s="79">
        <f t="shared" ca="1" si="10"/>
        <v>19975.010946854363</v>
      </c>
      <c r="AE52" s="79">
        <f t="shared" ca="1" si="10"/>
        <v>14298.340597666895</v>
      </c>
      <c r="AF52" s="79">
        <f t="shared" ca="1" si="10"/>
        <v>2962.0403393101128</v>
      </c>
      <c r="AG52" s="79">
        <f t="shared" ca="1" si="10"/>
        <v>6944.5139397237126</v>
      </c>
      <c r="AH52" s="79">
        <f t="shared" ca="1" si="10"/>
        <v>617187.47922487254</v>
      </c>
      <c r="AI52" s="79">
        <f t="shared" ca="1" si="10"/>
        <v>83551.917855229869</v>
      </c>
      <c r="AJ52" s="79">
        <f t="shared" ca="1" si="10"/>
        <v>26516.797124840927</v>
      </c>
      <c r="AK52" s="79">
        <f t="shared" ca="1" si="10"/>
        <v>5.6802420187447042</v>
      </c>
      <c r="AL52" s="79">
        <f t="shared" ca="1" si="10"/>
        <v>368.47544720182509</v>
      </c>
      <c r="AM52" s="79">
        <f t="shared" ca="1" si="10"/>
        <v>1365.9921144042196</v>
      </c>
      <c r="AN52" s="79">
        <f t="shared" ca="1" si="10"/>
        <v>23549.913192658845</v>
      </c>
      <c r="AO52" s="79">
        <f t="shared" ca="1" si="10"/>
        <v>916.37597315067489</v>
      </c>
      <c r="AP52" s="79">
        <f t="shared" ca="1" si="10"/>
        <v>934.57042472567514</v>
      </c>
      <c r="AQ52" s="79">
        <f t="shared" ca="1" si="10"/>
        <v>0</v>
      </c>
      <c r="AR52" s="79">
        <f t="shared" ca="1" si="10"/>
        <v>8526.2157832551165</v>
      </c>
      <c r="AS52" s="79">
        <f t="shared" ca="1" si="10"/>
        <v>161.11326812044916</v>
      </c>
      <c r="AT52" s="79">
        <f t="shared" ca="1" si="10"/>
        <v>47047.922537453422</v>
      </c>
      <c r="AU52" s="79">
        <f t="shared" ca="1" si="10"/>
        <v>628.9404371337489</v>
      </c>
      <c r="AV52" s="79">
        <f t="shared" ca="1" si="10"/>
        <v>3890.9950302953644</v>
      </c>
      <c r="AW52" s="79">
        <f t="shared" ca="1" si="10"/>
        <v>0</v>
      </c>
      <c r="AX52" s="79">
        <f t="shared" ca="1" si="10"/>
        <v>0</v>
      </c>
      <c r="AY52" s="79">
        <f t="shared" ca="1" si="10"/>
        <v>0</v>
      </c>
      <c r="AZ52" s="79">
        <f t="shared" ca="1" si="10"/>
        <v>0</v>
      </c>
      <c r="BA52" s="79">
        <f t="shared" ca="1" si="10"/>
        <v>0</v>
      </c>
      <c r="BB52" s="79">
        <f t="shared" ca="1" si="10"/>
        <v>21.017310653740001</v>
      </c>
      <c r="BC52" s="79">
        <f t="shared" ca="1" si="10"/>
        <v>0</v>
      </c>
      <c r="BD52" s="79">
        <f t="shared" ca="1" si="10"/>
        <v>0</v>
      </c>
      <c r="BE52" s="79">
        <f t="shared" ca="1" si="10"/>
        <v>272.65148444044308</v>
      </c>
    </row>
    <row r="53" spans="1:57" x14ac:dyDescent="0.25">
      <c r="D53" s="113"/>
      <c r="F53" s="113"/>
    </row>
    <row r="54" spans="1:57" ht="13" thickBot="1" x14ac:dyDescent="0.3">
      <c r="A54" s="2">
        <f>A52+1</f>
        <v>35</v>
      </c>
      <c r="B54" s="73" t="s">
        <v>173</v>
      </c>
      <c r="D54" s="207">
        <f ca="1">D17+D24+D34+D52</f>
        <v>6398538.9270827668</v>
      </c>
      <c r="F54" s="207">
        <f ca="1">F17+F24+F34+F52</f>
        <v>6312905.4991549682</v>
      </c>
      <c r="H54" s="207">
        <f ca="1">H17+H24+H34+H52</f>
        <v>70329.355216831551</v>
      </c>
      <c r="L54" s="207">
        <f ca="1">L17+L24+L34+L52</f>
        <v>6242576.1439381354</v>
      </c>
      <c r="P54" s="207">
        <f t="shared" ref="P54:BE54" ca="1" si="11">P17+P24+P34+P52</f>
        <v>2322282.8330303445</v>
      </c>
      <c r="Q54" s="207">
        <f t="shared" ca="1" si="11"/>
        <v>1211058.2484012789</v>
      </c>
      <c r="R54" s="207">
        <f t="shared" ca="1" si="11"/>
        <v>0</v>
      </c>
      <c r="S54" s="207">
        <f t="shared" ca="1" si="11"/>
        <v>5209.1435436322299</v>
      </c>
      <c r="T54" s="207">
        <f t="shared" ca="1" si="11"/>
        <v>77248.057795389206</v>
      </c>
      <c r="U54" s="207">
        <f t="shared" ca="1" si="11"/>
        <v>10591.704502235323</v>
      </c>
      <c r="V54" s="207">
        <f t="shared" ca="1" si="11"/>
        <v>12286.484649049986</v>
      </c>
      <c r="W54" s="207">
        <f t="shared" ca="1" si="11"/>
        <v>4003.8128400756696</v>
      </c>
      <c r="X54" s="207">
        <f t="shared" ca="1" si="11"/>
        <v>1030.334837851346</v>
      </c>
      <c r="Y54" s="207">
        <f t="shared" ca="1" si="11"/>
        <v>6082.7740269560672</v>
      </c>
      <c r="Z54" s="207">
        <f t="shared" ca="1" si="11"/>
        <v>37355.448715164086</v>
      </c>
      <c r="AA54" s="207">
        <f t="shared" ca="1" si="11"/>
        <v>0</v>
      </c>
      <c r="AB54" s="207">
        <f t="shared" ca="1" si="11"/>
        <v>2937.3719016355903</v>
      </c>
      <c r="AC54" s="207">
        <f t="shared" ca="1" si="11"/>
        <v>422217.24828133872</v>
      </c>
      <c r="AD54" s="207">
        <f t="shared" ca="1" si="11"/>
        <v>68643.172760676534</v>
      </c>
      <c r="AE54" s="207">
        <f t="shared" ca="1" si="11"/>
        <v>21322.756171812747</v>
      </c>
      <c r="AF54" s="207">
        <f t="shared" ca="1" si="11"/>
        <v>4213.8478670284148</v>
      </c>
      <c r="AG54" s="207">
        <f t="shared" ca="1" si="11"/>
        <v>6965.0481372805825</v>
      </c>
      <c r="AH54" s="207">
        <f t="shared" ca="1" si="11"/>
        <v>1408048.1703955021</v>
      </c>
      <c r="AI54" s="207">
        <f t="shared" ca="1" si="11"/>
        <v>281908.11937054928</v>
      </c>
      <c r="AJ54" s="207">
        <f t="shared" ca="1" si="11"/>
        <v>57999.48345006867</v>
      </c>
      <c r="AK54" s="207">
        <f t="shared" ca="1" si="11"/>
        <v>10.091385592158563</v>
      </c>
      <c r="AL54" s="207">
        <f t="shared" ca="1" si="11"/>
        <v>591.62000788077717</v>
      </c>
      <c r="AM54" s="207">
        <f t="shared" ca="1" si="11"/>
        <v>2328.8620864920476</v>
      </c>
      <c r="AN54" s="207">
        <f t="shared" ca="1" si="11"/>
        <v>58031.305552147736</v>
      </c>
      <c r="AO54" s="207">
        <f t="shared" ca="1" si="11"/>
        <v>2306.6176510864188</v>
      </c>
      <c r="AP54" s="207">
        <f t="shared" ca="1" si="11"/>
        <v>6626.3408540560395</v>
      </c>
      <c r="AQ54" s="207">
        <f t="shared" ca="1" si="11"/>
        <v>0</v>
      </c>
      <c r="AR54" s="207">
        <f t="shared" ca="1" si="11"/>
        <v>13498.128965727421</v>
      </c>
      <c r="AS54" s="207">
        <f t="shared" ca="1" si="11"/>
        <v>187.96160912457145</v>
      </c>
      <c r="AT54" s="207">
        <f t="shared" ca="1" si="11"/>
        <v>101839.34590333884</v>
      </c>
      <c r="AU54" s="207">
        <f t="shared" ca="1" si="11"/>
        <v>658.8120618384703</v>
      </c>
      <c r="AV54" s="207">
        <f t="shared" ca="1" si="11"/>
        <v>10648.060695190177</v>
      </c>
      <c r="AW54" s="207">
        <f t="shared" ca="1" si="11"/>
        <v>5.5984842465225819</v>
      </c>
      <c r="AX54" s="207">
        <f t="shared" ca="1" si="11"/>
        <v>21757.081160885045</v>
      </c>
      <c r="AY54" s="207">
        <f t="shared" ca="1" si="11"/>
        <v>0</v>
      </c>
      <c r="AZ54" s="207">
        <f t="shared" ca="1" si="11"/>
        <v>9272.4455441024929</v>
      </c>
      <c r="BA54" s="207">
        <f t="shared" ca="1" si="11"/>
        <v>3090.6752952227066</v>
      </c>
      <c r="BB54" s="207">
        <f t="shared" ca="1" si="11"/>
        <v>119509.73197386929</v>
      </c>
      <c r="BC54" s="207">
        <f t="shared" ca="1" si="11"/>
        <v>125.27469142749395</v>
      </c>
      <c r="BD54" s="207">
        <f t="shared" ca="1" si="11"/>
        <v>455.02342031109032</v>
      </c>
      <c r="BE54" s="207">
        <f t="shared" ca="1" si="11"/>
        <v>558.46113455841896</v>
      </c>
    </row>
    <row r="55" spans="1:57" ht="13" thickTop="1" x14ac:dyDescent="0.25">
      <c r="D55" s="113"/>
      <c r="F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</row>
    <row r="56" spans="1:57" x14ac:dyDescent="0.25">
      <c r="N56" s="253" t="s">
        <v>488</v>
      </c>
      <c r="O56" s="234"/>
      <c r="P56" s="235">
        <f ca="1">'Dist ALLOCATION'!P54+'Gas Cost ALLOCATION'!P54</f>
        <v>2322282.8330303445</v>
      </c>
      <c r="Q56" s="235">
        <f ca="1">'Dist ALLOCATION'!Q54+'Gas Cost ALLOCATION'!Q54</f>
        <v>1211058.2484012789</v>
      </c>
      <c r="R56" s="235">
        <f ca="1">'Dist ALLOCATION'!R54+'Gas Cost ALLOCATION'!R54</f>
        <v>0</v>
      </c>
      <c r="S56" s="235">
        <f ca="1">'Dist ALLOCATION'!S54+'Gas Cost ALLOCATION'!S54</f>
        <v>5209.1435436322299</v>
      </c>
      <c r="T56" s="235">
        <f ca="1">'Dist ALLOCATION'!T54+'Gas Cost ALLOCATION'!T54</f>
        <v>77248.057795389206</v>
      </c>
      <c r="U56" s="235">
        <f ca="1">'Dist ALLOCATION'!U54+'Gas Cost ALLOCATION'!U54</f>
        <v>10591.704502235323</v>
      </c>
      <c r="V56" s="235">
        <f ca="1">'Dist ALLOCATION'!V54+'Gas Cost ALLOCATION'!V54</f>
        <v>12286.484649049989</v>
      </c>
      <c r="W56" s="235">
        <f ca="1">'Dist ALLOCATION'!W54+'Gas Cost ALLOCATION'!W54</f>
        <v>4003.8128400756696</v>
      </c>
      <c r="X56" s="235">
        <f ca="1">'Dist ALLOCATION'!X54+'Gas Cost ALLOCATION'!X54</f>
        <v>1030.3348378513458</v>
      </c>
      <c r="Y56" s="235">
        <f ca="1">'Dist ALLOCATION'!Y54+'Gas Cost ALLOCATION'!Y54</f>
        <v>6082.7740269560663</v>
      </c>
      <c r="Z56" s="235">
        <f ca="1">'Dist ALLOCATION'!Z54+'Gas Cost ALLOCATION'!Z54</f>
        <v>37355.448715164079</v>
      </c>
      <c r="AA56" s="235">
        <f ca="1">'Dist ALLOCATION'!AA54+'Gas Cost ALLOCATION'!AA54</f>
        <v>0</v>
      </c>
      <c r="AB56" s="235">
        <f ca="1">'Dist ALLOCATION'!AB54+'Gas Cost ALLOCATION'!AB54</f>
        <v>2937.3719016355899</v>
      </c>
      <c r="AC56" s="235">
        <f ca="1">'Dist ALLOCATION'!AC54+'Gas Cost ALLOCATION'!AC54</f>
        <v>422217.24828133872</v>
      </c>
      <c r="AD56" s="235">
        <f ca="1">'Dist ALLOCATION'!AD54+'Gas Cost ALLOCATION'!AD54</f>
        <v>68643.17276067652</v>
      </c>
      <c r="AE56" s="235">
        <f ca="1">'Dist ALLOCATION'!AE54+'Gas Cost ALLOCATION'!AE54</f>
        <v>21322.756171812754</v>
      </c>
      <c r="AF56" s="235">
        <f ca="1">'Dist ALLOCATION'!AF54+'Gas Cost ALLOCATION'!AF54</f>
        <v>4213.8478670284148</v>
      </c>
      <c r="AG56" s="235">
        <f ca="1">'Dist ALLOCATION'!AG54+'Gas Cost ALLOCATION'!AG54</f>
        <v>6965.0481372805834</v>
      </c>
      <c r="AH56" s="235">
        <f ca="1">'Dist ALLOCATION'!AH54+'Gas Cost ALLOCATION'!AH54</f>
        <v>1408048.1703955024</v>
      </c>
      <c r="AI56" s="235">
        <f ca="1">'Dist ALLOCATION'!AI54+'Gas Cost ALLOCATION'!AI54</f>
        <v>281908.11937054934</v>
      </c>
      <c r="AJ56" s="235">
        <f ca="1">'Dist ALLOCATION'!AJ54+'Gas Cost ALLOCATION'!AJ54</f>
        <v>57999.48345006867</v>
      </c>
      <c r="AK56" s="235">
        <f ca="1">'Dist ALLOCATION'!AK54+'Gas Cost ALLOCATION'!AK54</f>
        <v>10.091385592158563</v>
      </c>
      <c r="AL56" s="235">
        <f ca="1">'Dist ALLOCATION'!AL54+'Gas Cost ALLOCATION'!AL54</f>
        <v>591.62000788077717</v>
      </c>
      <c r="AM56" s="235">
        <f ca="1">'Dist ALLOCATION'!AM54+'Gas Cost ALLOCATION'!AM54</f>
        <v>2328.8620864920476</v>
      </c>
      <c r="AN56" s="235">
        <f ca="1">'Dist ALLOCATION'!AN54+'Gas Cost ALLOCATION'!AN54</f>
        <v>58031.305552147736</v>
      </c>
      <c r="AO56" s="235">
        <f ca="1">'Dist ALLOCATION'!AO54+'Gas Cost ALLOCATION'!AO54</f>
        <v>2306.6176510864188</v>
      </c>
      <c r="AP56" s="235">
        <f ca="1">'Dist ALLOCATION'!AP54+'Gas Cost ALLOCATION'!AP54</f>
        <v>6626.3408540560395</v>
      </c>
      <c r="AQ56" s="235">
        <f ca="1">'Dist ALLOCATION'!AQ54+'Gas Cost ALLOCATION'!AQ54</f>
        <v>0</v>
      </c>
      <c r="AR56" s="235">
        <f ca="1">'Dist ALLOCATION'!AR54+'Gas Cost ALLOCATION'!AR54</f>
        <v>13498.128965727421</v>
      </c>
      <c r="AS56" s="235">
        <f ca="1">'Dist ALLOCATION'!AS54+'Gas Cost ALLOCATION'!AS54</f>
        <v>187.96160912457145</v>
      </c>
      <c r="AT56" s="235">
        <f ca="1">'Dist ALLOCATION'!AT54+'Gas Cost ALLOCATION'!AT54</f>
        <v>101839.34590333884</v>
      </c>
      <c r="AU56" s="235">
        <f ca="1">'Dist ALLOCATION'!AU54+'Gas Cost ALLOCATION'!AU54</f>
        <v>658.8120618384703</v>
      </c>
      <c r="AV56" s="235">
        <f ca="1">'Dist ALLOCATION'!AV54+'Gas Cost ALLOCATION'!AV54</f>
        <v>10648.060695190177</v>
      </c>
      <c r="AW56" s="235">
        <f ca="1">'Dist ALLOCATION'!AW54+'Gas Cost ALLOCATION'!AW54</f>
        <v>5.5984842465225819</v>
      </c>
      <c r="AX56" s="235">
        <f ca="1">'Dist ALLOCATION'!AX54+'Gas Cost ALLOCATION'!AX54</f>
        <v>21757.081160885045</v>
      </c>
      <c r="AY56" s="235">
        <f ca="1">'Dist ALLOCATION'!AY54+'Gas Cost ALLOCATION'!AY54</f>
        <v>0</v>
      </c>
      <c r="AZ56" s="235">
        <f ca="1">'Dist ALLOCATION'!AZ54+'Gas Cost ALLOCATION'!AZ54</f>
        <v>9272.4455441024929</v>
      </c>
      <c r="BA56" s="235">
        <f ca="1">'Dist ALLOCATION'!BA54+'Gas Cost ALLOCATION'!BA54</f>
        <v>3090.6752952227066</v>
      </c>
      <c r="BB56" s="235">
        <f ca="1">'Dist ALLOCATION'!BB54+'Gas Cost ALLOCATION'!BB54</f>
        <v>119509.73197386929</v>
      </c>
      <c r="BC56" s="235">
        <f ca="1">'Dist ALLOCATION'!BC54+'Gas Cost ALLOCATION'!BC54</f>
        <v>125.27469142749395</v>
      </c>
      <c r="BD56" s="235">
        <f ca="1">'Dist ALLOCATION'!BD54+'Gas Cost ALLOCATION'!BD54</f>
        <v>455.02342031109032</v>
      </c>
      <c r="BE56" s="235">
        <f ca="1">'Dist ALLOCATION'!BE54+'Gas Cost ALLOCATION'!BE54</f>
        <v>558.46113455841908</v>
      </c>
    </row>
    <row r="57" spans="1:57" x14ac:dyDescent="0.25">
      <c r="N57" s="253" t="s">
        <v>107</v>
      </c>
      <c r="O57" s="234"/>
      <c r="P57" s="235">
        <f ca="1">ROUND(P54-P56,-3)</f>
        <v>0</v>
      </c>
      <c r="Q57" s="235">
        <f t="shared" ref="Q57:BE57" ca="1" si="12">ROUND(Q54-Q56,-3)</f>
        <v>0</v>
      </c>
      <c r="R57" s="235">
        <f t="shared" ca="1" si="12"/>
        <v>0</v>
      </c>
      <c r="S57" s="235">
        <f t="shared" ca="1" si="12"/>
        <v>0</v>
      </c>
      <c r="T57" s="235">
        <f t="shared" ca="1" si="12"/>
        <v>0</v>
      </c>
      <c r="U57" s="235">
        <f t="shared" ca="1" si="12"/>
        <v>0</v>
      </c>
      <c r="V57" s="235">
        <f t="shared" ca="1" si="12"/>
        <v>0</v>
      </c>
      <c r="W57" s="235">
        <f t="shared" ca="1" si="12"/>
        <v>0</v>
      </c>
      <c r="X57" s="235">
        <f t="shared" ca="1" si="12"/>
        <v>0</v>
      </c>
      <c r="Y57" s="235">
        <f t="shared" ca="1" si="12"/>
        <v>0</v>
      </c>
      <c r="Z57" s="235">
        <f t="shared" ca="1" si="12"/>
        <v>0</v>
      </c>
      <c r="AA57" s="235">
        <f t="shared" ca="1" si="12"/>
        <v>0</v>
      </c>
      <c r="AB57" s="235">
        <f t="shared" ca="1" si="12"/>
        <v>0</v>
      </c>
      <c r="AC57" s="235">
        <f t="shared" ca="1" si="12"/>
        <v>0</v>
      </c>
      <c r="AD57" s="235">
        <f t="shared" ca="1" si="12"/>
        <v>0</v>
      </c>
      <c r="AE57" s="235">
        <f t="shared" ca="1" si="12"/>
        <v>0</v>
      </c>
      <c r="AF57" s="235">
        <f t="shared" ca="1" si="12"/>
        <v>0</v>
      </c>
      <c r="AG57" s="235">
        <f t="shared" ca="1" si="12"/>
        <v>0</v>
      </c>
      <c r="AH57" s="235">
        <f t="shared" ca="1" si="12"/>
        <v>0</v>
      </c>
      <c r="AI57" s="235">
        <f t="shared" ca="1" si="12"/>
        <v>0</v>
      </c>
      <c r="AJ57" s="235">
        <f t="shared" ca="1" si="12"/>
        <v>0</v>
      </c>
      <c r="AK57" s="235">
        <f t="shared" ca="1" si="12"/>
        <v>0</v>
      </c>
      <c r="AL57" s="235">
        <f t="shared" ca="1" si="12"/>
        <v>0</v>
      </c>
      <c r="AM57" s="235">
        <f t="shared" ca="1" si="12"/>
        <v>0</v>
      </c>
      <c r="AN57" s="235">
        <f t="shared" ca="1" si="12"/>
        <v>0</v>
      </c>
      <c r="AO57" s="235">
        <f t="shared" ca="1" si="12"/>
        <v>0</v>
      </c>
      <c r="AP57" s="235">
        <f t="shared" ca="1" si="12"/>
        <v>0</v>
      </c>
      <c r="AQ57" s="235">
        <f t="shared" ca="1" si="12"/>
        <v>0</v>
      </c>
      <c r="AR57" s="235">
        <f t="shared" ca="1" si="12"/>
        <v>0</v>
      </c>
      <c r="AS57" s="235">
        <f t="shared" ca="1" si="12"/>
        <v>0</v>
      </c>
      <c r="AT57" s="235">
        <f t="shared" ca="1" si="12"/>
        <v>0</v>
      </c>
      <c r="AU57" s="235">
        <f t="shared" ca="1" si="12"/>
        <v>0</v>
      </c>
      <c r="AV57" s="235">
        <f t="shared" ca="1" si="12"/>
        <v>0</v>
      </c>
      <c r="AW57" s="235">
        <f t="shared" ca="1" si="12"/>
        <v>0</v>
      </c>
      <c r="AX57" s="235">
        <f t="shared" ca="1" si="12"/>
        <v>0</v>
      </c>
      <c r="AY57" s="235">
        <f t="shared" ca="1" si="12"/>
        <v>0</v>
      </c>
      <c r="AZ57" s="235">
        <f t="shared" ca="1" si="12"/>
        <v>0</v>
      </c>
      <c r="BA57" s="235">
        <f t="shared" ca="1" si="12"/>
        <v>0</v>
      </c>
      <c r="BB57" s="235">
        <f t="shared" ca="1" si="12"/>
        <v>0</v>
      </c>
      <c r="BC57" s="235">
        <f t="shared" ca="1" si="12"/>
        <v>0</v>
      </c>
      <c r="BD57" s="235">
        <f t="shared" ca="1" si="12"/>
        <v>0</v>
      </c>
      <c r="BE57" s="235">
        <f t="shared" ca="1" si="12"/>
        <v>0</v>
      </c>
    </row>
    <row r="58" spans="1:57" x14ac:dyDescent="0.25">
      <c r="P58" s="200"/>
    </row>
    <row r="59" spans="1:57" x14ac:dyDescent="0.25">
      <c r="P59" s="113"/>
    </row>
    <row r="61" spans="1:57" x14ac:dyDescent="0.25">
      <c r="P61" s="113"/>
    </row>
  </sheetData>
  <mergeCells count="2">
    <mergeCell ref="B3:N3"/>
    <mergeCell ref="B2:N2"/>
  </mergeCells>
  <phoneticPr fontId="13" type="noConversion"/>
  <pageMargins left="0.7" right="0.7" top="0.75" bottom="0.75" header="0.3" footer="0.3"/>
  <pageSetup scale="55" fitToWidth="4" orientation="landscape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  <ignoredErrors>
    <ignoredError sqref="AC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7C4-6286-407A-B6B7-B84CD185E46E}">
  <dimension ref="A2:CT228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9.1796875" style="122"/>
    <col min="2" max="2" width="29.1796875" style="99" customWidth="1"/>
    <col min="3" max="3" width="9" style="99" customWidth="1"/>
    <col min="4" max="4" width="15.26953125" style="97" bestFit="1" customWidth="1"/>
    <col min="5" max="5" width="2.81640625" style="97" customWidth="1"/>
    <col min="6" max="47" width="14.7265625" style="99" customWidth="1"/>
    <col min="48" max="49" width="9.1796875" style="99"/>
    <col min="50" max="50" width="9.1796875" style="84"/>
    <col min="51" max="51" width="2" style="84" customWidth="1"/>
    <col min="52" max="52" width="23.54296875" style="84" customWidth="1"/>
    <col min="53" max="54" width="9.1796875" style="84"/>
    <col min="55" max="55" width="11.7265625" style="84" customWidth="1"/>
    <col min="56" max="98" width="9.1796875" style="84"/>
    <col min="99" max="16384" width="9.1796875" style="99"/>
  </cols>
  <sheetData>
    <row r="2" spans="1:97" x14ac:dyDescent="0.25">
      <c r="D2" s="2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97" x14ac:dyDescent="0.25">
      <c r="A3" s="163"/>
      <c r="D3" s="2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97" x14ac:dyDescent="0.25">
      <c r="A4" s="163"/>
      <c r="D4" s="2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97" ht="15" customHeight="1" x14ac:dyDescent="0.25">
      <c r="B5" s="263" t="s">
        <v>412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</row>
    <row r="6" spans="1:97" ht="15" customHeight="1" x14ac:dyDescent="0.25">
      <c r="B6" s="263" t="s">
        <v>489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</row>
    <row r="7" spans="1:97" ht="14.5" x14ac:dyDescent="0.35">
      <c r="D7" s="99"/>
      <c r="E7" s="99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17"/>
      <c r="S7" s="25"/>
      <c r="T7" s="217"/>
      <c r="U7" s="217"/>
      <c r="V7" s="217"/>
      <c r="W7" s="217"/>
    </row>
    <row r="8" spans="1:97" ht="14.5" x14ac:dyDescent="0.35">
      <c r="D8" s="19"/>
      <c r="E8" s="99"/>
      <c r="F8" s="270" t="s">
        <v>418</v>
      </c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65" t="s">
        <v>506</v>
      </c>
      <c r="S8" s="265"/>
      <c r="T8" s="265"/>
      <c r="U8" s="265"/>
      <c r="V8" s="265"/>
      <c r="W8" s="265"/>
      <c r="X8" s="270" t="s">
        <v>419</v>
      </c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65" t="s">
        <v>290</v>
      </c>
      <c r="AN8" s="266"/>
      <c r="AO8" s="266"/>
      <c r="AP8" s="266"/>
      <c r="AQ8" s="266"/>
      <c r="AR8" s="266"/>
      <c r="AS8" s="266"/>
      <c r="AT8" s="266"/>
      <c r="AU8" s="266"/>
      <c r="AX8" s="19"/>
      <c r="AZ8" s="19"/>
      <c r="BC8" s="168"/>
    </row>
    <row r="9" spans="1:97" x14ac:dyDescent="0.25">
      <c r="A9" s="136" t="s">
        <v>2</v>
      </c>
      <c r="B9" s="121" t="s">
        <v>489</v>
      </c>
      <c r="D9" s="137" t="s">
        <v>11</v>
      </c>
      <c r="E9" s="136"/>
      <c r="F9" s="164" t="s">
        <v>490</v>
      </c>
      <c r="G9" s="164" t="s">
        <v>491</v>
      </c>
      <c r="H9" s="164" t="s">
        <v>501</v>
      </c>
      <c r="I9" s="164" t="s">
        <v>492</v>
      </c>
      <c r="J9" s="164" t="s">
        <v>493</v>
      </c>
      <c r="K9" s="164" t="s">
        <v>494</v>
      </c>
      <c r="L9" s="164" t="s">
        <v>495</v>
      </c>
      <c r="M9" s="164" t="s">
        <v>496</v>
      </c>
      <c r="N9" s="164" t="s">
        <v>497</v>
      </c>
      <c r="O9" s="164" t="s">
        <v>498</v>
      </c>
      <c r="P9" s="164" t="s">
        <v>499</v>
      </c>
      <c r="Q9" s="164" t="s">
        <v>500</v>
      </c>
      <c r="R9" s="121" t="s">
        <v>530</v>
      </c>
      <c r="S9" s="164" t="s">
        <v>502</v>
      </c>
      <c r="T9" s="164" t="s">
        <v>503</v>
      </c>
      <c r="U9" s="164" t="s">
        <v>504</v>
      </c>
      <c r="V9" s="164" t="s">
        <v>505</v>
      </c>
      <c r="W9" s="164" t="s">
        <v>492</v>
      </c>
      <c r="X9" s="164" t="s">
        <v>507</v>
      </c>
      <c r="Y9" s="164" t="s">
        <v>508</v>
      </c>
      <c r="Z9" s="164" t="s">
        <v>509</v>
      </c>
      <c r="AA9" s="164" t="s">
        <v>510</v>
      </c>
      <c r="AB9" s="164" t="s">
        <v>511</v>
      </c>
      <c r="AC9" s="164" t="s">
        <v>512</v>
      </c>
      <c r="AD9" s="164" t="s">
        <v>513</v>
      </c>
      <c r="AE9" s="164" t="s">
        <v>514</v>
      </c>
      <c r="AF9" s="164" t="s">
        <v>515</v>
      </c>
      <c r="AG9" s="164" t="s">
        <v>529</v>
      </c>
      <c r="AH9" s="164" t="s">
        <v>516</v>
      </c>
      <c r="AI9" s="164" t="s">
        <v>517</v>
      </c>
      <c r="AJ9" s="164" t="s">
        <v>518</v>
      </c>
      <c r="AK9" s="164" t="s">
        <v>519</v>
      </c>
      <c r="AL9" s="164" t="s">
        <v>291</v>
      </c>
      <c r="AM9" s="164" t="s">
        <v>520</v>
      </c>
      <c r="AN9" s="164" t="s">
        <v>521</v>
      </c>
      <c r="AO9" s="164" t="s">
        <v>522</v>
      </c>
      <c r="AP9" s="164" t="s">
        <v>523</v>
      </c>
      <c r="AQ9" s="164" t="s">
        <v>524</v>
      </c>
      <c r="AR9" s="164" t="s">
        <v>525</v>
      </c>
      <c r="AS9" s="164" t="s">
        <v>526</v>
      </c>
      <c r="AT9" s="164" t="s">
        <v>527</v>
      </c>
      <c r="AU9" s="164" t="s">
        <v>528</v>
      </c>
      <c r="AX9" s="19"/>
      <c r="BA9" s="1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1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19"/>
      <c r="CK9" s="269"/>
      <c r="CL9" s="269"/>
      <c r="CM9" s="269"/>
      <c r="CN9" s="269"/>
      <c r="CO9" s="269"/>
      <c r="CP9" s="269"/>
      <c r="CQ9" s="269"/>
      <c r="CR9" s="269"/>
      <c r="CS9" s="269"/>
    </row>
    <row r="10" spans="1:97" x14ac:dyDescent="0.25">
      <c r="A10" s="137" t="s">
        <v>4</v>
      </c>
      <c r="D10" s="28" t="s">
        <v>12</v>
      </c>
      <c r="F10" s="163" t="s">
        <v>13</v>
      </c>
      <c r="G10" s="163" t="s">
        <v>14</v>
      </c>
      <c r="H10" s="163" t="s">
        <v>415</v>
      </c>
      <c r="I10" s="163" t="s">
        <v>15</v>
      </c>
      <c r="J10" s="163" t="s">
        <v>16</v>
      </c>
      <c r="K10" s="163" t="s">
        <v>59</v>
      </c>
      <c r="L10" s="163" t="s">
        <v>61</v>
      </c>
      <c r="M10" s="163" t="s">
        <v>62</v>
      </c>
      <c r="N10" s="163" t="s">
        <v>105</v>
      </c>
      <c r="O10" s="163" t="s">
        <v>166</v>
      </c>
      <c r="P10" s="163" t="s">
        <v>167</v>
      </c>
      <c r="Q10" s="130" t="s">
        <v>168</v>
      </c>
      <c r="R10" s="136" t="s">
        <v>209</v>
      </c>
      <c r="S10" s="136" t="s">
        <v>218</v>
      </c>
      <c r="T10" s="136" t="s">
        <v>420</v>
      </c>
      <c r="U10" s="136" t="s">
        <v>421</v>
      </c>
      <c r="V10" s="136" t="s">
        <v>422</v>
      </c>
      <c r="W10" s="136" t="s">
        <v>423</v>
      </c>
      <c r="X10" s="136" t="s">
        <v>424</v>
      </c>
      <c r="Y10" s="136" t="s">
        <v>425</v>
      </c>
      <c r="Z10" s="136" t="s">
        <v>426</v>
      </c>
      <c r="AA10" s="136" t="s">
        <v>427</v>
      </c>
      <c r="AB10" s="136" t="s">
        <v>428</v>
      </c>
      <c r="AC10" s="136" t="s">
        <v>429</v>
      </c>
      <c r="AD10" s="136" t="s">
        <v>430</v>
      </c>
      <c r="AE10" s="136" t="s">
        <v>431</v>
      </c>
      <c r="AF10" s="136" t="s">
        <v>432</v>
      </c>
      <c r="AG10" s="136" t="s">
        <v>433</v>
      </c>
      <c r="AH10" s="136" t="s">
        <v>434</v>
      </c>
      <c r="AI10" s="136" t="s">
        <v>435</v>
      </c>
      <c r="AJ10" s="136" t="s">
        <v>436</v>
      </c>
      <c r="AK10" s="136" t="s">
        <v>437</v>
      </c>
      <c r="AL10" s="136" t="s">
        <v>438</v>
      </c>
      <c r="AM10" s="136" t="s">
        <v>439</v>
      </c>
      <c r="AN10" s="136" t="s">
        <v>440</v>
      </c>
      <c r="AO10" s="136" t="s">
        <v>441</v>
      </c>
      <c r="AP10" s="136" t="s">
        <v>442</v>
      </c>
      <c r="AQ10" s="136" t="s">
        <v>443</v>
      </c>
      <c r="AR10" s="136" t="s">
        <v>444</v>
      </c>
      <c r="AS10" s="136" t="s">
        <v>445</v>
      </c>
      <c r="AT10" s="136" t="s">
        <v>446</v>
      </c>
      <c r="AU10" s="136" t="s">
        <v>447</v>
      </c>
      <c r="AX10" s="19"/>
      <c r="AZ10" s="19"/>
      <c r="BA10" s="19"/>
      <c r="BC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</row>
    <row r="11" spans="1:97" x14ac:dyDescent="0.25">
      <c r="A11" s="136"/>
      <c r="AX11" s="19"/>
      <c r="AZ11" s="19"/>
      <c r="BA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</row>
    <row r="12" spans="1:97" x14ac:dyDescent="0.25">
      <c r="A12" s="136">
        <v>1</v>
      </c>
      <c r="B12" s="136"/>
      <c r="C12" s="136" t="s">
        <v>416</v>
      </c>
      <c r="D12" s="23">
        <f>SUM(F12:AU12)</f>
        <v>99.999999999999986</v>
      </c>
      <c r="F12" s="134">
        <v>32.208316137288648</v>
      </c>
      <c r="G12" s="134">
        <v>26.05994234846505</v>
      </c>
      <c r="H12" s="134">
        <v>0</v>
      </c>
      <c r="I12" s="134">
        <v>0.10308580477841173</v>
      </c>
      <c r="J12" s="134">
        <v>2.2000322052680823</v>
      </c>
      <c r="K12" s="134">
        <v>0.28334982057554342</v>
      </c>
      <c r="L12" s="134">
        <v>0</v>
      </c>
      <c r="M12" s="134">
        <v>0</v>
      </c>
      <c r="N12" s="134">
        <v>5.3785678160619854E-2</v>
      </c>
      <c r="O12" s="134">
        <v>0.24273576460862567</v>
      </c>
      <c r="P12" s="134">
        <v>0.93388618831577119</v>
      </c>
      <c r="Q12" s="134">
        <v>0</v>
      </c>
      <c r="R12" s="134">
        <v>0</v>
      </c>
      <c r="S12" s="134">
        <v>6.4034306812073787</v>
      </c>
      <c r="T12" s="134">
        <v>1.5907252555360716</v>
      </c>
      <c r="U12" s="134">
        <v>0.21758905109432583</v>
      </c>
      <c r="V12" s="134">
        <v>0</v>
      </c>
      <c r="W12" s="134">
        <v>0</v>
      </c>
      <c r="X12" s="134">
        <v>20.265757844819714</v>
      </c>
      <c r="Y12" s="134">
        <v>6.0995408841255712</v>
      </c>
      <c r="Z12" s="134">
        <v>1.2538675880360965</v>
      </c>
      <c r="AA12" s="134">
        <v>2.7008858032410376E-3</v>
      </c>
      <c r="AB12" s="134">
        <v>4.9745724787474011E-3</v>
      </c>
      <c r="AC12" s="134">
        <v>0</v>
      </c>
      <c r="AD12" s="134">
        <v>1.722772384280127</v>
      </c>
      <c r="AE12" s="134">
        <v>0.17899398007545933</v>
      </c>
      <c r="AF12" s="134">
        <v>0.17451292508249064</v>
      </c>
      <c r="AG12" s="134">
        <v>0</v>
      </c>
      <c r="AH12" s="134">
        <v>0</v>
      </c>
      <c r="AI12" s="134">
        <v>0</v>
      </c>
      <c r="AJ12" s="134">
        <v>0</v>
      </c>
      <c r="AK12" s="134">
        <v>0</v>
      </c>
      <c r="AL12" s="134">
        <v>0</v>
      </c>
      <c r="AM12" s="134">
        <v>0</v>
      </c>
      <c r="AN12" s="134">
        <v>0</v>
      </c>
      <c r="AO12" s="134">
        <v>0</v>
      </c>
      <c r="AP12" s="134">
        <v>0</v>
      </c>
      <c r="AQ12" s="134">
        <v>0</v>
      </c>
      <c r="AR12" s="134">
        <v>0</v>
      </c>
      <c r="AS12" s="134">
        <v>0</v>
      </c>
      <c r="AT12" s="134">
        <v>0</v>
      </c>
      <c r="AU12" s="134">
        <v>0</v>
      </c>
      <c r="AX12" s="19"/>
      <c r="BA12" s="19"/>
    </row>
    <row r="13" spans="1:97" x14ac:dyDescent="0.25">
      <c r="A13" s="136">
        <v>2</v>
      </c>
      <c r="B13" s="136" t="s">
        <v>378</v>
      </c>
      <c r="D13" s="65">
        <f>SUM(F13:AU13)</f>
        <v>0.99999999999999978</v>
      </c>
      <c r="F13" s="65">
        <f t="shared" ref="F13:AU13" si="0">F12/$D12</f>
        <v>0.32208316137288651</v>
      </c>
      <c r="G13" s="65">
        <f t="shared" si="0"/>
        <v>0.26059942348465054</v>
      </c>
      <c r="H13" s="65">
        <f t="shared" si="0"/>
        <v>0</v>
      </c>
      <c r="I13" s="65">
        <f t="shared" si="0"/>
        <v>1.0308580477841173E-3</v>
      </c>
      <c r="J13" s="65">
        <f t="shared" si="0"/>
        <v>2.2000322052680828E-2</v>
      </c>
      <c r="K13" s="65">
        <f t="shared" si="0"/>
        <v>2.8334982057554347E-3</v>
      </c>
      <c r="L13" s="65">
        <f t="shared" si="0"/>
        <v>0</v>
      </c>
      <c r="M13" s="65">
        <f t="shared" si="0"/>
        <v>0</v>
      </c>
      <c r="N13" s="65">
        <f t="shared" si="0"/>
        <v>5.3785678160619857E-4</v>
      </c>
      <c r="O13" s="65">
        <f t="shared" si="0"/>
        <v>2.4273576460862572E-3</v>
      </c>
      <c r="P13" s="65">
        <f t="shared" si="0"/>
        <v>9.338861883157714E-3</v>
      </c>
      <c r="Q13" s="65">
        <f t="shared" si="0"/>
        <v>0</v>
      </c>
      <c r="R13" s="65">
        <f t="shared" si="0"/>
        <v>0</v>
      </c>
      <c r="S13" s="65">
        <f t="shared" si="0"/>
        <v>6.4034306812073796E-2</v>
      </c>
      <c r="T13" s="65">
        <f t="shared" si="0"/>
        <v>1.5907252555360719E-2</v>
      </c>
      <c r="U13" s="65">
        <f t="shared" si="0"/>
        <v>2.1758905109432588E-3</v>
      </c>
      <c r="V13" s="65">
        <f t="shared" si="0"/>
        <v>0</v>
      </c>
      <c r="W13" s="65">
        <f t="shared" si="0"/>
        <v>0</v>
      </c>
      <c r="X13" s="65">
        <f t="shared" si="0"/>
        <v>0.20265757844819715</v>
      </c>
      <c r="Y13" s="65">
        <f t="shared" si="0"/>
        <v>6.0995408841255719E-2</v>
      </c>
      <c r="Z13" s="65">
        <f t="shared" si="0"/>
        <v>1.2538675880360967E-2</v>
      </c>
      <c r="AA13" s="65">
        <f t="shared" si="0"/>
        <v>2.7008858032410381E-5</v>
      </c>
      <c r="AB13" s="65">
        <f t="shared" si="0"/>
        <v>4.9745724787474021E-5</v>
      </c>
      <c r="AC13" s="65">
        <f t="shared" si="0"/>
        <v>0</v>
      </c>
      <c r="AD13" s="65">
        <f t="shared" si="0"/>
        <v>1.7227723842801274E-2</v>
      </c>
      <c r="AE13" s="65">
        <f t="shared" si="0"/>
        <v>1.7899398007545936E-3</v>
      </c>
      <c r="AF13" s="65">
        <f t="shared" si="0"/>
        <v>1.7451292508249066E-3</v>
      </c>
      <c r="AG13" s="65">
        <f t="shared" si="0"/>
        <v>0</v>
      </c>
      <c r="AH13" s="65">
        <f t="shared" si="0"/>
        <v>0</v>
      </c>
      <c r="AI13" s="65">
        <f t="shared" si="0"/>
        <v>0</v>
      </c>
      <c r="AJ13" s="65">
        <f t="shared" si="0"/>
        <v>0</v>
      </c>
      <c r="AK13" s="65">
        <f t="shared" si="0"/>
        <v>0</v>
      </c>
      <c r="AL13" s="65">
        <f t="shared" si="0"/>
        <v>0</v>
      </c>
      <c r="AM13" s="65">
        <f t="shared" si="0"/>
        <v>0</v>
      </c>
      <c r="AN13" s="65">
        <f t="shared" si="0"/>
        <v>0</v>
      </c>
      <c r="AO13" s="65">
        <f t="shared" si="0"/>
        <v>0</v>
      </c>
      <c r="AP13" s="65">
        <f t="shared" si="0"/>
        <v>0</v>
      </c>
      <c r="AQ13" s="65">
        <f t="shared" si="0"/>
        <v>0</v>
      </c>
      <c r="AR13" s="65">
        <f t="shared" si="0"/>
        <v>0</v>
      </c>
      <c r="AS13" s="65">
        <f t="shared" si="0"/>
        <v>0</v>
      </c>
      <c r="AT13" s="65">
        <f t="shared" si="0"/>
        <v>0</v>
      </c>
      <c r="AU13" s="65">
        <f t="shared" si="0"/>
        <v>0</v>
      </c>
      <c r="AX13" s="19"/>
      <c r="AZ13" s="19"/>
      <c r="BA13" s="1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</row>
    <row r="14" spans="1:97" x14ac:dyDescent="0.25">
      <c r="A14" s="136"/>
      <c r="AX14" s="19"/>
      <c r="AZ14" s="19"/>
      <c r="BA14" s="19"/>
      <c r="BC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</row>
    <row r="15" spans="1:97" x14ac:dyDescent="0.25">
      <c r="A15" s="136">
        <v>3</v>
      </c>
      <c r="B15" s="136"/>
      <c r="C15" s="136" t="s">
        <v>416</v>
      </c>
      <c r="D15" s="23">
        <f>SUM(F15:AU15)</f>
        <v>11615.53513385792</v>
      </c>
      <c r="F15" s="22">
        <v>4936.4859347918245</v>
      </c>
      <c r="G15" s="22">
        <v>395.28900046690387</v>
      </c>
      <c r="H15" s="22">
        <v>0</v>
      </c>
      <c r="I15" s="22">
        <v>36.758425563411897</v>
      </c>
      <c r="J15" s="22">
        <v>1092.2503595985252</v>
      </c>
      <c r="K15" s="22">
        <v>57.763240171075843</v>
      </c>
      <c r="L15" s="22">
        <v>10.502407303831971</v>
      </c>
      <c r="M15" s="22">
        <v>107.64967486427771</v>
      </c>
      <c r="N15" s="22">
        <v>13.128009129789966</v>
      </c>
      <c r="O15" s="22">
        <v>28.881620085537921</v>
      </c>
      <c r="P15" s="22">
        <v>2.6256018259579927</v>
      </c>
      <c r="Q15" s="22">
        <v>0</v>
      </c>
      <c r="R15" s="22">
        <v>0</v>
      </c>
      <c r="S15" s="22">
        <v>844.28327420980486</v>
      </c>
      <c r="T15" s="22">
        <v>5.0405153643187743</v>
      </c>
      <c r="U15" s="22">
        <v>162.78731320939556</v>
      </c>
      <c r="V15" s="22">
        <v>10.502407303831971</v>
      </c>
      <c r="W15" s="22">
        <v>31.507221911495918</v>
      </c>
      <c r="X15" s="22">
        <v>2750.9843761131683</v>
      </c>
      <c r="Y15" s="22">
        <v>18.453683518461069</v>
      </c>
      <c r="Z15" s="22">
        <v>590.7604108405485</v>
      </c>
      <c r="AA15" s="22">
        <v>0</v>
      </c>
      <c r="AB15" s="22">
        <v>18.379212781705949</v>
      </c>
      <c r="AC15" s="22">
        <v>78.768054778739796</v>
      </c>
      <c r="AD15" s="22">
        <v>149.65930407960562</v>
      </c>
      <c r="AE15" s="22">
        <v>10.502407303831971</v>
      </c>
      <c r="AF15" s="22">
        <v>10.502407303831971</v>
      </c>
      <c r="AG15" s="22">
        <v>0</v>
      </c>
      <c r="AH15" s="22">
        <v>120.77768399406767</v>
      </c>
      <c r="AI15" s="22">
        <v>0</v>
      </c>
      <c r="AJ15" s="22">
        <v>107.64967486427771</v>
      </c>
      <c r="AK15" s="22">
        <v>0</v>
      </c>
      <c r="AL15" s="22">
        <v>2.6256018259579927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21.017310653740001</v>
      </c>
      <c r="AS15" s="22">
        <v>0</v>
      </c>
      <c r="AT15" s="22">
        <v>0</v>
      </c>
      <c r="AU15" s="22">
        <v>0</v>
      </c>
      <c r="AX15" s="19"/>
      <c r="BA15" s="19"/>
    </row>
    <row r="16" spans="1:97" x14ac:dyDescent="0.25">
      <c r="A16" s="136">
        <v>4</v>
      </c>
      <c r="B16" s="136" t="s">
        <v>388</v>
      </c>
      <c r="D16" s="65">
        <f>SUM(F16:AU16)</f>
        <v>0.99999999999999989</v>
      </c>
      <c r="F16" s="65">
        <f t="shared" ref="F16:AU16" si="1">F15/$D15</f>
        <v>0.42498997057850119</v>
      </c>
      <c r="G16" s="65">
        <f t="shared" si="1"/>
        <v>3.4031062358434339E-2</v>
      </c>
      <c r="H16" s="65">
        <f t="shared" si="1"/>
        <v>0</v>
      </c>
      <c r="I16" s="65">
        <f t="shared" si="1"/>
        <v>3.1645916558992971E-3</v>
      </c>
      <c r="J16" s="65">
        <f t="shared" si="1"/>
        <v>9.4033580632436276E-2</v>
      </c>
      <c r="K16" s="65">
        <f t="shared" si="1"/>
        <v>4.9729297449846097E-3</v>
      </c>
      <c r="L16" s="65">
        <f t="shared" si="1"/>
        <v>9.0416904454265626E-4</v>
      </c>
      <c r="M16" s="65">
        <f t="shared" si="1"/>
        <v>9.2677327065622279E-3</v>
      </c>
      <c r="N16" s="65">
        <f t="shared" si="1"/>
        <v>1.1302113056783207E-3</v>
      </c>
      <c r="O16" s="65">
        <f t="shared" si="1"/>
        <v>2.4864648724923048E-3</v>
      </c>
      <c r="P16" s="65">
        <f t="shared" si="1"/>
        <v>2.2604226113566407E-4</v>
      </c>
      <c r="Q16" s="65">
        <f t="shared" si="1"/>
        <v>0</v>
      </c>
      <c r="R16" s="65">
        <f t="shared" si="1"/>
        <v>0</v>
      </c>
      <c r="S16" s="65">
        <f t="shared" si="1"/>
        <v>7.2685697600691532E-2</v>
      </c>
      <c r="T16" s="65">
        <f t="shared" si="1"/>
        <v>4.3394603057299221E-4</v>
      </c>
      <c r="U16" s="65">
        <f t="shared" si="1"/>
        <v>1.4014620190411173E-2</v>
      </c>
      <c r="V16" s="65">
        <f t="shared" si="1"/>
        <v>9.0416904454265626E-4</v>
      </c>
      <c r="W16" s="65">
        <f t="shared" si="1"/>
        <v>2.7125071336279692E-3</v>
      </c>
      <c r="X16" s="65">
        <f t="shared" si="1"/>
        <v>0.23683664544170435</v>
      </c>
      <c r="Y16" s="65">
        <f t="shared" si="1"/>
        <v>1.5887071328010321E-3</v>
      </c>
      <c r="Z16" s="65">
        <f t="shared" si="1"/>
        <v>5.0859508755524425E-2</v>
      </c>
      <c r="AA16" s="65">
        <f t="shared" si="1"/>
        <v>0</v>
      </c>
      <c r="AB16" s="65">
        <f t="shared" si="1"/>
        <v>1.5822958279496486E-3</v>
      </c>
      <c r="AC16" s="65">
        <f t="shared" si="1"/>
        <v>6.781267834069923E-3</v>
      </c>
      <c r="AD16" s="65">
        <f t="shared" si="1"/>
        <v>1.2884408884732855E-2</v>
      </c>
      <c r="AE16" s="65">
        <f t="shared" si="1"/>
        <v>9.0416904454265626E-4</v>
      </c>
      <c r="AF16" s="65">
        <f t="shared" si="1"/>
        <v>9.0416904454265626E-4</v>
      </c>
      <c r="AG16" s="65">
        <f t="shared" si="1"/>
        <v>0</v>
      </c>
      <c r="AH16" s="65">
        <f t="shared" si="1"/>
        <v>1.0397944012240548E-2</v>
      </c>
      <c r="AI16" s="65">
        <f t="shared" si="1"/>
        <v>0</v>
      </c>
      <c r="AJ16" s="65">
        <f t="shared" si="1"/>
        <v>9.2677327065622279E-3</v>
      </c>
      <c r="AK16" s="65">
        <f t="shared" si="1"/>
        <v>0</v>
      </c>
      <c r="AL16" s="65">
        <f t="shared" si="1"/>
        <v>2.2604226113566407E-4</v>
      </c>
      <c r="AM16" s="65">
        <f t="shared" si="1"/>
        <v>0</v>
      </c>
      <c r="AN16" s="65">
        <f t="shared" si="1"/>
        <v>0</v>
      </c>
      <c r="AO16" s="65">
        <f t="shared" si="1"/>
        <v>0</v>
      </c>
      <c r="AP16" s="65">
        <f t="shared" si="1"/>
        <v>0</v>
      </c>
      <c r="AQ16" s="65">
        <f t="shared" si="1"/>
        <v>0</v>
      </c>
      <c r="AR16" s="65">
        <f t="shared" si="1"/>
        <v>1.8094138936808008E-3</v>
      </c>
      <c r="AS16" s="65">
        <f t="shared" si="1"/>
        <v>0</v>
      </c>
      <c r="AT16" s="65">
        <f t="shared" si="1"/>
        <v>0</v>
      </c>
      <c r="AU16" s="65">
        <f t="shared" si="1"/>
        <v>0</v>
      </c>
      <c r="AX16" s="19"/>
      <c r="AZ16" s="19"/>
      <c r="BA16" s="19"/>
      <c r="BC16" s="61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</row>
    <row r="17" spans="1:97" x14ac:dyDescent="0.25">
      <c r="A17" s="136"/>
      <c r="C17" s="136" t="s">
        <v>416</v>
      </c>
      <c r="AX17" s="19"/>
      <c r="AZ17" s="19"/>
      <c r="BA17" s="19"/>
      <c r="BC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</row>
    <row r="18" spans="1:97" x14ac:dyDescent="0.25">
      <c r="A18" s="136">
        <v>5</v>
      </c>
      <c r="B18" s="136"/>
      <c r="D18" s="23">
        <f>SUM(F18:AU18)</f>
        <v>129959.01953522454</v>
      </c>
      <c r="F18" s="22">
        <v>12088.407630446842</v>
      </c>
      <c r="G18" s="22">
        <v>11592.078815764213</v>
      </c>
      <c r="H18" s="22">
        <v>0</v>
      </c>
      <c r="I18" s="22">
        <v>66.301332323257014</v>
      </c>
      <c r="J18" s="22">
        <v>2582.2333577605555</v>
      </c>
      <c r="K18" s="22">
        <v>923.05763032585969</v>
      </c>
      <c r="L18" s="22">
        <v>0</v>
      </c>
      <c r="M18" s="22">
        <v>127.2563316536019</v>
      </c>
      <c r="N18" s="22">
        <v>37.982827624956897</v>
      </c>
      <c r="O18" s="22">
        <v>781.3641413969051</v>
      </c>
      <c r="P18" s="22">
        <v>456.49049387465101</v>
      </c>
      <c r="Q18" s="22">
        <v>0</v>
      </c>
      <c r="R18" s="22">
        <v>63.327087298955583</v>
      </c>
      <c r="S18" s="22">
        <v>2390.607293308613</v>
      </c>
      <c r="T18" s="22">
        <v>783.39312400860376</v>
      </c>
      <c r="U18" s="22">
        <v>327.10531083037137</v>
      </c>
      <c r="V18" s="22">
        <v>13.784619456982615</v>
      </c>
      <c r="W18" s="22">
        <v>0</v>
      </c>
      <c r="X18" s="22">
        <v>7868.257072125878</v>
      </c>
      <c r="Y18" s="22">
        <v>3189.1770550976935</v>
      </c>
      <c r="Z18" s="22">
        <v>1434.9894797975135</v>
      </c>
      <c r="AA18" s="22">
        <v>0.57531337014800421</v>
      </c>
      <c r="AB18" s="22">
        <v>10.649821958957631</v>
      </c>
      <c r="AC18" s="22">
        <v>133.15553568520011</v>
      </c>
      <c r="AD18" s="22">
        <v>1725.2360497429261</v>
      </c>
      <c r="AE18" s="22">
        <v>183.70371188322136</v>
      </c>
      <c r="AF18" s="22">
        <v>217.72414830665764</v>
      </c>
      <c r="AG18" s="22">
        <v>0</v>
      </c>
      <c r="AH18" s="22">
        <v>1050.3084765825081</v>
      </c>
      <c r="AI18" s="22">
        <v>100.12306098434325</v>
      </c>
      <c r="AJ18" s="22">
        <v>13240.770942207184</v>
      </c>
      <c r="AK18" s="22">
        <v>111.39751620232411</v>
      </c>
      <c r="AL18" s="22">
        <v>664.72221578809172</v>
      </c>
      <c r="AM18" s="22">
        <v>0</v>
      </c>
      <c r="AN18" s="22">
        <v>0</v>
      </c>
      <c r="AO18" s="22">
        <v>0</v>
      </c>
      <c r="AP18" s="22">
        <v>5005.6758806647176</v>
      </c>
      <c r="AQ18" s="22">
        <v>9140.82178611155</v>
      </c>
      <c r="AR18" s="22">
        <v>52704.71215257248</v>
      </c>
      <c r="AS18" s="22">
        <v>0</v>
      </c>
      <c r="AT18" s="22">
        <v>820.75313244703364</v>
      </c>
      <c r="AU18" s="22">
        <v>122.87618762171402</v>
      </c>
      <c r="AX18" s="19"/>
      <c r="BA18" s="19"/>
    </row>
    <row r="19" spans="1:97" x14ac:dyDescent="0.25">
      <c r="A19" s="136">
        <v>6</v>
      </c>
      <c r="B19" s="136" t="s">
        <v>284</v>
      </c>
      <c r="D19" s="65">
        <f>SUM(F19:AU19)</f>
        <v>0.99999999999999978</v>
      </c>
      <c r="F19" s="65">
        <f t="shared" ref="F19:AU19" si="2">F18/$D18</f>
        <v>9.3017073179521473E-2</v>
      </c>
      <c r="G19" s="65">
        <f t="shared" si="2"/>
        <v>8.9197955303304335E-2</v>
      </c>
      <c r="H19" s="65">
        <f t="shared" si="2"/>
        <v>0</v>
      </c>
      <c r="I19" s="65">
        <f t="shared" si="2"/>
        <v>5.1017107208389237E-4</v>
      </c>
      <c r="J19" s="65">
        <f t="shared" si="2"/>
        <v>1.9869597100651087E-2</v>
      </c>
      <c r="K19" s="65">
        <f t="shared" si="2"/>
        <v>7.1026823196036117E-3</v>
      </c>
      <c r="L19" s="65">
        <f t="shared" si="2"/>
        <v>0</v>
      </c>
      <c r="M19" s="65">
        <f t="shared" si="2"/>
        <v>9.7920353745905198E-4</v>
      </c>
      <c r="N19" s="65">
        <f t="shared" si="2"/>
        <v>2.9226772994129819E-4</v>
      </c>
      <c r="O19" s="65">
        <f t="shared" si="2"/>
        <v>6.0123887067732263E-3</v>
      </c>
      <c r="P19" s="65">
        <f t="shared" si="2"/>
        <v>3.5125726210247553E-3</v>
      </c>
      <c r="Q19" s="65">
        <f t="shared" si="2"/>
        <v>0</v>
      </c>
      <c r="R19" s="65">
        <f t="shared" si="2"/>
        <v>4.8728504974440186E-4</v>
      </c>
      <c r="S19" s="65">
        <f t="shared" si="2"/>
        <v>1.8395085634365337E-2</v>
      </c>
      <c r="T19" s="65">
        <f t="shared" si="2"/>
        <v>6.0280011869146971E-3</v>
      </c>
      <c r="U19" s="65">
        <f t="shared" si="2"/>
        <v>2.5169881398013445E-3</v>
      </c>
      <c r="V19" s="65">
        <f t="shared" si="2"/>
        <v>1.0606897086697692E-4</v>
      </c>
      <c r="W19" s="65">
        <f t="shared" si="2"/>
        <v>0</v>
      </c>
      <c r="X19" s="65">
        <f t="shared" si="2"/>
        <v>6.0544139993247939E-2</v>
      </c>
      <c r="Y19" s="65">
        <f t="shared" si="2"/>
        <v>2.4539867001945857E-2</v>
      </c>
      <c r="Z19" s="65">
        <f t="shared" si="2"/>
        <v>1.1041861387762848E-2</v>
      </c>
      <c r="AA19" s="65">
        <f t="shared" si="2"/>
        <v>4.4268829682272979E-6</v>
      </c>
      <c r="AB19" s="65">
        <f t="shared" si="2"/>
        <v>8.1947540055663987E-5</v>
      </c>
      <c r="AC19" s="65">
        <f t="shared" si="2"/>
        <v>1.0245963393799625E-3</v>
      </c>
      <c r="AD19" s="65">
        <f t="shared" si="2"/>
        <v>1.3275231345334305E-2</v>
      </c>
      <c r="AE19" s="65">
        <f t="shared" si="2"/>
        <v>1.4135510758714956E-3</v>
      </c>
      <c r="AF19" s="65">
        <f t="shared" si="2"/>
        <v>1.6753292621420935E-3</v>
      </c>
      <c r="AG19" s="65">
        <f t="shared" si="2"/>
        <v>0</v>
      </c>
      <c r="AH19" s="65">
        <f t="shared" si="2"/>
        <v>8.0818436483958613E-3</v>
      </c>
      <c r="AI19" s="65">
        <f t="shared" si="2"/>
        <v>7.7042025511130888E-4</v>
      </c>
      <c r="AJ19" s="65">
        <f t="shared" si="2"/>
        <v>0.10188420157031394</v>
      </c>
      <c r="AK19" s="65">
        <f t="shared" si="2"/>
        <v>8.5717418152828203E-4</v>
      </c>
      <c r="AL19" s="65">
        <f t="shared" si="2"/>
        <v>5.1148601933544381E-3</v>
      </c>
      <c r="AM19" s="65">
        <f t="shared" si="2"/>
        <v>0</v>
      </c>
      <c r="AN19" s="65">
        <f t="shared" si="2"/>
        <v>0</v>
      </c>
      <c r="AO19" s="65">
        <f t="shared" si="2"/>
        <v>0</v>
      </c>
      <c r="AP19" s="65">
        <f t="shared" si="2"/>
        <v>3.8517341070797802E-2</v>
      </c>
      <c r="AQ19" s="65">
        <f t="shared" si="2"/>
        <v>7.0336186120840888E-2</v>
      </c>
      <c r="AR19" s="65">
        <f t="shared" si="2"/>
        <v>0.4055487055924365</v>
      </c>
      <c r="AS19" s="65">
        <f t="shared" si="2"/>
        <v>0</v>
      </c>
      <c r="AT19" s="65">
        <f t="shared" si="2"/>
        <v>6.3154764892987972E-3</v>
      </c>
      <c r="AU19" s="65">
        <f t="shared" si="2"/>
        <v>9.4549949715809641E-4</v>
      </c>
      <c r="AX19" s="19"/>
      <c r="AZ19" s="19"/>
      <c r="BA19" s="19"/>
      <c r="BC19" s="61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</row>
    <row r="20" spans="1:97" x14ac:dyDescent="0.25">
      <c r="A20" s="136"/>
      <c r="AX20" s="19"/>
      <c r="AZ20" s="19"/>
      <c r="BA20" s="19"/>
      <c r="BC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</row>
    <row r="21" spans="1:97" x14ac:dyDescent="0.25">
      <c r="A21" s="136">
        <v>7</v>
      </c>
      <c r="B21" s="136"/>
      <c r="C21" s="136" t="s">
        <v>416</v>
      </c>
      <c r="D21" s="23">
        <f>SUM(F21:AU21)</f>
        <v>162050.40026244638</v>
      </c>
      <c r="F21" s="22">
        <v>41491.893111959216</v>
      </c>
      <c r="G21" s="22">
        <v>39788.308756040562</v>
      </c>
      <c r="H21" s="22">
        <v>0</v>
      </c>
      <c r="I21" s="22">
        <v>227.57073371750442</v>
      </c>
      <c r="J21" s="22">
        <v>8863.1814665548372</v>
      </c>
      <c r="K21" s="22">
        <v>3168.2757319661318</v>
      </c>
      <c r="L21" s="22">
        <v>0</v>
      </c>
      <c r="M21" s="22">
        <v>436.79087206592709</v>
      </c>
      <c r="N21" s="22">
        <v>130.3711350645799</v>
      </c>
      <c r="O21" s="22">
        <v>2681.9311879177403</v>
      </c>
      <c r="P21" s="22">
        <v>1566.8444808865504</v>
      </c>
      <c r="Q21" s="22">
        <v>0</v>
      </c>
      <c r="R21" s="22">
        <v>247.65091569573769</v>
      </c>
      <c r="S21" s="22">
        <v>8205.4498258977546</v>
      </c>
      <c r="T21" s="22">
        <v>2688.8954078732777</v>
      </c>
      <c r="U21" s="22">
        <v>1122.7466022194585</v>
      </c>
      <c r="V21" s="22">
        <v>47.313920458605033</v>
      </c>
      <c r="W21" s="22">
        <v>0</v>
      </c>
      <c r="X21" s="22">
        <v>27006.773050223193</v>
      </c>
      <c r="Y21" s="22">
        <v>10946.437076786024</v>
      </c>
      <c r="Z21" s="22">
        <v>4925.4154833909688</v>
      </c>
      <c r="AA21" s="22">
        <v>1.9746886099322951</v>
      </c>
      <c r="AB21" s="22">
        <v>36.554134166480971</v>
      </c>
      <c r="AC21" s="22">
        <v>457.03912564965106</v>
      </c>
      <c r="AD21" s="22">
        <v>5921.6492326530033</v>
      </c>
      <c r="AE21" s="22">
        <v>630.53919182298637</v>
      </c>
      <c r="AF21" s="22">
        <v>747.30993242476109</v>
      </c>
      <c r="AG21" s="22">
        <v>0</v>
      </c>
      <c r="AH21" s="22">
        <v>49.130443540286926</v>
      </c>
      <c r="AI21" s="22">
        <v>4.6834720507804608</v>
      </c>
      <c r="AJ21" s="22">
        <v>619.36560897105085</v>
      </c>
      <c r="AK21" s="22">
        <v>5.2108590022186165</v>
      </c>
      <c r="AL21" s="22">
        <v>31.093814837155389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X21" s="19"/>
      <c r="BA21" s="19"/>
    </row>
    <row r="22" spans="1:97" x14ac:dyDescent="0.25">
      <c r="A22" s="136">
        <v>8</v>
      </c>
      <c r="B22" s="136" t="s">
        <v>390</v>
      </c>
      <c r="D22" s="65">
        <f>SUM(F22:AU22)</f>
        <v>1.0000000000000002</v>
      </c>
      <c r="F22" s="65">
        <f t="shared" ref="F22:AU22" si="3">F21/$D21</f>
        <v>0.256043138707227</v>
      </c>
      <c r="G22" s="65">
        <f t="shared" si="3"/>
        <v>0.24553045652218064</v>
      </c>
      <c r="H22" s="65">
        <f t="shared" si="3"/>
        <v>0</v>
      </c>
      <c r="I22" s="65">
        <f t="shared" si="3"/>
        <v>1.4043207134875665E-3</v>
      </c>
      <c r="J22" s="65">
        <f t="shared" si="3"/>
        <v>5.4693980713411382E-2</v>
      </c>
      <c r="K22" s="65">
        <f t="shared" si="3"/>
        <v>1.9551174985282336E-2</v>
      </c>
      <c r="L22" s="65">
        <f t="shared" si="3"/>
        <v>0</v>
      </c>
      <c r="M22" s="65">
        <f t="shared" si="3"/>
        <v>2.6954013773401904E-3</v>
      </c>
      <c r="N22" s="65">
        <f t="shared" si="3"/>
        <v>8.0450979975019642E-4</v>
      </c>
      <c r="O22" s="65">
        <f t="shared" si="3"/>
        <v>1.6549981879552644E-2</v>
      </c>
      <c r="P22" s="65">
        <f t="shared" si="3"/>
        <v>9.6688714026561505E-3</v>
      </c>
      <c r="Q22" s="65">
        <f t="shared" si="3"/>
        <v>0</v>
      </c>
      <c r="R22" s="65">
        <f t="shared" si="3"/>
        <v>1.5282339031230917E-3</v>
      </c>
      <c r="S22" s="65">
        <f t="shared" si="3"/>
        <v>5.0635171604690499E-2</v>
      </c>
      <c r="T22" s="65">
        <f t="shared" si="3"/>
        <v>1.6592957521354566E-2</v>
      </c>
      <c r="U22" s="65">
        <f t="shared" si="3"/>
        <v>6.9283790746652307E-3</v>
      </c>
      <c r="V22" s="65">
        <f t="shared" si="3"/>
        <v>2.9197040168971172E-4</v>
      </c>
      <c r="W22" s="65">
        <f t="shared" si="3"/>
        <v>0</v>
      </c>
      <c r="X22" s="65">
        <f t="shared" si="3"/>
        <v>0.16665662662038949</v>
      </c>
      <c r="Y22" s="65">
        <f t="shared" si="3"/>
        <v>6.754958370394569E-2</v>
      </c>
      <c r="Z22" s="65">
        <f t="shared" si="3"/>
        <v>3.0394343213062624E-2</v>
      </c>
      <c r="AA22" s="65">
        <f t="shared" si="3"/>
        <v>1.218564475455918E-5</v>
      </c>
      <c r="AB22" s="65">
        <f t="shared" si="3"/>
        <v>2.2557262498136538E-4</v>
      </c>
      <c r="AC22" s="65">
        <f t="shared" si="3"/>
        <v>2.8203517233494021E-3</v>
      </c>
      <c r="AD22" s="65">
        <f t="shared" si="3"/>
        <v>3.6542021636865332E-2</v>
      </c>
      <c r="AE22" s="65">
        <f t="shared" si="3"/>
        <v>3.8910066917564276E-3</v>
      </c>
      <c r="AF22" s="65">
        <f t="shared" si="3"/>
        <v>4.611589550007073E-3</v>
      </c>
      <c r="AG22" s="65">
        <f t="shared" si="3"/>
        <v>0</v>
      </c>
      <c r="AH22" s="65">
        <f t="shared" si="3"/>
        <v>3.0318001967732526E-4</v>
      </c>
      <c r="AI22" s="65">
        <f t="shared" si="3"/>
        <v>2.8901329729487935E-5</v>
      </c>
      <c r="AJ22" s="65">
        <f t="shared" si="3"/>
        <v>3.8220554097241738E-3</v>
      </c>
      <c r="AK22" s="65">
        <f t="shared" si="3"/>
        <v>3.2155792233647343E-5</v>
      </c>
      <c r="AL22" s="65">
        <f t="shared" si="3"/>
        <v>1.9187743311215432E-4</v>
      </c>
      <c r="AM22" s="65">
        <f t="shared" si="3"/>
        <v>0</v>
      </c>
      <c r="AN22" s="65">
        <f t="shared" si="3"/>
        <v>0</v>
      </c>
      <c r="AO22" s="65">
        <f t="shared" si="3"/>
        <v>0</v>
      </c>
      <c r="AP22" s="65">
        <f t="shared" si="3"/>
        <v>0</v>
      </c>
      <c r="AQ22" s="65">
        <f t="shared" si="3"/>
        <v>0</v>
      </c>
      <c r="AR22" s="65">
        <f t="shared" si="3"/>
        <v>0</v>
      </c>
      <c r="AS22" s="65">
        <f t="shared" si="3"/>
        <v>0</v>
      </c>
      <c r="AT22" s="65">
        <f t="shared" si="3"/>
        <v>0</v>
      </c>
      <c r="AU22" s="65">
        <f t="shared" si="3"/>
        <v>0</v>
      </c>
      <c r="AX22" s="19"/>
      <c r="AZ22" s="19"/>
      <c r="BA22" s="19"/>
      <c r="BC22" s="61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</row>
    <row r="23" spans="1:97" x14ac:dyDescent="0.25">
      <c r="A23" s="136"/>
      <c r="B23" s="136"/>
      <c r="AX23" s="19"/>
      <c r="AZ23" s="19"/>
      <c r="BA23" s="19"/>
      <c r="BC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</row>
    <row r="24" spans="1:97" x14ac:dyDescent="0.25">
      <c r="A24" s="136">
        <v>9</v>
      </c>
      <c r="B24" s="136"/>
      <c r="C24" s="136" t="s">
        <v>416</v>
      </c>
      <c r="D24" s="23">
        <f>SUM(F24:AU24)</f>
        <v>100</v>
      </c>
      <c r="F24" s="134">
        <v>12.105671210630396</v>
      </c>
      <c r="G24" s="134">
        <v>10.803011544437638</v>
      </c>
      <c r="H24" s="134">
        <v>0</v>
      </c>
      <c r="I24" s="134">
        <v>3.8103799589268121E-2</v>
      </c>
      <c r="J24" s="134">
        <v>1.2395723920951021</v>
      </c>
      <c r="K24" s="134">
        <v>0.26050793969678515</v>
      </c>
      <c r="L24" s="134">
        <v>0</v>
      </c>
      <c r="M24" s="134">
        <v>4.3192834647487865E-3</v>
      </c>
      <c r="N24" s="134">
        <v>0</v>
      </c>
      <c r="O24" s="134">
        <v>0</v>
      </c>
      <c r="P24" s="134">
        <v>0.28741496727464677</v>
      </c>
      <c r="Q24" s="134">
        <v>0</v>
      </c>
      <c r="R24" s="134">
        <v>0</v>
      </c>
      <c r="S24" s="134">
        <v>2.2284658334754375</v>
      </c>
      <c r="T24" s="134">
        <v>0.65788374501499614</v>
      </c>
      <c r="U24" s="134">
        <v>0.14916445741803647</v>
      </c>
      <c r="V24" s="134">
        <v>0</v>
      </c>
      <c r="W24" s="134">
        <v>0</v>
      </c>
      <c r="X24" s="134">
        <v>7.1304203951889003</v>
      </c>
      <c r="Y24" s="134">
        <v>2.6420289000308168</v>
      </c>
      <c r="Z24" s="134">
        <v>0.94047616603061424</v>
      </c>
      <c r="AA24" s="134">
        <v>0</v>
      </c>
      <c r="AB24" s="134">
        <v>8.2618317244222399E-3</v>
      </c>
      <c r="AC24" s="134">
        <v>0</v>
      </c>
      <c r="AD24" s="134">
        <v>1.3911300372774025</v>
      </c>
      <c r="AE24" s="134">
        <v>0</v>
      </c>
      <c r="AF24" s="134">
        <v>0.11356749665079156</v>
      </c>
      <c r="AG24" s="134">
        <v>0</v>
      </c>
      <c r="AH24" s="134">
        <v>0</v>
      </c>
      <c r="AI24" s="134">
        <v>0</v>
      </c>
      <c r="AJ24" s="134">
        <v>0</v>
      </c>
      <c r="AK24" s="134">
        <v>0</v>
      </c>
      <c r="AL24" s="134">
        <v>0</v>
      </c>
      <c r="AM24" s="134">
        <v>0</v>
      </c>
      <c r="AN24" s="134">
        <v>60</v>
      </c>
      <c r="AO24" s="134">
        <v>0</v>
      </c>
      <c r="AP24" s="134">
        <v>0</v>
      </c>
      <c r="AQ24" s="134">
        <v>0</v>
      </c>
      <c r="AR24" s="134">
        <v>0</v>
      </c>
      <c r="AS24" s="134">
        <v>0</v>
      </c>
      <c r="AT24" s="134">
        <v>0</v>
      </c>
      <c r="AU24" s="134">
        <v>0</v>
      </c>
      <c r="AX24" s="19"/>
      <c r="AZ24" s="19"/>
      <c r="BA24" s="19"/>
      <c r="BC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</row>
    <row r="25" spans="1:97" x14ac:dyDescent="0.25">
      <c r="A25" s="136">
        <v>10</v>
      </c>
      <c r="B25" s="136" t="s">
        <v>377</v>
      </c>
      <c r="D25" s="65">
        <f>SUM(F25:AU25)</f>
        <v>1</v>
      </c>
      <c r="F25" s="65">
        <f t="shared" ref="F25:AU25" si="4">F24/$D24</f>
        <v>0.12105671210630396</v>
      </c>
      <c r="G25" s="65">
        <f t="shared" si="4"/>
        <v>0.10803011544437638</v>
      </c>
      <c r="H25" s="65">
        <f t="shared" si="4"/>
        <v>0</v>
      </c>
      <c r="I25" s="65">
        <f t="shared" si="4"/>
        <v>3.8103799589268123E-4</v>
      </c>
      <c r="J25" s="65">
        <f t="shared" si="4"/>
        <v>1.2395723920951021E-2</v>
      </c>
      <c r="K25" s="65">
        <f t="shared" si="4"/>
        <v>2.6050793969678515E-3</v>
      </c>
      <c r="L25" s="65">
        <f t="shared" si="4"/>
        <v>0</v>
      </c>
      <c r="M25" s="65">
        <f t="shared" si="4"/>
        <v>4.3192834647487866E-5</v>
      </c>
      <c r="N25" s="65">
        <f t="shared" si="4"/>
        <v>0</v>
      </c>
      <c r="O25" s="65">
        <f t="shared" si="4"/>
        <v>0</v>
      </c>
      <c r="P25" s="65">
        <f t="shared" si="4"/>
        <v>2.8741496727464678E-3</v>
      </c>
      <c r="Q25" s="65">
        <f t="shared" si="4"/>
        <v>0</v>
      </c>
      <c r="R25" s="65">
        <f t="shared" si="4"/>
        <v>0</v>
      </c>
      <c r="S25" s="65">
        <f t="shared" si="4"/>
        <v>2.2284658334754376E-2</v>
      </c>
      <c r="T25" s="65">
        <f t="shared" si="4"/>
        <v>6.5788374501499613E-3</v>
      </c>
      <c r="U25" s="65">
        <f t="shared" si="4"/>
        <v>1.4916445741803646E-3</v>
      </c>
      <c r="V25" s="65">
        <f t="shared" si="4"/>
        <v>0</v>
      </c>
      <c r="W25" s="65">
        <f t="shared" si="4"/>
        <v>0</v>
      </c>
      <c r="X25" s="65">
        <f t="shared" si="4"/>
        <v>7.1304203951889009E-2</v>
      </c>
      <c r="Y25" s="65">
        <f t="shared" si="4"/>
        <v>2.642028900030817E-2</v>
      </c>
      <c r="Z25" s="65">
        <f t="shared" si="4"/>
        <v>9.4047616603061424E-3</v>
      </c>
      <c r="AA25" s="65">
        <f t="shared" si="4"/>
        <v>0</v>
      </c>
      <c r="AB25" s="65">
        <f t="shared" si="4"/>
        <v>8.2618317244222402E-5</v>
      </c>
      <c r="AC25" s="65">
        <f t="shared" si="4"/>
        <v>0</v>
      </c>
      <c r="AD25" s="65">
        <f t="shared" si="4"/>
        <v>1.3911300372774025E-2</v>
      </c>
      <c r="AE25" s="65">
        <f t="shared" si="4"/>
        <v>0</v>
      </c>
      <c r="AF25" s="65">
        <f t="shared" si="4"/>
        <v>1.1356749665079157E-3</v>
      </c>
      <c r="AG25" s="65">
        <f t="shared" si="4"/>
        <v>0</v>
      </c>
      <c r="AH25" s="65">
        <f t="shared" si="4"/>
        <v>0</v>
      </c>
      <c r="AI25" s="65">
        <f t="shared" si="4"/>
        <v>0</v>
      </c>
      <c r="AJ25" s="65">
        <f t="shared" si="4"/>
        <v>0</v>
      </c>
      <c r="AK25" s="65">
        <f t="shared" si="4"/>
        <v>0</v>
      </c>
      <c r="AL25" s="65">
        <f t="shared" si="4"/>
        <v>0</v>
      </c>
      <c r="AM25" s="65">
        <f t="shared" si="4"/>
        <v>0</v>
      </c>
      <c r="AN25" s="65">
        <f t="shared" si="4"/>
        <v>0.6</v>
      </c>
      <c r="AO25" s="65">
        <f t="shared" si="4"/>
        <v>0</v>
      </c>
      <c r="AP25" s="65">
        <f t="shared" si="4"/>
        <v>0</v>
      </c>
      <c r="AQ25" s="65">
        <f t="shared" si="4"/>
        <v>0</v>
      </c>
      <c r="AR25" s="65">
        <f t="shared" si="4"/>
        <v>0</v>
      </c>
      <c r="AS25" s="65">
        <f t="shared" si="4"/>
        <v>0</v>
      </c>
      <c r="AT25" s="65">
        <f t="shared" si="4"/>
        <v>0</v>
      </c>
      <c r="AU25" s="65">
        <f t="shared" si="4"/>
        <v>0</v>
      </c>
      <c r="AX25" s="19"/>
      <c r="AZ25" s="19"/>
      <c r="BA25" s="19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</row>
    <row r="26" spans="1:97" x14ac:dyDescent="0.25">
      <c r="A26" s="136"/>
      <c r="AX26" s="19"/>
      <c r="AZ26" s="19"/>
      <c r="BA26" s="19"/>
      <c r="BC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</row>
    <row r="27" spans="1:97" x14ac:dyDescent="0.25">
      <c r="A27" s="136">
        <v>11</v>
      </c>
      <c r="B27" s="136"/>
      <c r="C27" s="136" t="s">
        <v>416</v>
      </c>
      <c r="D27" s="23">
        <f>SUM(F27:AU27)</f>
        <v>11814.781536038918</v>
      </c>
      <c r="E27" s="99"/>
      <c r="F27" s="22">
        <v>5853.5414701431591</v>
      </c>
      <c r="G27" s="22">
        <v>468.72220188388661</v>
      </c>
      <c r="H27" s="22">
        <v>0</v>
      </c>
      <c r="I27" s="22">
        <v>16.704006095565624</v>
      </c>
      <c r="J27" s="22">
        <v>496.34760969680718</v>
      </c>
      <c r="K27" s="22">
        <v>26.249152435888842</v>
      </c>
      <c r="L27" s="22">
        <v>4.7725731701616079</v>
      </c>
      <c r="M27" s="22">
        <v>48.918874994156475</v>
      </c>
      <c r="N27" s="22">
        <v>5.9657164627020096</v>
      </c>
      <c r="O27" s="22">
        <v>13.124576217944421</v>
      </c>
      <c r="P27" s="22">
        <v>1.193143292540402</v>
      </c>
      <c r="Q27" s="22">
        <v>0</v>
      </c>
      <c r="R27" s="22">
        <v>0</v>
      </c>
      <c r="S27" s="22">
        <v>1001.1265550873592</v>
      </c>
      <c r="T27" s="22">
        <v>5.9768965425357674</v>
      </c>
      <c r="U27" s="22">
        <v>73.974884137504915</v>
      </c>
      <c r="V27" s="22">
        <v>4.7725731701616079</v>
      </c>
      <c r="W27" s="22">
        <v>14.317719510484823</v>
      </c>
      <c r="X27" s="22">
        <v>3262.0372755044455</v>
      </c>
      <c r="Y27" s="22">
        <v>21.881841289347147</v>
      </c>
      <c r="Z27" s="22">
        <v>268.4572408215904</v>
      </c>
      <c r="AA27" s="22">
        <v>0</v>
      </c>
      <c r="AB27" s="22">
        <v>8.3520030477828122</v>
      </c>
      <c r="AC27" s="22">
        <v>35.794298776212059</v>
      </c>
      <c r="AD27" s="22">
        <v>68.00916767480291</v>
      </c>
      <c r="AE27" s="22">
        <v>4.7725731701616079</v>
      </c>
      <c r="AF27" s="22">
        <v>4.7725731701616079</v>
      </c>
      <c r="AG27" s="22">
        <v>0</v>
      </c>
      <c r="AH27" s="22">
        <v>54.884591456858487</v>
      </c>
      <c r="AI27" s="22">
        <v>0</v>
      </c>
      <c r="AJ27" s="22">
        <v>48.918874994156475</v>
      </c>
      <c r="AK27" s="22">
        <v>0</v>
      </c>
      <c r="AL27" s="22">
        <v>1.193143292540402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X27" s="19"/>
      <c r="BA27" s="19"/>
    </row>
    <row r="28" spans="1:97" x14ac:dyDescent="0.25">
      <c r="A28" s="136">
        <v>12</v>
      </c>
      <c r="B28" s="136" t="s">
        <v>252</v>
      </c>
      <c r="D28" s="65">
        <f>SUM(F28:AU28)</f>
        <v>1</v>
      </c>
      <c r="E28" s="99"/>
      <c r="F28" s="65">
        <f t="shared" ref="F28:AU28" si="5">F27/$D27</f>
        <v>0.49544220959887902</v>
      </c>
      <c r="G28" s="65">
        <f t="shared" si="5"/>
        <v>3.9672523817231138E-2</v>
      </c>
      <c r="H28" s="65">
        <f t="shared" si="5"/>
        <v>0</v>
      </c>
      <c r="I28" s="65">
        <f t="shared" si="5"/>
        <v>1.4138226800565871E-3</v>
      </c>
      <c r="J28" s="65">
        <f t="shared" si="5"/>
        <v>4.2010731064538592E-2</v>
      </c>
      <c r="K28" s="65">
        <f t="shared" si="5"/>
        <v>2.2217213543746371E-3</v>
      </c>
      <c r="L28" s="65">
        <f t="shared" si="5"/>
        <v>4.03949337159025E-4</v>
      </c>
      <c r="M28" s="65">
        <f t="shared" si="5"/>
        <v>4.1404807058800057E-3</v>
      </c>
      <c r="N28" s="65">
        <f t="shared" si="5"/>
        <v>5.0493667144878122E-4</v>
      </c>
      <c r="O28" s="65">
        <f t="shared" si="5"/>
        <v>1.1108606771873186E-3</v>
      </c>
      <c r="P28" s="65">
        <f t="shared" si="5"/>
        <v>1.0098733428975625E-4</v>
      </c>
      <c r="Q28" s="65">
        <f t="shared" si="5"/>
        <v>0</v>
      </c>
      <c r="R28" s="65">
        <f t="shared" si="5"/>
        <v>0</v>
      </c>
      <c r="S28" s="65">
        <f t="shared" si="5"/>
        <v>8.4735088163382308E-2</v>
      </c>
      <c r="T28" s="65">
        <f t="shared" si="5"/>
        <v>5.0588295046373E-4</v>
      </c>
      <c r="U28" s="65">
        <f t="shared" si="5"/>
        <v>6.2612147259648865E-3</v>
      </c>
      <c r="V28" s="65">
        <f t="shared" si="5"/>
        <v>4.03949337159025E-4</v>
      </c>
      <c r="W28" s="65">
        <f t="shared" si="5"/>
        <v>1.2118480114770749E-3</v>
      </c>
      <c r="X28" s="65">
        <f t="shared" si="5"/>
        <v>0.27609797655201435</v>
      </c>
      <c r="Y28" s="65">
        <f t="shared" si="5"/>
        <v>1.8520732882449354E-3</v>
      </c>
      <c r="Z28" s="65">
        <f t="shared" si="5"/>
        <v>2.2722150215195153E-2</v>
      </c>
      <c r="AA28" s="65">
        <f t="shared" si="5"/>
        <v>0</v>
      </c>
      <c r="AB28" s="65">
        <f t="shared" si="5"/>
        <v>7.0691134002829356E-4</v>
      </c>
      <c r="AC28" s="65">
        <f t="shared" si="5"/>
        <v>3.0296200286926873E-3</v>
      </c>
      <c r="AD28" s="65">
        <f t="shared" si="5"/>
        <v>5.7562780545161061E-3</v>
      </c>
      <c r="AE28" s="65">
        <f t="shared" si="5"/>
        <v>4.03949337159025E-4</v>
      </c>
      <c r="AF28" s="65">
        <f t="shared" si="5"/>
        <v>4.03949337159025E-4</v>
      </c>
      <c r="AG28" s="65">
        <f t="shared" si="5"/>
        <v>0</v>
      </c>
      <c r="AH28" s="65">
        <f t="shared" si="5"/>
        <v>4.6454173773287869E-3</v>
      </c>
      <c r="AI28" s="65">
        <f t="shared" si="5"/>
        <v>0</v>
      </c>
      <c r="AJ28" s="65">
        <f t="shared" si="5"/>
        <v>4.1404807058800057E-3</v>
      </c>
      <c r="AK28" s="65">
        <f t="shared" si="5"/>
        <v>0</v>
      </c>
      <c r="AL28" s="65">
        <f t="shared" si="5"/>
        <v>1.0098733428975625E-4</v>
      </c>
      <c r="AM28" s="65">
        <f t="shared" si="5"/>
        <v>0</v>
      </c>
      <c r="AN28" s="65">
        <f t="shared" si="5"/>
        <v>0</v>
      </c>
      <c r="AO28" s="65">
        <f t="shared" si="5"/>
        <v>0</v>
      </c>
      <c r="AP28" s="65">
        <f t="shared" si="5"/>
        <v>0</v>
      </c>
      <c r="AQ28" s="65">
        <f t="shared" si="5"/>
        <v>0</v>
      </c>
      <c r="AR28" s="65">
        <f t="shared" si="5"/>
        <v>0</v>
      </c>
      <c r="AS28" s="65">
        <f t="shared" si="5"/>
        <v>0</v>
      </c>
      <c r="AT28" s="65">
        <f t="shared" si="5"/>
        <v>0</v>
      </c>
      <c r="AU28" s="65">
        <f t="shared" si="5"/>
        <v>0</v>
      </c>
      <c r="AX28" s="19"/>
      <c r="AZ28" s="19"/>
      <c r="BA28" s="19"/>
      <c r="BC28" s="61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</row>
    <row r="29" spans="1:97" x14ac:dyDescent="0.25">
      <c r="A29" s="136"/>
      <c r="C29" s="136"/>
      <c r="AX29" s="19"/>
      <c r="AZ29" s="19"/>
      <c r="BA29" s="19"/>
      <c r="BC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</row>
    <row r="30" spans="1:97" x14ac:dyDescent="0.25">
      <c r="A30" s="136">
        <v>13</v>
      </c>
      <c r="B30" s="136"/>
      <c r="C30" s="136" t="s">
        <v>417</v>
      </c>
      <c r="D30" s="23">
        <f>SUM(F30:AU30)</f>
        <v>1007</v>
      </c>
      <c r="F30" s="22">
        <f>0</f>
        <v>0</v>
      </c>
      <c r="G30" s="22">
        <f>0</f>
        <v>0</v>
      </c>
      <c r="H30" s="22">
        <f t="shared" ref="H30:R30" si="6">H93</f>
        <v>0</v>
      </c>
      <c r="I30" s="22">
        <f t="shared" si="6"/>
        <v>14</v>
      </c>
      <c r="J30" s="22">
        <f t="shared" si="6"/>
        <v>416</v>
      </c>
      <c r="K30" s="22">
        <f t="shared" si="6"/>
        <v>22</v>
      </c>
      <c r="L30" s="22">
        <f t="shared" si="6"/>
        <v>4</v>
      </c>
      <c r="M30" s="22">
        <f t="shared" si="6"/>
        <v>41</v>
      </c>
      <c r="N30" s="22">
        <f t="shared" si="6"/>
        <v>5</v>
      </c>
      <c r="O30" s="22">
        <f t="shared" si="6"/>
        <v>11</v>
      </c>
      <c r="P30" s="22">
        <f t="shared" si="6"/>
        <v>1</v>
      </c>
      <c r="Q30" s="22">
        <f t="shared" si="6"/>
        <v>0</v>
      </c>
      <c r="R30" s="22">
        <f t="shared" si="6"/>
        <v>0</v>
      </c>
      <c r="S30" s="22">
        <v>0</v>
      </c>
      <c r="T30" s="22">
        <v>0</v>
      </c>
      <c r="U30" s="22">
        <f>U93</f>
        <v>62</v>
      </c>
      <c r="V30" s="22">
        <f>V93</f>
        <v>4</v>
      </c>
      <c r="W30" s="22">
        <f>W93</f>
        <v>12</v>
      </c>
      <c r="X30" s="22">
        <v>0</v>
      </c>
      <c r="Y30" s="22">
        <v>0</v>
      </c>
      <c r="Z30" s="22">
        <f t="shared" ref="Z30:AL30" si="7">Z93</f>
        <v>225</v>
      </c>
      <c r="AA30" s="22">
        <f t="shared" si="7"/>
        <v>0</v>
      </c>
      <c r="AB30" s="22">
        <f t="shared" si="7"/>
        <v>7</v>
      </c>
      <c r="AC30" s="22">
        <f t="shared" si="7"/>
        <v>30</v>
      </c>
      <c r="AD30" s="22">
        <f t="shared" si="7"/>
        <v>57</v>
      </c>
      <c r="AE30" s="22">
        <f t="shared" si="7"/>
        <v>4</v>
      </c>
      <c r="AF30" s="22">
        <f t="shared" si="7"/>
        <v>4</v>
      </c>
      <c r="AG30" s="22">
        <f t="shared" si="7"/>
        <v>0</v>
      </c>
      <c r="AH30" s="22">
        <f t="shared" si="7"/>
        <v>46</v>
      </c>
      <c r="AI30" s="22">
        <f t="shared" si="7"/>
        <v>0</v>
      </c>
      <c r="AJ30" s="22">
        <f t="shared" si="7"/>
        <v>41</v>
      </c>
      <c r="AK30" s="22">
        <f t="shared" si="7"/>
        <v>0</v>
      </c>
      <c r="AL30" s="22">
        <f t="shared" si="7"/>
        <v>1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X30" s="19"/>
      <c r="BA30" s="19"/>
    </row>
    <row r="31" spans="1:97" x14ac:dyDescent="0.25">
      <c r="A31" s="136">
        <v>14</v>
      </c>
      <c r="B31" s="136" t="s">
        <v>306</v>
      </c>
      <c r="C31" s="136"/>
      <c r="D31" s="65">
        <f>SUM(F31:AU31)</f>
        <v>1</v>
      </c>
      <c r="F31" s="65">
        <f t="shared" ref="F31:AU31" si="8">F30/$D30</f>
        <v>0</v>
      </c>
      <c r="G31" s="65">
        <f t="shared" si="8"/>
        <v>0</v>
      </c>
      <c r="H31" s="65">
        <f t="shared" si="8"/>
        <v>0</v>
      </c>
      <c r="I31" s="65">
        <f t="shared" si="8"/>
        <v>1.3902681231380337E-2</v>
      </c>
      <c r="J31" s="65">
        <f t="shared" si="8"/>
        <v>0.41310824230387289</v>
      </c>
      <c r="K31" s="65">
        <f t="shared" si="8"/>
        <v>2.1847070506454815E-2</v>
      </c>
      <c r="L31" s="65">
        <f t="shared" si="8"/>
        <v>3.9721946375372392E-3</v>
      </c>
      <c r="M31" s="65">
        <f t="shared" si="8"/>
        <v>4.0714995034756701E-2</v>
      </c>
      <c r="N31" s="65">
        <f t="shared" si="8"/>
        <v>4.9652432969215492E-3</v>
      </c>
      <c r="O31" s="65">
        <f t="shared" si="8"/>
        <v>1.0923535253227408E-2</v>
      </c>
      <c r="P31" s="65">
        <f t="shared" si="8"/>
        <v>9.930486593843098E-4</v>
      </c>
      <c r="Q31" s="65">
        <f t="shared" si="8"/>
        <v>0</v>
      </c>
      <c r="R31" s="65">
        <f t="shared" si="8"/>
        <v>0</v>
      </c>
      <c r="S31" s="65">
        <f t="shared" si="8"/>
        <v>0</v>
      </c>
      <c r="T31" s="65">
        <f t="shared" si="8"/>
        <v>0</v>
      </c>
      <c r="U31" s="65">
        <f t="shared" si="8"/>
        <v>6.1569016881827213E-2</v>
      </c>
      <c r="V31" s="65">
        <f t="shared" si="8"/>
        <v>3.9721946375372392E-3</v>
      </c>
      <c r="W31" s="65">
        <f t="shared" si="8"/>
        <v>1.1916583912611719E-2</v>
      </c>
      <c r="X31" s="65">
        <f t="shared" si="8"/>
        <v>0</v>
      </c>
      <c r="Y31" s="65">
        <f t="shared" si="8"/>
        <v>0</v>
      </c>
      <c r="Z31" s="65">
        <f t="shared" si="8"/>
        <v>0.22343594836146971</v>
      </c>
      <c r="AA31" s="65">
        <f t="shared" si="8"/>
        <v>0</v>
      </c>
      <c r="AB31" s="65">
        <f t="shared" si="8"/>
        <v>6.9513406156901684E-3</v>
      </c>
      <c r="AC31" s="65">
        <f t="shared" si="8"/>
        <v>2.9791459781529295E-2</v>
      </c>
      <c r="AD31" s="65">
        <f t="shared" si="8"/>
        <v>5.6603773584905662E-2</v>
      </c>
      <c r="AE31" s="65">
        <f t="shared" si="8"/>
        <v>3.9721946375372392E-3</v>
      </c>
      <c r="AF31" s="65">
        <f t="shared" si="8"/>
        <v>3.9721946375372392E-3</v>
      </c>
      <c r="AG31" s="65">
        <f t="shared" si="8"/>
        <v>0</v>
      </c>
      <c r="AH31" s="65">
        <f t="shared" si="8"/>
        <v>4.5680238331678252E-2</v>
      </c>
      <c r="AI31" s="65">
        <f t="shared" si="8"/>
        <v>0</v>
      </c>
      <c r="AJ31" s="65">
        <f t="shared" si="8"/>
        <v>4.0714995034756701E-2</v>
      </c>
      <c r="AK31" s="65">
        <f t="shared" si="8"/>
        <v>0</v>
      </c>
      <c r="AL31" s="65">
        <f t="shared" si="8"/>
        <v>9.930486593843098E-4</v>
      </c>
      <c r="AM31" s="65">
        <f t="shared" si="8"/>
        <v>0</v>
      </c>
      <c r="AN31" s="65">
        <f t="shared" si="8"/>
        <v>0</v>
      </c>
      <c r="AO31" s="65">
        <f t="shared" si="8"/>
        <v>0</v>
      </c>
      <c r="AP31" s="65">
        <f t="shared" si="8"/>
        <v>0</v>
      </c>
      <c r="AQ31" s="65">
        <f t="shared" si="8"/>
        <v>0</v>
      </c>
      <c r="AR31" s="65">
        <f t="shared" si="8"/>
        <v>0</v>
      </c>
      <c r="AS31" s="65">
        <f t="shared" si="8"/>
        <v>0</v>
      </c>
      <c r="AT31" s="65">
        <f t="shared" si="8"/>
        <v>0</v>
      </c>
      <c r="AU31" s="65">
        <f t="shared" si="8"/>
        <v>0</v>
      </c>
      <c r="AX31" s="19"/>
      <c r="AZ31" s="19"/>
      <c r="BA31" s="19"/>
      <c r="BC31" s="61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</row>
    <row r="32" spans="1:97" x14ac:dyDescent="0.25">
      <c r="A32" s="136"/>
      <c r="AX32" s="19"/>
      <c r="AZ32" s="19"/>
      <c r="BA32" s="19"/>
      <c r="BC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</row>
    <row r="33" spans="1:97" x14ac:dyDescent="0.25">
      <c r="A33" s="136">
        <v>15</v>
      </c>
      <c r="B33" s="136"/>
      <c r="C33" s="136" t="s">
        <v>416</v>
      </c>
      <c r="D33" s="22">
        <f>SUM(F33:AU33)</f>
        <v>221666.94362098607</v>
      </c>
      <c r="E33" s="22"/>
      <c r="F33" s="22">
        <v>37289.0806048593</v>
      </c>
      <c r="G33" s="22">
        <v>33276.5000177783</v>
      </c>
      <c r="H33" s="22">
        <v>0</v>
      </c>
      <c r="I33" s="22">
        <v>117.37107587953675</v>
      </c>
      <c r="J33" s="22">
        <v>3818.2529526989774</v>
      </c>
      <c r="K33" s="22">
        <v>802.44221014601555</v>
      </c>
      <c r="L33" s="22">
        <v>0</v>
      </c>
      <c r="M33" s="22">
        <v>13.304682282368566</v>
      </c>
      <c r="N33" s="22">
        <v>0</v>
      </c>
      <c r="O33" s="22">
        <v>0</v>
      </c>
      <c r="P33" s="22">
        <v>885.32388624068676</v>
      </c>
      <c r="Q33" s="22">
        <v>0</v>
      </c>
      <c r="R33" s="22">
        <v>229.33872410753884</v>
      </c>
      <c r="S33" s="22">
        <v>6864.3399150531932</v>
      </c>
      <c r="T33" s="22">
        <v>2026.4782984481378</v>
      </c>
      <c r="U33" s="22">
        <v>459.47105115137322</v>
      </c>
      <c r="V33" s="22">
        <v>0</v>
      </c>
      <c r="W33" s="22">
        <v>0</v>
      </c>
      <c r="X33" s="22">
        <v>21963.823090556718</v>
      </c>
      <c r="Y33" s="22">
        <v>8138.2375995066004</v>
      </c>
      <c r="Z33" s="22">
        <v>2896.9473027872186</v>
      </c>
      <c r="AA33" s="22">
        <v>0</v>
      </c>
      <c r="AB33" s="22">
        <v>25.448907685947447</v>
      </c>
      <c r="AC33" s="22">
        <v>0</v>
      </c>
      <c r="AD33" s="22">
        <v>4285.0957364780998</v>
      </c>
      <c r="AE33" s="22">
        <v>0</v>
      </c>
      <c r="AF33" s="22">
        <v>349.82178707982018</v>
      </c>
      <c r="AG33" s="22">
        <v>0</v>
      </c>
      <c r="AH33" s="22">
        <v>1188.4642910418909</v>
      </c>
      <c r="AI33" s="22">
        <v>0</v>
      </c>
      <c r="AJ33" s="22">
        <v>15011.330845374086</v>
      </c>
      <c r="AK33" s="22">
        <v>0</v>
      </c>
      <c r="AL33" s="22">
        <v>1488.7928526797598</v>
      </c>
      <c r="AM33" s="22">
        <v>0</v>
      </c>
      <c r="AN33" s="22">
        <v>0</v>
      </c>
      <c r="AO33" s="22">
        <v>0</v>
      </c>
      <c r="AP33" s="22">
        <v>849.41146366427847</v>
      </c>
      <c r="AQ33" s="22">
        <v>0</v>
      </c>
      <c r="AR33" s="22">
        <v>79460.875127942694</v>
      </c>
      <c r="AS33" s="22">
        <v>0</v>
      </c>
      <c r="AT33" s="22">
        <v>0</v>
      </c>
      <c r="AU33" s="22">
        <v>226.79119754350052</v>
      </c>
      <c r="AX33" s="19"/>
      <c r="BA33" s="19"/>
    </row>
    <row r="34" spans="1:97" x14ac:dyDescent="0.25">
      <c r="A34" s="136">
        <v>16</v>
      </c>
      <c r="B34" s="136" t="s">
        <v>244</v>
      </c>
      <c r="D34" s="65">
        <f>SUM(F34:AU34)</f>
        <v>0.99999999999999978</v>
      </c>
      <c r="F34" s="65">
        <f t="shared" ref="F34:AU34" si="9">F33/$D33</f>
        <v>0.16822120608392327</v>
      </c>
      <c r="G34" s="65">
        <f t="shared" si="9"/>
        <v>0.15011936139055371</v>
      </c>
      <c r="H34" s="65">
        <f t="shared" si="9"/>
        <v>0</v>
      </c>
      <c r="I34" s="65">
        <f t="shared" si="9"/>
        <v>5.294929138384383E-4</v>
      </c>
      <c r="J34" s="65">
        <f t="shared" si="9"/>
        <v>1.7225179768921975E-2</v>
      </c>
      <c r="K34" s="65">
        <f t="shared" si="9"/>
        <v>3.6200355228340202E-3</v>
      </c>
      <c r="L34" s="65">
        <f t="shared" si="9"/>
        <v>0</v>
      </c>
      <c r="M34" s="65">
        <f t="shared" si="9"/>
        <v>6.0021048086977637E-5</v>
      </c>
      <c r="N34" s="65">
        <f t="shared" si="9"/>
        <v>0</v>
      </c>
      <c r="O34" s="65">
        <f t="shared" si="9"/>
        <v>0</v>
      </c>
      <c r="P34" s="65">
        <f t="shared" si="9"/>
        <v>3.9939373538457976E-3</v>
      </c>
      <c r="Q34" s="65">
        <f t="shared" si="9"/>
        <v>0</v>
      </c>
      <c r="R34" s="65">
        <f t="shared" si="9"/>
        <v>1.0346094927878387E-3</v>
      </c>
      <c r="S34" s="65">
        <f t="shared" si="9"/>
        <v>3.0966908294590298E-2</v>
      </c>
      <c r="T34" s="65">
        <f t="shared" si="9"/>
        <v>9.1419959392460507E-3</v>
      </c>
      <c r="U34" s="65">
        <f t="shared" si="9"/>
        <v>2.0727991447249479E-3</v>
      </c>
      <c r="V34" s="65">
        <f t="shared" si="9"/>
        <v>0</v>
      </c>
      <c r="W34" s="65">
        <f t="shared" si="9"/>
        <v>0</v>
      </c>
      <c r="X34" s="65">
        <f t="shared" si="9"/>
        <v>9.9084792399678837E-2</v>
      </c>
      <c r="Y34" s="65">
        <f t="shared" si="9"/>
        <v>3.6713807961468739E-2</v>
      </c>
      <c r="Z34" s="65">
        <f t="shared" si="9"/>
        <v>1.3068918872001596E-2</v>
      </c>
      <c r="AA34" s="65">
        <f t="shared" si="9"/>
        <v>0</v>
      </c>
      <c r="AB34" s="65">
        <f t="shared" si="9"/>
        <v>1.1480695890074112E-4</v>
      </c>
      <c r="AC34" s="65">
        <f t="shared" si="9"/>
        <v>0</v>
      </c>
      <c r="AD34" s="65">
        <f t="shared" si="9"/>
        <v>1.9331234808762948E-2</v>
      </c>
      <c r="AE34" s="65">
        <f t="shared" si="9"/>
        <v>0</v>
      </c>
      <c r="AF34" s="65">
        <f t="shared" si="9"/>
        <v>1.5781414286018115E-3</v>
      </c>
      <c r="AG34" s="65">
        <f t="shared" si="9"/>
        <v>0</v>
      </c>
      <c r="AH34" s="65">
        <f t="shared" si="9"/>
        <v>5.3614863435567954E-3</v>
      </c>
      <c r="AI34" s="65">
        <f t="shared" si="9"/>
        <v>0</v>
      </c>
      <c r="AJ34" s="65">
        <f t="shared" si="9"/>
        <v>6.7720204917161617E-2</v>
      </c>
      <c r="AK34" s="65">
        <f t="shared" si="9"/>
        <v>0</v>
      </c>
      <c r="AL34" s="65">
        <f t="shared" si="9"/>
        <v>6.7163503423647601E-3</v>
      </c>
      <c r="AM34" s="65">
        <f t="shared" si="9"/>
        <v>0</v>
      </c>
      <c r="AN34" s="65">
        <f t="shared" si="9"/>
        <v>0</v>
      </c>
      <c r="AO34" s="65">
        <f t="shared" si="9"/>
        <v>0</v>
      </c>
      <c r="AP34" s="65">
        <f t="shared" si="9"/>
        <v>3.8319266273487852E-3</v>
      </c>
      <c r="AQ34" s="65">
        <f t="shared" si="9"/>
        <v>0</v>
      </c>
      <c r="AR34" s="65">
        <f t="shared" si="9"/>
        <v>0.35846966548069381</v>
      </c>
      <c r="AS34" s="65">
        <f t="shared" si="9"/>
        <v>0</v>
      </c>
      <c r="AT34" s="65">
        <f t="shared" si="9"/>
        <v>0</v>
      </c>
      <c r="AU34" s="65">
        <f t="shared" si="9"/>
        <v>1.0231169061061087E-3</v>
      </c>
      <c r="AX34" s="19"/>
      <c r="AZ34" s="19"/>
      <c r="BA34" s="19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</row>
    <row r="35" spans="1:97" x14ac:dyDescent="0.25">
      <c r="A35" s="136"/>
      <c r="AX35" s="19"/>
      <c r="AZ35" s="19"/>
      <c r="BA35" s="19"/>
      <c r="BC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</row>
    <row r="36" spans="1:97" x14ac:dyDescent="0.25">
      <c r="A36" s="136">
        <v>17</v>
      </c>
      <c r="B36" s="136"/>
      <c r="C36" s="136" t="s">
        <v>416</v>
      </c>
      <c r="D36" s="23">
        <f>SUM(F36:AU36)</f>
        <v>26808.799065455012</v>
      </c>
      <c r="F36" s="22">
        <v>4890.8182686328682</v>
      </c>
      <c r="G36" s="22">
        <v>4690.0098488386266</v>
      </c>
      <c r="H36" s="22">
        <v>0</v>
      </c>
      <c r="I36" s="22">
        <v>26.82468835221583</v>
      </c>
      <c r="J36" s="22">
        <v>1044.7392631101807</v>
      </c>
      <c r="K36" s="22">
        <v>373.45755201272976</v>
      </c>
      <c r="L36" s="22">
        <v>308.05829173698538</v>
      </c>
      <c r="M36" s="22">
        <v>51.486317361026416</v>
      </c>
      <c r="N36" s="22">
        <v>15.367376160825708</v>
      </c>
      <c r="O36" s="22">
        <v>316.13014170480614</v>
      </c>
      <c r="P36" s="22">
        <v>184.69033433949951</v>
      </c>
      <c r="Q36" s="22">
        <v>0</v>
      </c>
      <c r="R36" s="22">
        <v>0</v>
      </c>
      <c r="S36" s="22">
        <v>967.20975836323214</v>
      </c>
      <c r="T36" s="22">
        <v>320.7465255571995</v>
      </c>
      <c r="U36" s="22">
        <v>908.62634712084412</v>
      </c>
      <c r="V36" s="22">
        <v>124.0357655982945</v>
      </c>
      <c r="W36" s="22">
        <v>1052.6576447006364</v>
      </c>
      <c r="X36" s="22">
        <v>3183.3982280452387</v>
      </c>
      <c r="Y36" s="22">
        <v>1290.3010785052434</v>
      </c>
      <c r="Z36" s="22">
        <v>580.57876418833428</v>
      </c>
      <c r="AA36" s="22">
        <v>0.23276458131852343</v>
      </c>
      <c r="AB36" s="22">
        <v>4.3087845303436483</v>
      </c>
      <c r="AC36" s="22">
        <v>53.873061399626202</v>
      </c>
      <c r="AD36" s="22">
        <v>698.00888981726109</v>
      </c>
      <c r="AE36" s="22">
        <v>74.324220158756916</v>
      </c>
      <c r="AF36" s="22">
        <v>88.088462485225747</v>
      </c>
      <c r="AG36" s="22">
        <v>0</v>
      </c>
      <c r="AH36" s="22">
        <v>385.07676739693966</v>
      </c>
      <c r="AI36" s="22">
        <v>36.708324768726953</v>
      </c>
      <c r="AJ36" s="22">
        <v>4854.4912146750057</v>
      </c>
      <c r="AK36" s="22">
        <v>40.841901585728465</v>
      </c>
      <c r="AL36" s="22">
        <v>243.70847972729035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X36" s="19"/>
      <c r="BA36" s="19"/>
    </row>
    <row r="37" spans="1:97" x14ac:dyDescent="0.25">
      <c r="A37" s="136">
        <v>18</v>
      </c>
      <c r="B37" s="136" t="s">
        <v>381</v>
      </c>
      <c r="D37" s="65">
        <f>SUM(F37:AU37)</f>
        <v>1</v>
      </c>
      <c r="F37" s="65">
        <f t="shared" ref="F37:AU37" si="10">F36/$D36</f>
        <v>0.18243332186166539</v>
      </c>
      <c r="G37" s="65">
        <f t="shared" si="10"/>
        <v>0.1749429296473794</v>
      </c>
      <c r="H37" s="65">
        <f t="shared" si="10"/>
        <v>0</v>
      </c>
      <c r="I37" s="65">
        <f t="shared" si="10"/>
        <v>1.0005926892406492E-3</v>
      </c>
      <c r="J37" s="65">
        <f t="shared" si="10"/>
        <v>3.8970013560077718E-2</v>
      </c>
      <c r="K37" s="65">
        <f t="shared" si="10"/>
        <v>1.3930409605477465E-2</v>
      </c>
      <c r="L37" s="65">
        <f t="shared" si="10"/>
        <v>1.1490939634589591E-2</v>
      </c>
      <c r="M37" s="65">
        <f t="shared" si="10"/>
        <v>1.9205006996143325E-3</v>
      </c>
      <c r="N37" s="65">
        <f t="shared" si="10"/>
        <v>5.7322135629072745E-4</v>
      </c>
      <c r="O37" s="65">
        <f t="shared" si="10"/>
        <v>1.1792029211489807E-2</v>
      </c>
      <c r="P37" s="65">
        <f t="shared" si="10"/>
        <v>6.8891685110015147E-3</v>
      </c>
      <c r="Q37" s="65">
        <f t="shared" si="10"/>
        <v>0</v>
      </c>
      <c r="R37" s="65">
        <f t="shared" si="10"/>
        <v>0</v>
      </c>
      <c r="S37" s="65">
        <f t="shared" si="10"/>
        <v>3.6078071084114642E-2</v>
      </c>
      <c r="T37" s="65">
        <f t="shared" si="10"/>
        <v>1.1964225804150382E-2</v>
      </c>
      <c r="U37" s="65">
        <f t="shared" si="10"/>
        <v>3.3892840365672028E-2</v>
      </c>
      <c r="V37" s="65">
        <f t="shared" si="10"/>
        <v>4.6266811614893693E-3</v>
      </c>
      <c r="W37" s="65">
        <f t="shared" si="10"/>
        <v>3.9265378584490883E-2</v>
      </c>
      <c r="X37" s="65">
        <f t="shared" si="10"/>
        <v>0.11874452937159975</v>
      </c>
      <c r="Y37" s="65">
        <f t="shared" si="10"/>
        <v>4.8129760507171888E-2</v>
      </c>
      <c r="Z37" s="65">
        <f t="shared" si="10"/>
        <v>2.1656276462471237E-2</v>
      </c>
      <c r="AA37" s="65">
        <f t="shared" si="10"/>
        <v>8.6823949386996849E-6</v>
      </c>
      <c r="AB37" s="65">
        <f t="shared" si="10"/>
        <v>1.6072277313965229E-4</v>
      </c>
      <c r="AC37" s="65">
        <f t="shared" si="10"/>
        <v>2.0095290828989563E-3</v>
      </c>
      <c r="AD37" s="65">
        <f t="shared" si="10"/>
        <v>2.6036559418907122E-2</v>
      </c>
      <c r="AE37" s="65">
        <f t="shared" si="10"/>
        <v>2.7723815594011001E-3</v>
      </c>
      <c r="AF37" s="65">
        <f t="shared" si="10"/>
        <v>3.285804122376142E-3</v>
      </c>
      <c r="AG37" s="65">
        <f t="shared" si="10"/>
        <v>0</v>
      </c>
      <c r="AH37" s="65">
        <f t="shared" si="10"/>
        <v>1.4363820119534472E-2</v>
      </c>
      <c r="AI37" s="65">
        <f t="shared" si="10"/>
        <v>1.3692640494302546E-3</v>
      </c>
      <c r="AJ37" s="65">
        <f t="shared" si="10"/>
        <v>0.18107827966566217</v>
      </c>
      <c r="AK37" s="65">
        <f t="shared" si="10"/>
        <v>1.5234513670683621E-3</v>
      </c>
      <c r="AL37" s="65">
        <f t="shared" si="10"/>
        <v>9.0906153286562374E-3</v>
      </c>
      <c r="AM37" s="65">
        <f t="shared" si="10"/>
        <v>0</v>
      </c>
      <c r="AN37" s="65">
        <f t="shared" si="10"/>
        <v>0</v>
      </c>
      <c r="AO37" s="65">
        <f t="shared" si="10"/>
        <v>0</v>
      </c>
      <c r="AP37" s="65">
        <f t="shared" si="10"/>
        <v>0</v>
      </c>
      <c r="AQ37" s="65">
        <f t="shared" si="10"/>
        <v>0</v>
      </c>
      <c r="AR37" s="65">
        <f t="shared" si="10"/>
        <v>0</v>
      </c>
      <c r="AS37" s="65">
        <f t="shared" si="10"/>
        <v>0</v>
      </c>
      <c r="AT37" s="65">
        <f t="shared" si="10"/>
        <v>0</v>
      </c>
      <c r="AU37" s="65">
        <f t="shared" si="10"/>
        <v>0</v>
      </c>
      <c r="AX37" s="19"/>
      <c r="AZ37" s="19"/>
      <c r="BA37" s="19"/>
      <c r="BC37" s="61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30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</row>
    <row r="38" spans="1:97" x14ac:dyDescent="0.25">
      <c r="A38" s="136"/>
      <c r="AX38" s="19"/>
      <c r="AZ38" s="19"/>
      <c r="BA38" s="19"/>
      <c r="BC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  <c r="CQ38" s="167"/>
      <c r="CR38" s="167"/>
      <c r="CS38" s="167"/>
    </row>
    <row r="39" spans="1:97" x14ac:dyDescent="0.25">
      <c r="A39" s="136">
        <v>19</v>
      </c>
      <c r="B39" s="136"/>
      <c r="C39" s="136" t="s">
        <v>416</v>
      </c>
      <c r="D39" s="23">
        <f>SUM(F39:AU39)</f>
        <v>41301.951594272257</v>
      </c>
      <c r="F39" s="22">
        <v>7959.1593364396213</v>
      </c>
      <c r="G39" s="22">
        <v>7102.6949848159902</v>
      </c>
      <c r="H39" s="22">
        <v>0</v>
      </c>
      <c r="I39" s="22">
        <v>25.052242620667933</v>
      </c>
      <c r="J39" s="22">
        <v>814.98613386037619</v>
      </c>
      <c r="K39" s="22">
        <v>171.27709520423568</v>
      </c>
      <c r="L39" s="22">
        <v>0</v>
      </c>
      <c r="M39" s="22">
        <v>2.8398148865133743</v>
      </c>
      <c r="N39" s="22">
        <v>0</v>
      </c>
      <c r="O39" s="22">
        <v>0</v>
      </c>
      <c r="P39" s="22">
        <v>188.96775572491106</v>
      </c>
      <c r="Q39" s="22">
        <v>0</v>
      </c>
      <c r="R39" s="22">
        <v>52.504807497179932</v>
      </c>
      <c r="S39" s="22">
        <v>1465.1574733722757</v>
      </c>
      <c r="T39" s="22">
        <v>432.54119993196952</v>
      </c>
      <c r="U39" s="22">
        <v>98.071694106574967</v>
      </c>
      <c r="V39" s="22">
        <v>0</v>
      </c>
      <c r="W39" s="22">
        <v>0</v>
      </c>
      <c r="X39" s="22">
        <v>4688.0632286850196</v>
      </c>
      <c r="Y39" s="22">
        <v>1737.0642751603807</v>
      </c>
      <c r="Z39" s="22">
        <v>618.33825876489379</v>
      </c>
      <c r="AA39" s="22">
        <v>0</v>
      </c>
      <c r="AB39" s="22">
        <v>5.4319363182261791</v>
      </c>
      <c r="AC39" s="22">
        <v>0</v>
      </c>
      <c r="AD39" s="22">
        <v>914.63128576258896</v>
      </c>
      <c r="AE39" s="22">
        <v>0</v>
      </c>
      <c r="AF39" s="22">
        <v>74.667631852620985</v>
      </c>
      <c r="AG39" s="22">
        <v>0</v>
      </c>
      <c r="AH39" s="22">
        <v>200.49931143562566</v>
      </c>
      <c r="AI39" s="22">
        <v>0</v>
      </c>
      <c r="AJ39" s="22">
        <v>2532.4795375983113</v>
      </c>
      <c r="AK39" s="22">
        <v>0</v>
      </c>
      <c r="AL39" s="22">
        <v>251.16610072557168</v>
      </c>
      <c r="AM39" s="22">
        <v>0</v>
      </c>
      <c r="AN39" s="22">
        <v>0</v>
      </c>
      <c r="AO39" s="22">
        <v>0</v>
      </c>
      <c r="AP39" s="22">
        <v>194.46426049129991</v>
      </c>
      <c r="AQ39" s="22">
        <v>0</v>
      </c>
      <c r="AR39" s="22">
        <v>11735.744980040941</v>
      </c>
      <c r="AS39" s="22">
        <v>0</v>
      </c>
      <c r="AT39" s="22">
        <v>0</v>
      </c>
      <c r="AU39" s="22">
        <v>36.148248976458547</v>
      </c>
      <c r="AX39" s="19"/>
      <c r="BA39" s="19"/>
    </row>
    <row r="40" spans="1:97" x14ac:dyDescent="0.25">
      <c r="A40" s="136">
        <v>20</v>
      </c>
      <c r="B40" s="136" t="s">
        <v>250</v>
      </c>
      <c r="D40" s="65">
        <f>SUM(F40:AU40)</f>
        <v>1</v>
      </c>
      <c r="F40" s="65">
        <f t="shared" ref="F40:AU40" si="11">F39/$D39</f>
        <v>0.19270661625450636</v>
      </c>
      <c r="G40" s="65">
        <f t="shared" si="11"/>
        <v>0.17196996051394797</v>
      </c>
      <c r="H40" s="65">
        <f t="shared" si="11"/>
        <v>0</v>
      </c>
      <c r="I40" s="65">
        <f t="shared" si="11"/>
        <v>6.0656316841314027E-4</v>
      </c>
      <c r="J40" s="65">
        <f t="shared" si="11"/>
        <v>1.9732387996246603E-2</v>
      </c>
      <c r="K40" s="65">
        <f t="shared" si="11"/>
        <v>4.1469492019836742E-3</v>
      </c>
      <c r="L40" s="65">
        <f t="shared" si="11"/>
        <v>0</v>
      </c>
      <c r="M40" s="65">
        <f t="shared" si="11"/>
        <v>6.8757401936115758E-5</v>
      </c>
      <c r="N40" s="65">
        <f t="shared" si="11"/>
        <v>0</v>
      </c>
      <c r="O40" s="65">
        <f t="shared" si="11"/>
        <v>0</v>
      </c>
      <c r="P40" s="65">
        <f t="shared" si="11"/>
        <v>4.5752742529269986E-3</v>
      </c>
      <c r="Q40" s="65">
        <f t="shared" si="11"/>
        <v>0</v>
      </c>
      <c r="R40" s="65">
        <f t="shared" si="11"/>
        <v>1.2712427735366695E-3</v>
      </c>
      <c r="S40" s="65">
        <f t="shared" si="11"/>
        <v>3.5474291572591535E-2</v>
      </c>
      <c r="T40" s="65">
        <f t="shared" si="11"/>
        <v>1.0472657664727741E-2</v>
      </c>
      <c r="U40" s="65">
        <f t="shared" si="11"/>
        <v>2.3745050856186544E-3</v>
      </c>
      <c r="V40" s="65">
        <f t="shared" si="11"/>
        <v>0</v>
      </c>
      <c r="W40" s="65">
        <f t="shared" si="11"/>
        <v>0</v>
      </c>
      <c r="X40" s="65">
        <f t="shared" si="11"/>
        <v>0.11350706317071851</v>
      </c>
      <c r="Y40" s="65">
        <f t="shared" si="11"/>
        <v>4.2057680281657107E-2</v>
      </c>
      <c r="Z40" s="65">
        <f t="shared" si="11"/>
        <v>1.4971163223450311E-2</v>
      </c>
      <c r="AA40" s="65">
        <f t="shared" si="11"/>
        <v>0</v>
      </c>
      <c r="AB40" s="65">
        <f t="shared" si="11"/>
        <v>1.3151766704843745E-4</v>
      </c>
      <c r="AC40" s="65">
        <f t="shared" si="11"/>
        <v>0</v>
      </c>
      <c r="AD40" s="65">
        <f t="shared" si="11"/>
        <v>2.2144989533362143E-2</v>
      </c>
      <c r="AE40" s="65">
        <f t="shared" si="11"/>
        <v>0</v>
      </c>
      <c r="AF40" s="65">
        <f t="shared" si="11"/>
        <v>1.8078475464335169E-3</v>
      </c>
      <c r="AG40" s="65">
        <f t="shared" si="11"/>
        <v>0</v>
      </c>
      <c r="AH40" s="65">
        <f t="shared" si="11"/>
        <v>4.8544754835127659E-3</v>
      </c>
      <c r="AI40" s="65">
        <f t="shared" si="11"/>
        <v>0</v>
      </c>
      <c r="AJ40" s="65">
        <f t="shared" si="11"/>
        <v>6.1316219690439877E-2</v>
      </c>
      <c r="AK40" s="65">
        <f t="shared" si="11"/>
        <v>0</v>
      </c>
      <c r="AL40" s="65">
        <f t="shared" si="11"/>
        <v>6.0812162871355293E-3</v>
      </c>
      <c r="AM40" s="65">
        <f t="shared" si="11"/>
        <v>0</v>
      </c>
      <c r="AN40" s="65">
        <f t="shared" si="11"/>
        <v>0</v>
      </c>
      <c r="AO40" s="65">
        <f t="shared" si="11"/>
        <v>0</v>
      </c>
      <c r="AP40" s="65">
        <f t="shared" si="11"/>
        <v>4.7083552467837419E-3</v>
      </c>
      <c r="AQ40" s="65">
        <f t="shared" si="11"/>
        <v>0</v>
      </c>
      <c r="AR40" s="65">
        <f t="shared" si="11"/>
        <v>0.28414504707492927</v>
      </c>
      <c r="AS40" s="65">
        <f t="shared" si="11"/>
        <v>0</v>
      </c>
      <c r="AT40" s="65">
        <f t="shared" si="11"/>
        <v>0</v>
      </c>
      <c r="AU40" s="65">
        <f t="shared" si="11"/>
        <v>8.752189080932334E-4</v>
      </c>
      <c r="AX40" s="19"/>
      <c r="AZ40" s="19"/>
      <c r="BA40" s="19"/>
      <c r="BC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30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</row>
    <row r="41" spans="1:97" x14ac:dyDescent="0.25">
      <c r="A41" s="136"/>
      <c r="AX41" s="19"/>
      <c r="AZ41" s="19"/>
      <c r="BA41" s="19"/>
      <c r="BC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  <c r="CQ41" s="167"/>
      <c r="CR41" s="167"/>
      <c r="CS41" s="167"/>
    </row>
    <row r="42" spans="1:97" x14ac:dyDescent="0.25">
      <c r="A42" s="136">
        <v>21</v>
      </c>
      <c r="B42" s="136"/>
      <c r="C42" s="136" t="s">
        <v>416</v>
      </c>
      <c r="D42" s="23">
        <f>SUM(F42:AU42)</f>
        <v>30706.695595808786</v>
      </c>
      <c r="F42" s="22">
        <v>9517.2311163464092</v>
      </c>
      <c r="G42" s="22">
        <v>6820.1070176493067</v>
      </c>
      <c r="H42" s="22">
        <v>0</v>
      </c>
      <c r="I42" s="22">
        <v>75.392690772883796</v>
      </c>
      <c r="J42" s="22">
        <v>622.86936846295202</v>
      </c>
      <c r="K42" s="22">
        <v>284.44996958119833</v>
      </c>
      <c r="L42" s="22">
        <v>27.614483396746568</v>
      </c>
      <c r="M42" s="22">
        <v>274.48292838964829</v>
      </c>
      <c r="N42" s="22">
        <v>71.453491357101754</v>
      </c>
      <c r="O42" s="22">
        <v>88.625793970518302</v>
      </c>
      <c r="P42" s="22">
        <v>6.6810089986687533</v>
      </c>
      <c r="Q42" s="22">
        <v>0</v>
      </c>
      <c r="R42" s="22">
        <v>0</v>
      </c>
      <c r="S42" s="22">
        <v>994.94014944475623</v>
      </c>
      <c r="T42" s="22">
        <v>325.58089456389285</v>
      </c>
      <c r="U42" s="22">
        <v>324.16942853641132</v>
      </c>
      <c r="V42" s="22">
        <v>12.489794919007567</v>
      </c>
      <c r="W42" s="22">
        <v>147.57355999290937</v>
      </c>
      <c r="X42" s="22">
        <v>6058.523924448441</v>
      </c>
      <c r="Y42" s="22">
        <v>1532.1762693389089</v>
      </c>
      <c r="Z42" s="22">
        <v>1477.4810236071096</v>
      </c>
      <c r="AA42" s="22">
        <v>0.59234900254535094</v>
      </c>
      <c r="AB42" s="22">
        <v>6.7815006281113952</v>
      </c>
      <c r="AC42" s="22">
        <v>84.789619241116014</v>
      </c>
      <c r="AD42" s="22">
        <v>1012.8966477949699</v>
      </c>
      <c r="AE42" s="22">
        <v>107.85357399744473</v>
      </c>
      <c r="AF42" s="22">
        <v>2.8016939858869221</v>
      </c>
      <c r="AG42" s="22">
        <v>0</v>
      </c>
      <c r="AH42" s="22">
        <v>213.65228260429873</v>
      </c>
      <c r="AI42" s="22">
        <v>20.366893153369606</v>
      </c>
      <c r="AJ42" s="22">
        <v>572.67094723949708</v>
      </c>
      <c r="AK42" s="22">
        <v>4.8180065497816047</v>
      </c>
      <c r="AL42" s="22">
        <v>17.629167834897462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X42" s="19"/>
      <c r="BA42" s="19"/>
    </row>
    <row r="43" spans="1:97" x14ac:dyDescent="0.25">
      <c r="A43" s="136">
        <v>22</v>
      </c>
      <c r="B43" s="136" t="s">
        <v>187</v>
      </c>
      <c r="D43" s="65">
        <f>SUM(F43:AU43)</f>
        <v>1.0000000000000002</v>
      </c>
      <c r="F43" s="65">
        <f t="shared" ref="F43:AU43" si="12">F42/$D42</f>
        <v>0.30993993106980333</v>
      </c>
      <c r="G43" s="65">
        <f t="shared" si="12"/>
        <v>0.22210488251234026</v>
      </c>
      <c r="H43" s="65">
        <f t="shared" si="12"/>
        <v>0</v>
      </c>
      <c r="I43" s="65">
        <f t="shared" si="12"/>
        <v>2.4552524884238697E-3</v>
      </c>
      <c r="J43" s="65">
        <f t="shared" si="12"/>
        <v>2.02844805140143E-2</v>
      </c>
      <c r="K43" s="65">
        <f t="shared" si="12"/>
        <v>9.2634509855897169E-3</v>
      </c>
      <c r="L43" s="65">
        <f t="shared" si="12"/>
        <v>8.9929843836781057E-4</v>
      </c>
      <c r="M43" s="65">
        <f t="shared" si="12"/>
        <v>8.9388624553634159E-3</v>
      </c>
      <c r="N43" s="65">
        <f t="shared" si="12"/>
        <v>2.3269677824550609E-3</v>
      </c>
      <c r="O43" s="65">
        <f t="shared" si="12"/>
        <v>2.8862042056591397E-3</v>
      </c>
      <c r="P43" s="65">
        <f t="shared" si="12"/>
        <v>2.1757499037378209E-4</v>
      </c>
      <c r="Q43" s="65">
        <f t="shared" si="12"/>
        <v>0</v>
      </c>
      <c r="R43" s="65">
        <f t="shared" si="12"/>
        <v>0</v>
      </c>
      <c r="S43" s="65">
        <f t="shared" si="12"/>
        <v>3.2401407254662645E-2</v>
      </c>
      <c r="T43" s="65">
        <f t="shared" si="12"/>
        <v>1.0602928392214628E-2</v>
      </c>
      <c r="U43" s="65">
        <f t="shared" si="12"/>
        <v>1.0556962325202384E-2</v>
      </c>
      <c r="V43" s="65">
        <f t="shared" si="12"/>
        <v>4.0674500061518577E-4</v>
      </c>
      <c r="W43" s="65">
        <f t="shared" si="12"/>
        <v>4.805908194597531E-3</v>
      </c>
      <c r="X43" s="65">
        <f t="shared" si="12"/>
        <v>0.19730302485805018</v>
      </c>
      <c r="Y43" s="65">
        <f t="shared" si="12"/>
        <v>4.9897139357060569E-2</v>
      </c>
      <c r="Z43" s="65">
        <f t="shared" si="12"/>
        <v>4.8115923740383634E-2</v>
      </c>
      <c r="AA43" s="65">
        <f t="shared" si="12"/>
        <v>1.9290548561213526E-5</v>
      </c>
      <c r="AB43" s="65">
        <f t="shared" si="12"/>
        <v>2.2084761959984437E-4</v>
      </c>
      <c r="AC43" s="65">
        <f t="shared" si="12"/>
        <v>2.7612746209230376E-3</v>
      </c>
      <c r="AD43" s="65">
        <f t="shared" si="12"/>
        <v>3.2986181943107616E-2</v>
      </c>
      <c r="AE43" s="65">
        <f t="shared" si="12"/>
        <v>3.5123796912933172E-3</v>
      </c>
      <c r="AF43" s="65">
        <f t="shared" si="12"/>
        <v>9.124049108915941E-5</v>
      </c>
      <c r="AG43" s="65">
        <f t="shared" si="12"/>
        <v>0</v>
      </c>
      <c r="AH43" s="65">
        <f t="shared" si="12"/>
        <v>6.9578402514095502E-3</v>
      </c>
      <c r="AI43" s="65">
        <f t="shared" si="12"/>
        <v>6.632720570607253E-4</v>
      </c>
      <c r="AJ43" s="65">
        <f t="shared" si="12"/>
        <v>1.8649709326511252E-2</v>
      </c>
      <c r="AK43" s="65">
        <f t="shared" si="12"/>
        <v>1.5690410369128822E-4</v>
      </c>
      <c r="AL43" s="65">
        <f t="shared" si="12"/>
        <v>5.7411478157564115E-4</v>
      </c>
      <c r="AM43" s="65">
        <f t="shared" si="12"/>
        <v>0</v>
      </c>
      <c r="AN43" s="65">
        <f t="shared" si="12"/>
        <v>0</v>
      </c>
      <c r="AO43" s="65">
        <f t="shared" si="12"/>
        <v>0</v>
      </c>
      <c r="AP43" s="65">
        <f t="shared" si="12"/>
        <v>0</v>
      </c>
      <c r="AQ43" s="65">
        <f t="shared" si="12"/>
        <v>0</v>
      </c>
      <c r="AR43" s="65">
        <f t="shared" si="12"/>
        <v>0</v>
      </c>
      <c r="AS43" s="65">
        <f t="shared" si="12"/>
        <v>0</v>
      </c>
      <c r="AT43" s="65">
        <f t="shared" si="12"/>
        <v>0</v>
      </c>
      <c r="AU43" s="65">
        <f t="shared" si="12"/>
        <v>0</v>
      </c>
      <c r="AX43" s="19"/>
      <c r="AZ43" s="19"/>
      <c r="BA43" s="19"/>
      <c r="BC43" s="61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</row>
    <row r="44" spans="1:97" x14ac:dyDescent="0.25">
      <c r="A44" s="136"/>
      <c r="AX44" s="19"/>
      <c r="AZ44" s="19"/>
      <c r="BA44" s="19"/>
      <c r="BC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</row>
    <row r="45" spans="1:97" x14ac:dyDescent="0.25">
      <c r="A45" s="136">
        <v>23</v>
      </c>
      <c r="B45" s="136"/>
      <c r="C45" s="136" t="s">
        <v>416</v>
      </c>
      <c r="D45" s="23">
        <f>SUM(F45:AU45)</f>
        <v>144347.57149315687</v>
      </c>
      <c r="F45" s="22">
        <v>56893.312697637433</v>
      </c>
      <c r="G45" s="22">
        <v>23192.688405700643</v>
      </c>
      <c r="H45" s="22">
        <v>0</v>
      </c>
      <c r="I45" s="22">
        <v>184.73747524735788</v>
      </c>
      <c r="J45" s="22">
        <v>1664.9070491573086</v>
      </c>
      <c r="K45" s="22">
        <v>714.84768900906147</v>
      </c>
      <c r="L45" s="22">
        <v>139.25157143873889</v>
      </c>
      <c r="M45" s="22">
        <v>661.02361534366526</v>
      </c>
      <c r="N45" s="22">
        <v>233.43877489657126</v>
      </c>
      <c r="O45" s="22">
        <v>262.02972680496083</v>
      </c>
      <c r="P45" s="22">
        <v>33.69032795198293</v>
      </c>
      <c r="Q45" s="22">
        <v>0</v>
      </c>
      <c r="R45" s="22">
        <v>0</v>
      </c>
      <c r="S45" s="22">
        <v>5301.3007105267361</v>
      </c>
      <c r="T45" s="22">
        <v>1252.0740772384988</v>
      </c>
      <c r="U45" s="22">
        <v>931.12032184095222</v>
      </c>
      <c r="V45" s="22">
        <v>62.982296081059019</v>
      </c>
      <c r="W45" s="22">
        <v>717.18715307386026</v>
      </c>
      <c r="X45" s="22">
        <v>36345.932515774402</v>
      </c>
      <c r="Y45" s="22">
        <v>5198.7408015945784</v>
      </c>
      <c r="Z45" s="22">
        <v>3793.5025278462781</v>
      </c>
      <c r="AA45" s="22">
        <v>1.5208841282015348</v>
      </c>
      <c r="AB45" s="22">
        <v>21.666346437717863</v>
      </c>
      <c r="AC45" s="22">
        <v>270.89598092565882</v>
      </c>
      <c r="AD45" s="22">
        <v>2601.8623555395016</v>
      </c>
      <c r="AE45" s="22">
        <v>277.0471742652548</v>
      </c>
      <c r="AF45" s="22">
        <v>14.128103887367409</v>
      </c>
      <c r="AG45" s="22">
        <v>0</v>
      </c>
      <c r="AH45" s="22">
        <v>627.82817381424832</v>
      </c>
      <c r="AI45" s="22">
        <v>59.849158543427983</v>
      </c>
      <c r="AJ45" s="22">
        <v>2777.7372495714553</v>
      </c>
      <c r="AK45" s="22">
        <v>23.36971401556125</v>
      </c>
      <c r="AL45" s="22">
        <v>88.898614864400031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X45" s="19"/>
      <c r="BA45" s="19"/>
    </row>
    <row r="46" spans="1:97" x14ac:dyDescent="0.25">
      <c r="A46" s="136">
        <v>24</v>
      </c>
      <c r="B46" s="136" t="s">
        <v>186</v>
      </c>
      <c r="D46" s="65">
        <f>SUM(F46:AU46)</f>
        <v>1.0000000000000002</v>
      </c>
      <c r="F46" s="65">
        <f t="shared" ref="F46:AU46" si="13">F45/$D45</f>
        <v>0.39414111445812994</v>
      </c>
      <c r="G46" s="65">
        <f t="shared" si="13"/>
        <v>0.16067252234167409</v>
      </c>
      <c r="H46" s="65">
        <f t="shared" si="13"/>
        <v>0</v>
      </c>
      <c r="I46" s="65">
        <f t="shared" si="13"/>
        <v>1.2798100677164201E-3</v>
      </c>
      <c r="J46" s="65">
        <f t="shared" si="13"/>
        <v>1.1534014960800622E-2</v>
      </c>
      <c r="K46" s="65">
        <f t="shared" si="13"/>
        <v>4.9522668210801903E-3</v>
      </c>
      <c r="L46" s="65">
        <f t="shared" si="13"/>
        <v>9.6469632289823757E-4</v>
      </c>
      <c r="M46" s="65">
        <f t="shared" si="13"/>
        <v>4.5793885446490015E-3</v>
      </c>
      <c r="N46" s="65">
        <f t="shared" si="13"/>
        <v>1.6171991844534633E-3</v>
      </c>
      <c r="O46" s="65">
        <f t="shared" si="13"/>
        <v>1.8152693813583344E-3</v>
      </c>
      <c r="P46" s="65">
        <f t="shared" si="13"/>
        <v>2.3339726192470164E-4</v>
      </c>
      <c r="Q46" s="65">
        <f t="shared" si="13"/>
        <v>0</v>
      </c>
      <c r="R46" s="65">
        <f t="shared" si="13"/>
        <v>0</v>
      </c>
      <c r="S46" s="65">
        <f t="shared" si="13"/>
        <v>3.6725943191763755E-2</v>
      </c>
      <c r="T46" s="65">
        <f t="shared" si="13"/>
        <v>8.6740224604184377E-3</v>
      </c>
      <c r="U46" s="65">
        <f t="shared" si="13"/>
        <v>6.4505437272638433E-3</v>
      </c>
      <c r="V46" s="65">
        <f t="shared" si="13"/>
        <v>4.3632390506857154E-4</v>
      </c>
      <c r="W46" s="65">
        <f t="shared" si="13"/>
        <v>4.9684739802349923E-3</v>
      </c>
      <c r="X46" s="65">
        <f t="shared" si="13"/>
        <v>0.25179455490525843</v>
      </c>
      <c r="Y46" s="65">
        <f t="shared" si="13"/>
        <v>3.6015436545401368E-2</v>
      </c>
      <c r="Z46" s="65">
        <f t="shared" si="13"/>
        <v>2.6280334948524699E-2</v>
      </c>
      <c r="AA46" s="65">
        <f t="shared" si="13"/>
        <v>1.0536264049815593E-5</v>
      </c>
      <c r="AB46" s="65">
        <f t="shared" si="13"/>
        <v>1.5009844788933636E-4</v>
      </c>
      <c r="AC46" s="65">
        <f t="shared" si="13"/>
        <v>1.8766923345052693E-3</v>
      </c>
      <c r="AD46" s="65">
        <f t="shared" si="13"/>
        <v>1.8024981845038167E-2</v>
      </c>
      <c r="AE46" s="65">
        <f t="shared" si="13"/>
        <v>1.9193060984637963E-3</v>
      </c>
      <c r="AF46" s="65">
        <f t="shared" si="13"/>
        <v>9.7875591125114184E-5</v>
      </c>
      <c r="AG46" s="65">
        <f t="shared" si="13"/>
        <v>0</v>
      </c>
      <c r="AH46" s="65">
        <f t="shared" si="13"/>
        <v>4.3494197188070601E-3</v>
      </c>
      <c r="AI46" s="65">
        <f t="shared" si="13"/>
        <v>4.1461839589220433E-4</v>
      </c>
      <c r="AJ46" s="65">
        <f t="shared" si="13"/>
        <v>1.9243394404478364E-2</v>
      </c>
      <c r="AK46" s="65">
        <f t="shared" si="13"/>
        <v>1.6189890674169844E-4</v>
      </c>
      <c r="AL46" s="65">
        <f t="shared" si="13"/>
        <v>6.1586498439022562E-4</v>
      </c>
      <c r="AM46" s="65">
        <f t="shared" si="13"/>
        <v>0</v>
      </c>
      <c r="AN46" s="65">
        <f t="shared" si="13"/>
        <v>0</v>
      </c>
      <c r="AO46" s="65">
        <f t="shared" si="13"/>
        <v>0</v>
      </c>
      <c r="AP46" s="65">
        <f t="shared" si="13"/>
        <v>0</v>
      </c>
      <c r="AQ46" s="65">
        <f t="shared" si="13"/>
        <v>0</v>
      </c>
      <c r="AR46" s="65">
        <f t="shared" si="13"/>
        <v>0</v>
      </c>
      <c r="AS46" s="65">
        <f t="shared" si="13"/>
        <v>0</v>
      </c>
      <c r="AT46" s="65">
        <f t="shared" si="13"/>
        <v>0</v>
      </c>
      <c r="AU46" s="65">
        <f t="shared" si="13"/>
        <v>0</v>
      </c>
      <c r="AX46" s="19"/>
      <c r="AZ46" s="19"/>
      <c r="BA46" s="19"/>
      <c r="BC46" s="61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</row>
    <row r="47" spans="1:97" x14ac:dyDescent="0.25">
      <c r="A47" s="136"/>
      <c r="B47" s="136"/>
      <c r="AX47" s="19"/>
      <c r="AZ47" s="19"/>
      <c r="BA47" s="19"/>
      <c r="BC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</row>
    <row r="48" spans="1:97" x14ac:dyDescent="0.25">
      <c r="A48" s="136">
        <v>25</v>
      </c>
      <c r="B48" s="136"/>
      <c r="C48" s="136" t="s">
        <v>416</v>
      </c>
      <c r="D48" s="8">
        <f>SUM(F48:AV48)</f>
        <v>167984.12094246919</v>
      </c>
      <c r="F48" s="22">
        <v>52737.375045420536</v>
      </c>
      <c r="G48" s="22">
        <v>47062.443835309445</v>
      </c>
      <c r="H48" s="22">
        <v>0</v>
      </c>
      <c r="I48" s="22">
        <v>153.07943170259909</v>
      </c>
      <c r="J48" s="22">
        <v>3280.1461849891352</v>
      </c>
      <c r="K48" s="22">
        <v>118.58787369552488</v>
      </c>
      <c r="L48" s="22">
        <v>0</v>
      </c>
      <c r="M48" s="22">
        <v>13.13736618667691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9708.1307092413463</v>
      </c>
      <c r="T48" s="22">
        <v>2896.350079144861</v>
      </c>
      <c r="U48" s="22">
        <v>780.99795223399815</v>
      </c>
      <c r="V48" s="22">
        <v>0</v>
      </c>
      <c r="W48" s="22">
        <v>131.44117760000017</v>
      </c>
      <c r="X48" s="22">
        <v>31063.098284247117</v>
      </c>
      <c r="Y48" s="22">
        <v>11509.78467508778</v>
      </c>
      <c r="Z48" s="22">
        <v>3248.0027116628326</v>
      </c>
      <c r="AA48" s="22">
        <v>0</v>
      </c>
      <c r="AB48" s="22">
        <v>35.991999999999997</v>
      </c>
      <c r="AC48" s="22">
        <v>0</v>
      </c>
      <c r="AD48" s="22">
        <v>3155.2994684403502</v>
      </c>
      <c r="AE48" s="22">
        <v>0</v>
      </c>
      <c r="AF48" s="22">
        <v>215.65283074876896</v>
      </c>
      <c r="AG48" s="22">
        <v>0</v>
      </c>
      <c r="AH48" s="22">
        <v>1426.3807426520982</v>
      </c>
      <c r="AI48" s="22">
        <v>0</v>
      </c>
      <c r="AJ48" s="22">
        <v>448.22057410611524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X48" s="19"/>
      <c r="BA48" s="19"/>
    </row>
    <row r="49" spans="1:97" x14ac:dyDescent="0.25">
      <c r="A49" s="136">
        <v>26</v>
      </c>
      <c r="B49" s="136" t="s">
        <v>325</v>
      </c>
      <c r="D49" s="65">
        <f>SUM(F180:AV180)</f>
        <v>0</v>
      </c>
      <c r="F49" s="65">
        <f t="shared" ref="F49:AU49" si="14">F48/$D48</f>
        <v>0.31394261999014722</v>
      </c>
      <c r="G49" s="65">
        <f t="shared" si="14"/>
        <v>0.28016007448363101</v>
      </c>
      <c r="H49" s="65">
        <f t="shared" si="14"/>
        <v>0</v>
      </c>
      <c r="I49" s="65">
        <f t="shared" si="14"/>
        <v>9.1127322537244682E-4</v>
      </c>
      <c r="J49" s="65">
        <f t="shared" si="14"/>
        <v>1.9526525284568486E-2</v>
      </c>
      <c r="K49" s="65">
        <f t="shared" si="14"/>
        <v>7.0594692540099416E-4</v>
      </c>
      <c r="L49" s="65">
        <f t="shared" si="14"/>
        <v>0</v>
      </c>
      <c r="M49" s="65">
        <f t="shared" si="14"/>
        <v>7.8206000144359869E-5</v>
      </c>
      <c r="N49" s="65">
        <f t="shared" si="14"/>
        <v>0</v>
      </c>
      <c r="O49" s="65">
        <f t="shared" si="14"/>
        <v>0</v>
      </c>
      <c r="P49" s="65">
        <f t="shared" si="14"/>
        <v>0</v>
      </c>
      <c r="Q49" s="65">
        <f t="shared" si="14"/>
        <v>0</v>
      </c>
      <c r="R49" s="65">
        <f t="shared" si="14"/>
        <v>0</v>
      </c>
      <c r="S49" s="65">
        <f t="shared" si="14"/>
        <v>5.7791954708422494E-2</v>
      </c>
      <c r="T49" s="65">
        <f t="shared" si="14"/>
        <v>1.7241808707245586E-2</v>
      </c>
      <c r="U49" s="65">
        <f t="shared" si="14"/>
        <v>4.6492367722153483E-3</v>
      </c>
      <c r="V49" s="65">
        <f t="shared" si="14"/>
        <v>0</v>
      </c>
      <c r="W49" s="65">
        <f t="shared" si="14"/>
        <v>7.824619187965739E-4</v>
      </c>
      <c r="X49" s="65">
        <f t="shared" si="14"/>
        <v>0.18491687255895772</v>
      </c>
      <c r="Y49" s="65">
        <f t="shared" si="14"/>
        <v>6.8517099178854082E-2</v>
      </c>
      <c r="Z49" s="65">
        <f t="shared" si="14"/>
        <v>1.9335177000302312E-2</v>
      </c>
      <c r="AA49" s="65">
        <f t="shared" si="14"/>
        <v>0</v>
      </c>
      <c r="AB49" s="65">
        <f t="shared" si="14"/>
        <v>2.1425834655125798E-4</v>
      </c>
      <c r="AC49" s="65">
        <f t="shared" si="14"/>
        <v>0</v>
      </c>
      <c r="AD49" s="65">
        <f t="shared" si="14"/>
        <v>1.8783319820573813E-2</v>
      </c>
      <c r="AE49" s="65">
        <f t="shared" si="14"/>
        <v>0</v>
      </c>
      <c r="AF49" s="65">
        <f t="shared" si="14"/>
        <v>1.2837691416239588E-3</v>
      </c>
      <c r="AG49" s="65">
        <f t="shared" si="14"/>
        <v>0</v>
      </c>
      <c r="AH49" s="65">
        <f t="shared" si="14"/>
        <v>8.4911641329516001E-3</v>
      </c>
      <c r="AI49" s="65">
        <f t="shared" si="14"/>
        <v>0</v>
      </c>
      <c r="AJ49" s="65">
        <f t="shared" si="14"/>
        <v>2.6682318042407162E-3</v>
      </c>
      <c r="AK49" s="65">
        <f t="shared" si="14"/>
        <v>0</v>
      </c>
      <c r="AL49" s="65">
        <f t="shared" si="14"/>
        <v>0</v>
      </c>
      <c r="AM49" s="65">
        <f t="shared" si="14"/>
        <v>0</v>
      </c>
      <c r="AN49" s="65">
        <f t="shared" si="14"/>
        <v>0</v>
      </c>
      <c r="AO49" s="65">
        <f t="shared" si="14"/>
        <v>0</v>
      </c>
      <c r="AP49" s="65">
        <f t="shared" si="14"/>
        <v>0</v>
      </c>
      <c r="AQ49" s="65">
        <f t="shared" si="14"/>
        <v>0</v>
      </c>
      <c r="AR49" s="65">
        <f t="shared" si="14"/>
        <v>0</v>
      </c>
      <c r="AS49" s="65">
        <f t="shared" si="14"/>
        <v>0</v>
      </c>
      <c r="AT49" s="65">
        <f t="shared" si="14"/>
        <v>0</v>
      </c>
      <c r="AU49" s="65">
        <f t="shared" si="14"/>
        <v>0</v>
      </c>
      <c r="AX49" s="19"/>
      <c r="AZ49" s="19"/>
      <c r="BA49" s="19"/>
      <c r="BC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30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</row>
    <row r="50" spans="1:97" x14ac:dyDescent="0.25">
      <c r="A50" s="136"/>
      <c r="B50" s="136"/>
      <c r="AX50" s="19"/>
      <c r="AZ50" s="19"/>
      <c r="BA50" s="19"/>
      <c r="BC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</row>
    <row r="51" spans="1:97" x14ac:dyDescent="0.25">
      <c r="A51" s="136">
        <v>27</v>
      </c>
      <c r="B51" s="136"/>
      <c r="C51" s="136" t="s">
        <v>416</v>
      </c>
      <c r="D51" s="8">
        <f>SUM(F51:AV51)</f>
        <v>225038.46161031167</v>
      </c>
      <c r="F51" s="22">
        <v>52737.375045420536</v>
      </c>
      <c r="G51" s="22">
        <v>47062.443835309445</v>
      </c>
      <c r="H51" s="22">
        <v>0</v>
      </c>
      <c r="I51" s="22">
        <v>165.99611327872259</v>
      </c>
      <c r="J51" s="22">
        <v>5400.0966159119962</v>
      </c>
      <c r="K51" s="22">
        <v>1134.8817161030206</v>
      </c>
      <c r="L51" s="22">
        <v>9260.357</v>
      </c>
      <c r="M51" s="22">
        <v>18.816608186740794</v>
      </c>
      <c r="N51" s="22">
        <v>0</v>
      </c>
      <c r="O51" s="22">
        <v>0</v>
      </c>
      <c r="P51" s="22">
        <v>1252.0999999999999</v>
      </c>
      <c r="Q51" s="22">
        <v>0</v>
      </c>
      <c r="R51" s="22">
        <v>0</v>
      </c>
      <c r="S51" s="22">
        <v>9708.1307092413463</v>
      </c>
      <c r="T51" s="22">
        <v>2896.350079144861</v>
      </c>
      <c r="U51" s="22">
        <v>7609.5255049746966</v>
      </c>
      <c r="V51" s="22">
        <v>0</v>
      </c>
      <c r="W51" s="22">
        <v>3398.091341550748</v>
      </c>
      <c r="X51" s="22">
        <v>31063.098284247117</v>
      </c>
      <c r="Y51" s="22">
        <v>11509.78467508778</v>
      </c>
      <c r="Z51" s="22">
        <v>4097.108159164427</v>
      </c>
      <c r="AA51" s="22">
        <v>0</v>
      </c>
      <c r="AB51" s="22">
        <v>35.991999999999997</v>
      </c>
      <c r="AC51" s="22">
        <v>0</v>
      </c>
      <c r="AD51" s="22">
        <v>6060.3452081553614</v>
      </c>
      <c r="AE51" s="22">
        <v>0</v>
      </c>
      <c r="AF51" s="22">
        <v>494.7475905824183</v>
      </c>
      <c r="AG51" s="22">
        <v>0</v>
      </c>
      <c r="AH51" s="22">
        <v>2076.5472265942708</v>
      </c>
      <c r="AI51" s="22">
        <v>0</v>
      </c>
      <c r="AJ51" s="22">
        <v>26228.585637287655</v>
      </c>
      <c r="AK51" s="22">
        <v>0</v>
      </c>
      <c r="AL51" s="22">
        <v>2601.29706252702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226.79119754350052</v>
      </c>
      <c r="AX51" s="19"/>
      <c r="BA51" s="19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</row>
    <row r="52" spans="1:97" x14ac:dyDescent="0.25">
      <c r="A52" s="136">
        <v>28</v>
      </c>
      <c r="B52" s="136" t="s">
        <v>324</v>
      </c>
      <c r="D52" s="65">
        <f>SUM(F177:AV177)</f>
        <v>0</v>
      </c>
      <c r="F52" s="65">
        <f t="shared" ref="F52:AU52" si="15">F51/$D51</f>
        <v>0.23434827392636251</v>
      </c>
      <c r="G52" s="65">
        <f t="shared" si="15"/>
        <v>0.20913066814687536</v>
      </c>
      <c r="H52" s="65">
        <f t="shared" si="15"/>
        <v>0</v>
      </c>
      <c r="I52" s="65">
        <f t="shared" si="15"/>
        <v>7.3763441187298063E-4</v>
      </c>
      <c r="J52" s="65">
        <f t="shared" si="15"/>
        <v>2.3996327460072513E-2</v>
      </c>
      <c r="K52" s="65">
        <f t="shared" si="15"/>
        <v>5.0430566756550308E-3</v>
      </c>
      <c r="L52" s="65">
        <f t="shared" si="15"/>
        <v>4.115010800258543E-2</v>
      </c>
      <c r="M52" s="65">
        <f t="shared" si="15"/>
        <v>8.3615076516673902E-5</v>
      </c>
      <c r="N52" s="65">
        <f t="shared" si="15"/>
        <v>0</v>
      </c>
      <c r="O52" s="65">
        <f t="shared" si="15"/>
        <v>0</v>
      </c>
      <c r="P52" s="65">
        <f t="shared" si="15"/>
        <v>5.5639377866357866E-3</v>
      </c>
      <c r="Q52" s="65">
        <f t="shared" si="15"/>
        <v>0</v>
      </c>
      <c r="R52" s="65">
        <f t="shared" si="15"/>
        <v>0</v>
      </c>
      <c r="S52" s="65">
        <f t="shared" si="15"/>
        <v>4.3139873245545253E-2</v>
      </c>
      <c r="T52" s="65">
        <f t="shared" si="15"/>
        <v>1.2870466934493766E-2</v>
      </c>
      <c r="U52" s="65">
        <f t="shared" si="15"/>
        <v>3.3814333116761824E-2</v>
      </c>
      <c r="V52" s="65">
        <f t="shared" si="15"/>
        <v>0</v>
      </c>
      <c r="W52" s="65">
        <f t="shared" si="15"/>
        <v>1.5100046975236881E-2</v>
      </c>
      <c r="X52" s="65">
        <f t="shared" si="15"/>
        <v>0.13803461889122579</v>
      </c>
      <c r="Y52" s="65">
        <f t="shared" si="15"/>
        <v>5.1145855658303971E-2</v>
      </c>
      <c r="Z52" s="65">
        <f t="shared" si="15"/>
        <v>1.8206257409718669E-2</v>
      </c>
      <c r="AA52" s="65">
        <f t="shared" si="15"/>
        <v>0</v>
      </c>
      <c r="AB52" s="65">
        <f t="shared" si="15"/>
        <v>1.5993710471735103E-4</v>
      </c>
      <c r="AC52" s="65">
        <f t="shared" si="15"/>
        <v>0</v>
      </c>
      <c r="AD52" s="65">
        <f t="shared" si="15"/>
        <v>2.6930264119249852E-2</v>
      </c>
      <c r="AE52" s="65">
        <f t="shared" si="15"/>
        <v>0</v>
      </c>
      <c r="AF52" s="65">
        <f t="shared" si="15"/>
        <v>2.1985023672937698E-3</v>
      </c>
      <c r="AG52" s="65">
        <f t="shared" si="15"/>
        <v>0</v>
      </c>
      <c r="AH52" s="65">
        <f t="shared" si="15"/>
        <v>9.2275214278265388E-3</v>
      </c>
      <c r="AI52" s="65">
        <f t="shared" si="15"/>
        <v>0</v>
      </c>
      <c r="AJ52" s="65">
        <f t="shared" si="15"/>
        <v>0.11655156833904437</v>
      </c>
      <c r="AK52" s="65">
        <f t="shared" si="15"/>
        <v>0</v>
      </c>
      <c r="AL52" s="65">
        <f t="shared" si="15"/>
        <v>1.1559344317912916E-2</v>
      </c>
      <c r="AM52" s="65">
        <f t="shared" si="15"/>
        <v>0</v>
      </c>
      <c r="AN52" s="65">
        <f t="shared" si="15"/>
        <v>0</v>
      </c>
      <c r="AO52" s="65">
        <f t="shared" si="15"/>
        <v>0</v>
      </c>
      <c r="AP52" s="65">
        <f t="shared" si="15"/>
        <v>0</v>
      </c>
      <c r="AQ52" s="65">
        <f t="shared" si="15"/>
        <v>0</v>
      </c>
      <c r="AR52" s="65">
        <f t="shared" si="15"/>
        <v>0</v>
      </c>
      <c r="AS52" s="65">
        <f t="shared" si="15"/>
        <v>0</v>
      </c>
      <c r="AT52" s="65">
        <f t="shared" si="15"/>
        <v>0</v>
      </c>
      <c r="AU52" s="65">
        <f t="shared" si="15"/>
        <v>1.0077886060926953E-3</v>
      </c>
      <c r="AX52" s="19"/>
      <c r="AZ52" s="19"/>
      <c r="BA52" s="19"/>
      <c r="BC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30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</row>
    <row r="53" spans="1:97" x14ac:dyDescent="0.25">
      <c r="A53" s="136"/>
      <c r="B53" s="136"/>
      <c r="AX53" s="19"/>
      <c r="AZ53" s="19"/>
      <c r="BA53" s="19"/>
      <c r="BC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</row>
    <row r="54" spans="1:97" x14ac:dyDescent="0.25">
      <c r="A54" s="136">
        <v>29</v>
      </c>
      <c r="B54" s="136"/>
      <c r="C54" s="136" t="s">
        <v>416</v>
      </c>
      <c r="D54" s="22">
        <f>SUM(F54:AU54)</f>
        <v>15671.315250767657</v>
      </c>
      <c r="F54" s="22">
        <v>652.42754721711663</v>
      </c>
      <c r="G54" s="22">
        <v>582.22152261217843</v>
      </c>
      <c r="H54" s="22">
        <v>0</v>
      </c>
      <c r="I54" s="22">
        <v>2.0535803486756192</v>
      </c>
      <c r="J54" s="22">
        <v>66.805975587911831</v>
      </c>
      <c r="K54" s="22">
        <v>14.039911804122703</v>
      </c>
      <c r="L54" s="22">
        <v>0</v>
      </c>
      <c r="M54" s="22">
        <v>0.23278506970905527</v>
      </c>
      <c r="N54" s="22">
        <v>0</v>
      </c>
      <c r="O54" s="22">
        <v>0</v>
      </c>
      <c r="P54" s="22">
        <v>15.490049157110784</v>
      </c>
      <c r="Q54" s="22">
        <v>0</v>
      </c>
      <c r="R54" s="22">
        <v>0</v>
      </c>
      <c r="S54" s="22">
        <v>120.10176656002335</v>
      </c>
      <c r="T54" s="22">
        <v>35.456231269293944</v>
      </c>
      <c r="U54" s="22">
        <v>8.039124753343911</v>
      </c>
      <c r="V54" s="22">
        <v>0</v>
      </c>
      <c r="W54" s="22">
        <v>0</v>
      </c>
      <c r="X54" s="22">
        <v>384.28952910722109</v>
      </c>
      <c r="Y54" s="22">
        <v>142.39048830354611</v>
      </c>
      <c r="Z54" s="22">
        <v>50.686372324460223</v>
      </c>
      <c r="AA54" s="22">
        <v>0</v>
      </c>
      <c r="AB54" s="22">
        <v>0.44526623214018951</v>
      </c>
      <c r="AC54" s="22">
        <v>0</v>
      </c>
      <c r="AD54" s="22">
        <v>74.97407969282591</v>
      </c>
      <c r="AE54" s="22">
        <v>0</v>
      </c>
      <c r="AF54" s="22">
        <v>6.1206489086205416</v>
      </c>
      <c r="AG54" s="22">
        <v>0</v>
      </c>
      <c r="AH54" s="22">
        <v>13.321276332871113</v>
      </c>
      <c r="AI54" s="22">
        <v>0</v>
      </c>
      <c r="AJ54" s="22">
        <v>168.25922985037454</v>
      </c>
      <c r="AK54" s="22">
        <v>0</v>
      </c>
      <c r="AL54" s="22">
        <v>16.687603609498346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13317.272262026612</v>
      </c>
      <c r="AS54" s="22">
        <v>0</v>
      </c>
      <c r="AT54" s="22">
        <v>0</v>
      </c>
      <c r="AU54" s="22">
        <v>0</v>
      </c>
      <c r="AX54" s="19"/>
      <c r="BA54" s="19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</row>
    <row r="55" spans="1:97" x14ac:dyDescent="0.25">
      <c r="A55" s="136">
        <v>30</v>
      </c>
      <c r="B55" s="136" t="s">
        <v>245</v>
      </c>
      <c r="D55" s="65">
        <f>SUM(F55:AU55)</f>
        <v>1</v>
      </c>
      <c r="F55" s="65">
        <f t="shared" ref="F55:AU55" si="16">F54/$D54</f>
        <v>4.1631958567431508E-2</v>
      </c>
      <c r="G55" s="65">
        <f t="shared" si="16"/>
        <v>3.71520522238016E-2</v>
      </c>
      <c r="H55" s="65">
        <f t="shared" si="16"/>
        <v>0</v>
      </c>
      <c r="I55" s="65">
        <f t="shared" si="16"/>
        <v>1.3104071456765729E-4</v>
      </c>
      <c r="J55" s="65">
        <f t="shared" si="16"/>
        <v>4.2629463142628918E-3</v>
      </c>
      <c r="K55" s="65">
        <f t="shared" si="16"/>
        <v>8.9589875383528901E-4</v>
      </c>
      <c r="L55" s="65">
        <f t="shared" si="16"/>
        <v>0</v>
      </c>
      <c r="M55" s="65">
        <f t="shared" si="16"/>
        <v>1.4854213956142088E-5</v>
      </c>
      <c r="N55" s="65">
        <f t="shared" si="16"/>
        <v>0</v>
      </c>
      <c r="O55" s="65">
        <f t="shared" si="16"/>
        <v>0</v>
      </c>
      <c r="P55" s="65">
        <f t="shared" si="16"/>
        <v>9.8843325587187115E-4</v>
      </c>
      <c r="Q55" s="65">
        <f t="shared" si="16"/>
        <v>0</v>
      </c>
      <c r="R55" s="65">
        <f t="shared" si="16"/>
        <v>0</v>
      </c>
      <c r="S55" s="65">
        <f t="shared" si="16"/>
        <v>7.6637962186447738E-3</v>
      </c>
      <c r="T55" s="65">
        <f t="shared" si="16"/>
        <v>2.2624923755239449E-3</v>
      </c>
      <c r="U55" s="65">
        <f t="shared" si="16"/>
        <v>5.1298341107330577E-4</v>
      </c>
      <c r="V55" s="65">
        <f t="shared" si="16"/>
        <v>0</v>
      </c>
      <c r="W55" s="65">
        <f t="shared" si="16"/>
        <v>0</v>
      </c>
      <c r="X55" s="65">
        <f t="shared" si="16"/>
        <v>2.4521842803742762E-2</v>
      </c>
      <c r="Y55" s="65">
        <f t="shared" si="16"/>
        <v>9.086058574220254E-3</v>
      </c>
      <c r="Z55" s="65">
        <f t="shared" si="16"/>
        <v>3.2343406736060243E-3</v>
      </c>
      <c r="AA55" s="65">
        <f t="shared" si="16"/>
        <v>0</v>
      </c>
      <c r="AB55" s="65">
        <f t="shared" si="16"/>
        <v>2.841281826159283E-5</v>
      </c>
      <c r="AC55" s="65">
        <f t="shared" si="16"/>
        <v>0</v>
      </c>
      <c r="AD55" s="65">
        <f t="shared" si="16"/>
        <v>4.7841600078304411E-3</v>
      </c>
      <c r="AE55" s="65">
        <f t="shared" si="16"/>
        <v>0</v>
      </c>
      <c r="AF55" s="65">
        <f t="shared" si="16"/>
        <v>3.9056383020057763E-4</v>
      </c>
      <c r="AG55" s="65">
        <f t="shared" si="16"/>
        <v>0</v>
      </c>
      <c r="AH55" s="65">
        <f t="shared" si="16"/>
        <v>8.5004201113359466E-4</v>
      </c>
      <c r="AI55" s="65">
        <f t="shared" si="16"/>
        <v>0</v>
      </c>
      <c r="AJ55" s="65">
        <f t="shared" si="16"/>
        <v>1.073676504862171E-2</v>
      </c>
      <c r="AK55" s="65">
        <f t="shared" si="16"/>
        <v>0</v>
      </c>
      <c r="AL55" s="65">
        <f t="shared" si="16"/>
        <v>1.0648502274677237E-3</v>
      </c>
      <c r="AM55" s="65">
        <f t="shared" si="16"/>
        <v>0</v>
      </c>
      <c r="AN55" s="65">
        <f t="shared" si="16"/>
        <v>0</v>
      </c>
      <c r="AO55" s="65">
        <f t="shared" si="16"/>
        <v>0</v>
      </c>
      <c r="AP55" s="65">
        <f t="shared" si="16"/>
        <v>0</v>
      </c>
      <c r="AQ55" s="65">
        <f t="shared" si="16"/>
        <v>0</v>
      </c>
      <c r="AR55" s="65">
        <f t="shared" si="16"/>
        <v>0.84978650795594635</v>
      </c>
      <c r="AS55" s="65">
        <f t="shared" si="16"/>
        <v>0</v>
      </c>
      <c r="AT55" s="65">
        <f t="shared" si="16"/>
        <v>0</v>
      </c>
      <c r="AU55" s="65">
        <f t="shared" si="16"/>
        <v>0</v>
      </c>
      <c r="AX55" s="19"/>
      <c r="AZ55" s="19"/>
      <c r="BA55" s="19"/>
      <c r="BC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</row>
    <row r="56" spans="1:97" x14ac:dyDescent="0.25">
      <c r="A56" s="136"/>
      <c r="B56" s="136"/>
      <c r="AX56" s="19"/>
      <c r="AZ56" s="19"/>
      <c r="BA56" s="19"/>
      <c r="BC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</row>
    <row r="57" spans="1:97" x14ac:dyDescent="0.25">
      <c r="A57" s="136">
        <v>31</v>
      </c>
      <c r="B57" s="136"/>
      <c r="C57" s="136" t="s">
        <v>416</v>
      </c>
      <c r="D57" s="23">
        <f>SUM(F57:AU57)</f>
        <v>175236.13783085358</v>
      </c>
      <c r="F57" s="22">
        <v>55261.441336899516</v>
      </c>
      <c r="G57" s="22">
        <v>48028.839900511266</v>
      </c>
      <c r="H57" s="22">
        <v>0</v>
      </c>
      <c r="I57" s="22">
        <v>128.77632282556701</v>
      </c>
      <c r="J57" s="22">
        <v>3509.2950074189289</v>
      </c>
      <c r="K57" s="22">
        <v>129.42678070845793</v>
      </c>
      <c r="L57" s="22">
        <v>0</v>
      </c>
      <c r="M57" s="22">
        <v>0</v>
      </c>
      <c r="N57" s="22">
        <v>0</v>
      </c>
      <c r="O57" s="22">
        <v>0</v>
      </c>
      <c r="P57" s="22">
        <v>1041.0808784147143</v>
      </c>
      <c r="Q57" s="22">
        <v>0</v>
      </c>
      <c r="R57" s="22">
        <v>1798.5082446242627</v>
      </c>
      <c r="S57" s="22">
        <v>9908.4860253864408</v>
      </c>
      <c r="T57" s="22">
        <v>2801.0437947301352</v>
      </c>
      <c r="U57" s="22">
        <v>396.12084894520314</v>
      </c>
      <c r="V57" s="22">
        <v>0</v>
      </c>
      <c r="W57" s="22">
        <v>0</v>
      </c>
      <c r="X57" s="22">
        <v>31354.020733836111</v>
      </c>
      <c r="Y57" s="22">
        <v>11179.939558464597</v>
      </c>
      <c r="Z57" s="22">
        <v>3500.5078027469049</v>
      </c>
      <c r="AA57" s="22">
        <v>0</v>
      </c>
      <c r="AB57" s="22">
        <v>33.878245939593768</v>
      </c>
      <c r="AC57" s="22">
        <v>0</v>
      </c>
      <c r="AD57" s="22">
        <v>5813.1133956464328</v>
      </c>
      <c r="AE57" s="22">
        <v>0</v>
      </c>
      <c r="AF57" s="22">
        <v>351.65895375544835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X57" s="19"/>
      <c r="BA57" s="19"/>
    </row>
    <row r="58" spans="1:97" x14ac:dyDescent="0.25">
      <c r="A58" s="136">
        <v>32</v>
      </c>
      <c r="B58" s="136" t="s">
        <v>297</v>
      </c>
      <c r="C58" s="136"/>
      <c r="D58" s="65">
        <f>SUM(F58:AU58)</f>
        <v>1</v>
      </c>
      <c r="F58" s="65">
        <f t="shared" ref="F58:AU58" si="17">F57/$D57</f>
        <v>0.31535413882632213</v>
      </c>
      <c r="G58" s="65">
        <f t="shared" si="17"/>
        <v>0.2740806804751143</v>
      </c>
      <c r="H58" s="65">
        <f t="shared" si="17"/>
        <v>0</v>
      </c>
      <c r="I58" s="65">
        <f t="shared" si="17"/>
        <v>7.3487309421226899E-4</v>
      </c>
      <c r="J58" s="65">
        <f t="shared" si="17"/>
        <v>2.0026091940044184E-2</v>
      </c>
      <c r="K58" s="65">
        <f t="shared" si="17"/>
        <v>7.3858498772317693E-4</v>
      </c>
      <c r="L58" s="65">
        <f t="shared" si="17"/>
        <v>0</v>
      </c>
      <c r="M58" s="65">
        <f t="shared" si="17"/>
        <v>0</v>
      </c>
      <c r="N58" s="65">
        <f t="shared" si="17"/>
        <v>0</v>
      </c>
      <c r="O58" s="65">
        <f t="shared" si="17"/>
        <v>0</v>
      </c>
      <c r="P58" s="65">
        <f t="shared" si="17"/>
        <v>5.9410170259493857E-3</v>
      </c>
      <c r="Q58" s="65">
        <f t="shared" si="17"/>
        <v>0</v>
      </c>
      <c r="R58" s="65">
        <f t="shared" si="17"/>
        <v>1.0263341037339399E-2</v>
      </c>
      <c r="S58" s="65">
        <f t="shared" si="17"/>
        <v>5.6543622497264759E-2</v>
      </c>
      <c r="T58" s="65">
        <f t="shared" si="17"/>
        <v>1.5984395852377428E-2</v>
      </c>
      <c r="U58" s="65">
        <f t="shared" si="17"/>
        <v>2.2604974855560799E-3</v>
      </c>
      <c r="V58" s="65">
        <f t="shared" si="17"/>
        <v>0</v>
      </c>
      <c r="W58" s="65">
        <f t="shared" si="17"/>
        <v>0</v>
      </c>
      <c r="X58" s="65">
        <f t="shared" si="17"/>
        <v>0.17892439950999453</v>
      </c>
      <c r="Y58" s="65">
        <f t="shared" si="17"/>
        <v>6.3799280769677863E-2</v>
      </c>
      <c r="Z58" s="65">
        <f t="shared" si="17"/>
        <v>1.9975947005438827E-2</v>
      </c>
      <c r="AA58" s="65">
        <f t="shared" si="17"/>
        <v>0</v>
      </c>
      <c r="AB58" s="65">
        <f t="shared" si="17"/>
        <v>1.933291064215002E-4</v>
      </c>
      <c r="AC58" s="65">
        <f t="shared" si="17"/>
        <v>0</v>
      </c>
      <c r="AD58" s="65">
        <f t="shared" si="17"/>
        <v>3.3173028506583109E-2</v>
      </c>
      <c r="AE58" s="65">
        <f t="shared" si="17"/>
        <v>0</v>
      </c>
      <c r="AF58" s="65">
        <f t="shared" si="17"/>
        <v>2.006771879981095E-3</v>
      </c>
      <c r="AG58" s="65">
        <f t="shared" si="17"/>
        <v>0</v>
      </c>
      <c r="AH58" s="65">
        <f t="shared" si="17"/>
        <v>0</v>
      </c>
      <c r="AI58" s="65">
        <f t="shared" si="17"/>
        <v>0</v>
      </c>
      <c r="AJ58" s="65">
        <f t="shared" si="17"/>
        <v>0</v>
      </c>
      <c r="AK58" s="65">
        <f t="shared" si="17"/>
        <v>0</v>
      </c>
      <c r="AL58" s="65">
        <f t="shared" si="17"/>
        <v>0</v>
      </c>
      <c r="AM58" s="65">
        <f t="shared" si="17"/>
        <v>0</v>
      </c>
      <c r="AN58" s="65">
        <f t="shared" si="17"/>
        <v>0</v>
      </c>
      <c r="AO58" s="65">
        <f t="shared" si="17"/>
        <v>0</v>
      </c>
      <c r="AP58" s="65">
        <f t="shared" si="17"/>
        <v>0</v>
      </c>
      <c r="AQ58" s="65">
        <f t="shared" si="17"/>
        <v>0</v>
      </c>
      <c r="AR58" s="65">
        <f t="shared" si="17"/>
        <v>0</v>
      </c>
      <c r="AS58" s="65">
        <f t="shared" si="17"/>
        <v>0</v>
      </c>
      <c r="AT58" s="65">
        <f t="shared" si="17"/>
        <v>0</v>
      </c>
      <c r="AU58" s="65">
        <f t="shared" si="17"/>
        <v>0</v>
      </c>
      <c r="AX58" s="19"/>
      <c r="AZ58" s="19"/>
      <c r="BA58" s="19"/>
      <c r="BC58" s="61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</row>
    <row r="59" spans="1:97" x14ac:dyDescent="0.25">
      <c r="A59" s="136"/>
      <c r="B59" s="136"/>
      <c r="AX59" s="19"/>
      <c r="AZ59" s="19"/>
      <c r="BA59" s="19"/>
      <c r="BC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</row>
    <row r="60" spans="1:97" x14ac:dyDescent="0.25">
      <c r="A60" s="136">
        <v>33</v>
      </c>
      <c r="B60" s="136"/>
      <c r="C60" s="136" t="s">
        <v>416</v>
      </c>
      <c r="D60" s="8">
        <f>SUM(F60:AV60)</f>
        <v>164968.98587453793</v>
      </c>
      <c r="F60" s="22">
        <v>52737.375045420536</v>
      </c>
      <c r="G60" s="22">
        <v>47062.443835309445</v>
      </c>
      <c r="H60" s="22">
        <v>0</v>
      </c>
      <c r="I60" s="22">
        <v>110.70612294730432</v>
      </c>
      <c r="J60" s="22">
        <v>2713.6018567884316</v>
      </c>
      <c r="K60" s="22">
        <v>106.87487369552488</v>
      </c>
      <c r="L60" s="22">
        <v>0</v>
      </c>
      <c r="M60" s="22">
        <v>8.0759609377615718</v>
      </c>
      <c r="N60" s="22">
        <v>16.705202025905034</v>
      </c>
      <c r="O60" s="22">
        <v>83.01735370287588</v>
      </c>
      <c r="P60" s="22">
        <v>0</v>
      </c>
      <c r="Q60" s="22">
        <v>0</v>
      </c>
      <c r="R60" s="22">
        <v>0</v>
      </c>
      <c r="S60" s="22">
        <v>9708.1307092413463</v>
      </c>
      <c r="T60" s="22">
        <v>2896.350079144861</v>
      </c>
      <c r="U60" s="22">
        <v>105.09705491386967</v>
      </c>
      <c r="V60" s="22">
        <v>866.67387685461426</v>
      </c>
      <c r="W60" s="22">
        <v>0</v>
      </c>
      <c r="X60" s="22">
        <v>31063.098284247117</v>
      </c>
      <c r="Y60" s="22">
        <v>11509.78467508778</v>
      </c>
      <c r="Z60" s="22">
        <v>2538.0193452308213</v>
      </c>
      <c r="AA60" s="22">
        <v>0.86343537199578013</v>
      </c>
      <c r="AB60" s="22">
        <v>27.991999999999997</v>
      </c>
      <c r="AC60" s="22">
        <v>16.1974348133257</v>
      </c>
      <c r="AD60" s="22">
        <v>2111.0122325419179</v>
      </c>
      <c r="AE60" s="22">
        <v>30.521005608382207</v>
      </c>
      <c r="AF60" s="22">
        <v>0</v>
      </c>
      <c r="AG60" s="22">
        <v>0</v>
      </c>
      <c r="AH60" s="22">
        <v>807.28860333248974</v>
      </c>
      <c r="AI60" s="22">
        <v>5.7968011518506861</v>
      </c>
      <c r="AJ60" s="22">
        <v>263.45854234396222</v>
      </c>
      <c r="AK60" s="22">
        <v>179.9015438258038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X60" s="19"/>
      <c r="BA60" s="19"/>
    </row>
    <row r="61" spans="1:97" x14ac:dyDescent="0.25">
      <c r="A61" s="136">
        <v>34</v>
      </c>
      <c r="B61" s="136" t="s">
        <v>326</v>
      </c>
      <c r="D61" s="65">
        <f>SUM(F183:AV183)</f>
        <v>0</v>
      </c>
      <c r="F61" s="65">
        <f t="shared" ref="F61:AU61" si="18">F60/$D60</f>
        <v>0.31968054338121665</v>
      </c>
      <c r="G61" s="65">
        <f t="shared" si="18"/>
        <v>0.28528055492261639</v>
      </c>
      <c r="H61" s="65">
        <f t="shared" si="18"/>
        <v>0</v>
      </c>
      <c r="I61" s="65">
        <f t="shared" si="18"/>
        <v>6.7107233738769806E-4</v>
      </c>
      <c r="J61" s="65">
        <f t="shared" si="18"/>
        <v>1.6449163716458666E-2</v>
      </c>
      <c r="K61" s="65">
        <f t="shared" si="18"/>
        <v>6.4784827965666991E-4</v>
      </c>
      <c r="L61" s="65">
        <f t="shared" si="18"/>
        <v>0</v>
      </c>
      <c r="M61" s="65">
        <f t="shared" si="18"/>
        <v>4.8954419492543247E-5</v>
      </c>
      <c r="N61" s="65">
        <f t="shared" si="18"/>
        <v>1.0126268242086219E-4</v>
      </c>
      <c r="O61" s="65">
        <f t="shared" si="18"/>
        <v>5.0323006632296428E-4</v>
      </c>
      <c r="P61" s="65">
        <f t="shared" si="18"/>
        <v>0</v>
      </c>
      <c r="Q61" s="65">
        <f t="shared" si="18"/>
        <v>0</v>
      </c>
      <c r="R61" s="65">
        <f t="shared" si="18"/>
        <v>0</v>
      </c>
      <c r="S61" s="65">
        <f t="shared" si="18"/>
        <v>5.8848217183225977E-2</v>
      </c>
      <c r="T61" s="65">
        <f t="shared" si="18"/>
        <v>1.7556936922359399E-2</v>
      </c>
      <c r="U61" s="65">
        <f t="shared" si="18"/>
        <v>6.3707159474083201E-4</v>
      </c>
      <c r="V61" s="65">
        <f t="shared" si="18"/>
        <v>5.253556432199543E-3</v>
      </c>
      <c r="W61" s="65">
        <f t="shared" si="18"/>
        <v>0</v>
      </c>
      <c r="X61" s="65">
        <f t="shared" si="18"/>
        <v>0.18829659477855551</v>
      </c>
      <c r="Y61" s="65">
        <f t="shared" si="18"/>
        <v>6.9769384918454858E-2</v>
      </c>
      <c r="Z61" s="65">
        <f t="shared" si="18"/>
        <v>1.5384827225409712E-2</v>
      </c>
      <c r="AA61" s="65">
        <f t="shared" si="18"/>
        <v>5.2339254400972029E-6</v>
      </c>
      <c r="AB61" s="65">
        <f t="shared" si="18"/>
        <v>1.6968037871850923E-4</v>
      </c>
      <c r="AC61" s="65">
        <f t="shared" si="18"/>
        <v>9.8184726828860777E-5</v>
      </c>
      <c r="AD61" s="65">
        <f t="shared" si="18"/>
        <v>1.279641880169757E-2</v>
      </c>
      <c r="AE61" s="65">
        <f t="shared" si="18"/>
        <v>1.8501056696556295E-4</v>
      </c>
      <c r="AF61" s="65">
        <f t="shared" si="18"/>
        <v>0</v>
      </c>
      <c r="AG61" s="65">
        <f t="shared" si="18"/>
        <v>0</v>
      </c>
      <c r="AH61" s="65">
        <f t="shared" si="18"/>
        <v>4.8935780204556033E-3</v>
      </c>
      <c r="AI61" s="65">
        <f t="shared" si="18"/>
        <v>3.5138733023789476E-5</v>
      </c>
      <c r="AJ61" s="65">
        <f t="shared" si="18"/>
        <v>1.5970186210899513E-3</v>
      </c>
      <c r="AK61" s="65">
        <f t="shared" si="18"/>
        <v>1.0905173652617491E-3</v>
      </c>
      <c r="AL61" s="65">
        <f t="shared" si="18"/>
        <v>0</v>
      </c>
      <c r="AM61" s="65">
        <f t="shared" si="18"/>
        <v>0</v>
      </c>
      <c r="AN61" s="65">
        <f t="shared" si="18"/>
        <v>0</v>
      </c>
      <c r="AO61" s="65">
        <f t="shared" si="18"/>
        <v>0</v>
      </c>
      <c r="AP61" s="65">
        <f t="shared" si="18"/>
        <v>0</v>
      </c>
      <c r="AQ61" s="65">
        <f t="shared" si="18"/>
        <v>0</v>
      </c>
      <c r="AR61" s="65">
        <f t="shared" si="18"/>
        <v>0</v>
      </c>
      <c r="AS61" s="65">
        <f t="shared" si="18"/>
        <v>0</v>
      </c>
      <c r="AT61" s="65">
        <f t="shared" si="18"/>
        <v>0</v>
      </c>
      <c r="AU61" s="65">
        <f t="shared" si="18"/>
        <v>0</v>
      </c>
      <c r="AX61" s="19"/>
      <c r="AZ61" s="19"/>
      <c r="BA61" s="19"/>
      <c r="BC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30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</row>
    <row r="62" spans="1:97" x14ac:dyDescent="0.25">
      <c r="A62" s="136"/>
      <c r="B62" s="136"/>
      <c r="AX62" s="19"/>
      <c r="AZ62" s="19"/>
      <c r="BA62" s="19"/>
      <c r="BC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</row>
    <row r="63" spans="1:97" x14ac:dyDescent="0.25">
      <c r="A63" s="136">
        <v>35</v>
      </c>
      <c r="B63" s="136"/>
      <c r="C63" s="136" t="s">
        <v>416</v>
      </c>
      <c r="D63" s="23">
        <f>SUM(F63:AU63)</f>
        <v>1397098621.3606761</v>
      </c>
      <c r="F63" s="22">
        <v>607972130.42854583</v>
      </c>
      <c r="G63" s="22">
        <v>218009367.05453572</v>
      </c>
      <c r="H63" s="22">
        <v>0</v>
      </c>
      <c r="I63" s="22">
        <v>392766.73843750003</v>
      </c>
      <c r="J63" s="22">
        <v>4788243.798740237</v>
      </c>
      <c r="K63" s="22">
        <v>811934.16003333335</v>
      </c>
      <c r="L63" s="22">
        <v>209635.33333333334</v>
      </c>
      <c r="M63" s="22">
        <v>1362402.6593830751</v>
      </c>
      <c r="N63" s="22">
        <v>120633.99305555555</v>
      </c>
      <c r="O63" s="22">
        <v>537236.16052469134</v>
      </c>
      <c r="P63" s="22">
        <v>0</v>
      </c>
      <c r="Q63" s="22">
        <v>0</v>
      </c>
      <c r="R63" s="22">
        <v>0</v>
      </c>
      <c r="S63" s="22">
        <v>117598866.8240574</v>
      </c>
      <c r="T63" s="22">
        <v>7374060.7816929966</v>
      </c>
      <c r="U63" s="22">
        <v>1357463.523244444</v>
      </c>
      <c r="V63" s="22">
        <v>53448.966800000002</v>
      </c>
      <c r="W63" s="22">
        <v>866304</v>
      </c>
      <c r="X63" s="22">
        <v>387833146.47723031</v>
      </c>
      <c r="Y63" s="22">
        <v>33725228.705074474</v>
      </c>
      <c r="Z63" s="22">
        <v>4534474.3199999919</v>
      </c>
      <c r="AA63" s="22">
        <v>0</v>
      </c>
      <c r="AB63" s="22">
        <v>183899.12041666661</v>
      </c>
      <c r="AC63" s="22">
        <v>788139.08749999979</v>
      </c>
      <c r="AD63" s="22">
        <v>2792337.1208577962</v>
      </c>
      <c r="AE63" s="22">
        <v>195953.48216545937</v>
      </c>
      <c r="AF63" s="22">
        <v>108105.42</v>
      </c>
      <c r="AG63" s="22">
        <v>0</v>
      </c>
      <c r="AH63" s="22">
        <v>1821596.71030303</v>
      </c>
      <c r="AI63" s="22">
        <v>0</v>
      </c>
      <c r="AJ63" s="22">
        <v>3556428.8280769223</v>
      </c>
      <c r="AK63" s="22">
        <v>0</v>
      </c>
      <c r="AL63" s="22">
        <v>104817.66666666667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X63" s="19"/>
      <c r="BA63" s="19"/>
    </row>
    <row r="64" spans="1:97" x14ac:dyDescent="0.25">
      <c r="A64" s="136">
        <v>36</v>
      </c>
      <c r="B64" s="136" t="s">
        <v>215</v>
      </c>
      <c r="D64" s="65">
        <f>SUM(F64:AU64)</f>
        <v>0.99999999999999967</v>
      </c>
      <c r="F64" s="65">
        <f t="shared" ref="F64:AU64" si="19">F63/$D63</f>
        <v>0.43516765469027779</v>
      </c>
      <c r="G64" s="65">
        <f t="shared" si="19"/>
        <v>0.15604436488686094</v>
      </c>
      <c r="H64" s="65">
        <f t="shared" si="19"/>
        <v>0</v>
      </c>
      <c r="I64" s="65">
        <f t="shared" si="19"/>
        <v>2.8113028846522858E-4</v>
      </c>
      <c r="J64" s="65">
        <f t="shared" si="19"/>
        <v>3.4272768761856079E-3</v>
      </c>
      <c r="K64" s="65">
        <f t="shared" si="19"/>
        <v>5.8115736972280912E-4</v>
      </c>
      <c r="L64" s="65">
        <f t="shared" si="19"/>
        <v>1.5005049044366191E-4</v>
      </c>
      <c r="M64" s="65">
        <f t="shared" si="19"/>
        <v>9.7516570308844083E-4</v>
      </c>
      <c r="N64" s="65">
        <f t="shared" si="19"/>
        <v>8.6346082668141568E-5</v>
      </c>
      <c r="O64" s="65">
        <f t="shared" si="19"/>
        <v>3.8453703433008972E-4</v>
      </c>
      <c r="P64" s="65">
        <f t="shared" si="19"/>
        <v>0</v>
      </c>
      <c r="Q64" s="65">
        <f t="shared" si="19"/>
        <v>0</v>
      </c>
      <c r="R64" s="65">
        <f t="shared" si="19"/>
        <v>0</v>
      </c>
      <c r="S64" s="65">
        <f t="shared" si="19"/>
        <v>8.4173633146616633E-2</v>
      </c>
      <c r="T64" s="65">
        <f t="shared" si="19"/>
        <v>5.2781247285973113E-3</v>
      </c>
      <c r="U64" s="65">
        <f t="shared" si="19"/>
        <v>9.716304221403997E-4</v>
      </c>
      <c r="V64" s="65">
        <f t="shared" si="19"/>
        <v>3.8257117989240058E-5</v>
      </c>
      <c r="W64" s="65">
        <f t="shared" si="19"/>
        <v>6.2007362025472525E-4</v>
      </c>
      <c r="X64" s="65">
        <f t="shared" si="19"/>
        <v>0.27759897586865273</v>
      </c>
      <c r="Y64" s="65">
        <f t="shared" si="19"/>
        <v>2.4139476046600394E-2</v>
      </c>
      <c r="Z64" s="65">
        <f t="shared" si="19"/>
        <v>3.2456365289257332E-3</v>
      </c>
      <c r="AA64" s="65">
        <f t="shared" si="19"/>
        <v>0</v>
      </c>
      <c r="AB64" s="65">
        <f t="shared" si="19"/>
        <v>1.3162930490730982E-4</v>
      </c>
      <c r="AC64" s="65">
        <f t="shared" si="19"/>
        <v>5.6412559245989924E-4</v>
      </c>
      <c r="AD64" s="65">
        <f t="shared" si="19"/>
        <v>1.9986685822782186E-3</v>
      </c>
      <c r="AE64" s="65">
        <f t="shared" si="19"/>
        <v>1.4025744437040131E-4</v>
      </c>
      <c r="AF64" s="65">
        <f t="shared" si="19"/>
        <v>7.7378517412545226E-5</v>
      </c>
      <c r="AG64" s="65">
        <f t="shared" si="19"/>
        <v>0</v>
      </c>
      <c r="AH64" s="65">
        <f t="shared" si="19"/>
        <v>1.3038426081395189E-3</v>
      </c>
      <c r="AI64" s="65">
        <f t="shared" si="19"/>
        <v>0</v>
      </c>
      <c r="AJ64" s="65">
        <f t="shared" si="19"/>
        <v>2.5455818033899499E-3</v>
      </c>
      <c r="AK64" s="65">
        <f t="shared" si="19"/>
        <v>0</v>
      </c>
      <c r="AL64" s="65">
        <f t="shared" si="19"/>
        <v>7.5025245221830954E-5</v>
      </c>
      <c r="AM64" s="65">
        <f t="shared" si="19"/>
        <v>0</v>
      </c>
      <c r="AN64" s="65">
        <f t="shared" si="19"/>
        <v>0</v>
      </c>
      <c r="AO64" s="65">
        <f t="shared" si="19"/>
        <v>0</v>
      </c>
      <c r="AP64" s="65">
        <f t="shared" si="19"/>
        <v>0</v>
      </c>
      <c r="AQ64" s="65">
        <f t="shared" si="19"/>
        <v>0</v>
      </c>
      <c r="AR64" s="65">
        <f t="shared" si="19"/>
        <v>0</v>
      </c>
      <c r="AS64" s="65">
        <f t="shared" si="19"/>
        <v>0</v>
      </c>
      <c r="AT64" s="65">
        <f t="shared" si="19"/>
        <v>0</v>
      </c>
      <c r="AU64" s="65">
        <f t="shared" si="19"/>
        <v>0</v>
      </c>
      <c r="AX64" s="19"/>
      <c r="AZ64" s="19"/>
      <c r="BA64" s="19"/>
      <c r="BC64" s="61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30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</row>
    <row r="65" spans="1:97" x14ac:dyDescent="0.25">
      <c r="A65" s="136"/>
      <c r="B65" s="136"/>
      <c r="AX65" s="19"/>
      <c r="AZ65" s="19"/>
      <c r="BA65" s="19"/>
      <c r="BC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</row>
    <row r="66" spans="1:97" x14ac:dyDescent="0.25">
      <c r="A66" s="136">
        <v>37</v>
      </c>
      <c r="B66" s="136"/>
      <c r="C66" s="136" t="s">
        <v>416</v>
      </c>
      <c r="D66" s="23">
        <f>SUM(F66:AU66)</f>
        <v>5103.103917910129</v>
      </c>
      <c r="E66" s="22"/>
      <c r="F66" s="22">
        <v>1526.9872041520814</v>
      </c>
      <c r="G66" s="22">
        <v>1327.1355611453978</v>
      </c>
      <c r="H66" s="22">
        <v>0</v>
      </c>
      <c r="I66" s="22">
        <v>3.5583544763805657</v>
      </c>
      <c r="J66" s="22">
        <v>96.969033783514035</v>
      </c>
      <c r="K66" s="22">
        <v>3.5763279645847383</v>
      </c>
      <c r="L66" s="22">
        <v>0</v>
      </c>
      <c r="M66" s="22">
        <v>0</v>
      </c>
      <c r="N66" s="22">
        <v>0</v>
      </c>
      <c r="O66" s="22">
        <v>0</v>
      </c>
      <c r="P66" s="22">
        <v>28.767204426229505</v>
      </c>
      <c r="Q66" s="22">
        <v>0</v>
      </c>
      <c r="R66" s="22">
        <v>11.792000000000002</v>
      </c>
      <c r="S66" s="22">
        <v>273.79183400310671</v>
      </c>
      <c r="T66" s="22">
        <v>77.398597093169471</v>
      </c>
      <c r="U66" s="22">
        <v>10.945633211946214</v>
      </c>
      <c r="V66" s="22">
        <v>0</v>
      </c>
      <c r="W66" s="22">
        <v>0</v>
      </c>
      <c r="X66" s="22">
        <v>866.37603546033358</v>
      </c>
      <c r="Y66" s="22">
        <v>308.92470836749493</v>
      </c>
      <c r="Z66" s="22">
        <v>96.72622525789771</v>
      </c>
      <c r="AA66" s="22">
        <v>0</v>
      </c>
      <c r="AB66" s="22">
        <v>0.93612556598907082</v>
      </c>
      <c r="AC66" s="22">
        <v>0</v>
      </c>
      <c r="AD66" s="22">
        <v>160.62827093708202</v>
      </c>
      <c r="AE66" s="22">
        <v>0</v>
      </c>
      <c r="AF66" s="22">
        <v>9.7170596643762064</v>
      </c>
      <c r="AG66" s="22">
        <v>0</v>
      </c>
      <c r="AH66" s="22">
        <v>33.811684609040512</v>
      </c>
      <c r="AI66" s="22">
        <v>0</v>
      </c>
      <c r="AJ66" s="22">
        <v>210.92305779150618</v>
      </c>
      <c r="AK66" s="22">
        <v>0</v>
      </c>
      <c r="AL66" s="22">
        <v>54.139000000000003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X66" s="19"/>
      <c r="BA66" s="19"/>
    </row>
    <row r="67" spans="1:97" x14ac:dyDescent="0.25">
      <c r="A67" s="136">
        <v>38</v>
      </c>
      <c r="B67" s="136" t="s">
        <v>180</v>
      </c>
      <c r="D67" s="65">
        <f>SUM(F67:AU67)</f>
        <v>1.0000000000000004</v>
      </c>
      <c r="F67" s="65">
        <f t="shared" ref="F67:AU67" si="20">F66/$D66</f>
        <v>0.29922714267935729</v>
      </c>
      <c r="G67" s="65">
        <f t="shared" si="20"/>
        <v>0.26006438091288153</v>
      </c>
      <c r="H67" s="65">
        <f t="shared" si="20"/>
        <v>0</v>
      </c>
      <c r="I67" s="65">
        <f t="shared" si="20"/>
        <v>6.9729218405527131E-4</v>
      </c>
      <c r="J67" s="65">
        <f t="shared" si="20"/>
        <v>1.9001971220532328E-2</v>
      </c>
      <c r="K67" s="65">
        <f t="shared" si="20"/>
        <v>7.0081425385696433E-4</v>
      </c>
      <c r="L67" s="65">
        <f t="shared" si="20"/>
        <v>0</v>
      </c>
      <c r="M67" s="65">
        <f t="shared" si="20"/>
        <v>0</v>
      </c>
      <c r="N67" s="65">
        <f t="shared" si="20"/>
        <v>0</v>
      </c>
      <c r="O67" s="65">
        <f t="shared" si="20"/>
        <v>0</v>
      </c>
      <c r="P67" s="65">
        <f t="shared" si="20"/>
        <v>5.6371974564865457E-3</v>
      </c>
      <c r="Q67" s="65">
        <f t="shared" si="20"/>
        <v>0</v>
      </c>
      <c r="R67" s="65">
        <f t="shared" si="20"/>
        <v>2.3107505137440298E-3</v>
      </c>
      <c r="S67" s="65">
        <f t="shared" si="20"/>
        <v>5.3652020105291624E-2</v>
      </c>
      <c r="T67" s="65">
        <f t="shared" si="20"/>
        <v>1.5166964721515307E-2</v>
      </c>
      <c r="U67" s="65">
        <f t="shared" si="20"/>
        <v>2.1448971817976956E-3</v>
      </c>
      <c r="V67" s="65">
        <f t="shared" si="20"/>
        <v>0</v>
      </c>
      <c r="W67" s="65">
        <f t="shared" si="20"/>
        <v>0</v>
      </c>
      <c r="X67" s="65">
        <f t="shared" si="20"/>
        <v>0.16977432742838205</v>
      </c>
      <c r="Y67" s="65">
        <f t="shared" si="20"/>
        <v>6.0536628949153105E-2</v>
      </c>
      <c r="Z67" s="65">
        <f t="shared" si="20"/>
        <v>1.8954390663772715E-2</v>
      </c>
      <c r="AA67" s="65">
        <f t="shared" si="20"/>
        <v>0</v>
      </c>
      <c r="AB67" s="65">
        <f t="shared" si="20"/>
        <v>1.8344238742691365E-4</v>
      </c>
      <c r="AC67" s="65">
        <f t="shared" si="20"/>
        <v>0</v>
      </c>
      <c r="AD67" s="65">
        <f t="shared" si="20"/>
        <v>3.1476582393968576E-2</v>
      </c>
      <c r="AE67" s="65">
        <f t="shared" si="20"/>
        <v>0</v>
      </c>
      <c r="AF67" s="65">
        <f t="shared" si="20"/>
        <v>1.9041469311006365E-3</v>
      </c>
      <c r="AG67" s="65">
        <f t="shared" si="20"/>
        <v>0</v>
      </c>
      <c r="AH67" s="65">
        <f t="shared" si="20"/>
        <v>6.6257095981081624E-3</v>
      </c>
      <c r="AI67" s="65">
        <f t="shared" si="20"/>
        <v>0</v>
      </c>
      <c r="AJ67" s="65">
        <f t="shared" si="20"/>
        <v>4.1332307000694075E-2</v>
      </c>
      <c r="AK67" s="65">
        <f t="shared" si="20"/>
        <v>0</v>
      </c>
      <c r="AL67" s="65">
        <f t="shared" si="20"/>
        <v>1.0609033417875511E-2</v>
      </c>
      <c r="AM67" s="65">
        <f t="shared" si="20"/>
        <v>0</v>
      </c>
      <c r="AN67" s="65">
        <f t="shared" si="20"/>
        <v>0</v>
      </c>
      <c r="AO67" s="65">
        <f t="shared" si="20"/>
        <v>0</v>
      </c>
      <c r="AP67" s="65">
        <f t="shared" si="20"/>
        <v>0</v>
      </c>
      <c r="AQ67" s="65">
        <f t="shared" si="20"/>
        <v>0</v>
      </c>
      <c r="AR67" s="65">
        <f t="shared" si="20"/>
        <v>0</v>
      </c>
      <c r="AS67" s="65">
        <f t="shared" si="20"/>
        <v>0</v>
      </c>
      <c r="AT67" s="65">
        <f t="shared" si="20"/>
        <v>0</v>
      </c>
      <c r="AU67" s="65">
        <f t="shared" si="20"/>
        <v>0</v>
      </c>
      <c r="AX67" s="19"/>
      <c r="AZ67" s="19"/>
      <c r="BA67" s="19"/>
      <c r="BC67" s="61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</row>
    <row r="68" spans="1:97" x14ac:dyDescent="0.25">
      <c r="A68" s="136"/>
      <c r="B68" s="136"/>
    </row>
    <row r="69" spans="1:97" x14ac:dyDescent="0.25">
      <c r="A69" s="136">
        <v>39</v>
      </c>
      <c r="B69" s="136"/>
      <c r="C69" s="136" t="s">
        <v>417</v>
      </c>
      <c r="D69" s="23">
        <f>SUM(F69:AU69)</f>
        <v>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</row>
    <row r="70" spans="1:97" x14ac:dyDescent="0.25">
      <c r="A70" s="136">
        <v>40</v>
      </c>
      <c r="B70" s="136" t="s">
        <v>383</v>
      </c>
      <c r="D70" s="65">
        <f>SUM(F70:AU70)</f>
        <v>1</v>
      </c>
      <c r="F70" s="65">
        <f t="shared" ref="F70:AU70" si="21">F69/$D69</f>
        <v>0</v>
      </c>
      <c r="G70" s="65">
        <f t="shared" si="21"/>
        <v>0</v>
      </c>
      <c r="H70" s="65">
        <f t="shared" si="21"/>
        <v>0</v>
      </c>
      <c r="I70" s="65">
        <f t="shared" si="21"/>
        <v>0</v>
      </c>
      <c r="J70" s="65">
        <f t="shared" si="21"/>
        <v>0</v>
      </c>
      <c r="K70" s="65">
        <f t="shared" si="21"/>
        <v>0</v>
      </c>
      <c r="L70" s="65">
        <f t="shared" si="21"/>
        <v>0</v>
      </c>
      <c r="M70" s="65">
        <f t="shared" si="21"/>
        <v>0</v>
      </c>
      <c r="N70" s="65">
        <f t="shared" si="21"/>
        <v>0</v>
      </c>
      <c r="O70" s="65">
        <f t="shared" si="21"/>
        <v>0</v>
      </c>
      <c r="P70" s="65">
        <f t="shared" si="21"/>
        <v>0</v>
      </c>
      <c r="Q70" s="65">
        <f t="shared" si="21"/>
        <v>0</v>
      </c>
      <c r="R70" s="65">
        <f t="shared" si="21"/>
        <v>1</v>
      </c>
      <c r="S70" s="65">
        <f t="shared" si="21"/>
        <v>0</v>
      </c>
      <c r="T70" s="65">
        <f t="shared" si="21"/>
        <v>0</v>
      </c>
      <c r="U70" s="65">
        <f t="shared" si="21"/>
        <v>0</v>
      </c>
      <c r="V70" s="65">
        <f t="shared" si="21"/>
        <v>0</v>
      </c>
      <c r="W70" s="65">
        <f t="shared" si="21"/>
        <v>0</v>
      </c>
      <c r="X70" s="65">
        <f t="shared" si="21"/>
        <v>0</v>
      </c>
      <c r="Y70" s="65">
        <f t="shared" si="21"/>
        <v>0</v>
      </c>
      <c r="Z70" s="65">
        <f t="shared" si="21"/>
        <v>0</v>
      </c>
      <c r="AA70" s="65">
        <f t="shared" si="21"/>
        <v>0</v>
      </c>
      <c r="AB70" s="65">
        <f t="shared" si="21"/>
        <v>0</v>
      </c>
      <c r="AC70" s="65">
        <f t="shared" si="21"/>
        <v>0</v>
      </c>
      <c r="AD70" s="65">
        <f t="shared" si="21"/>
        <v>0</v>
      </c>
      <c r="AE70" s="65">
        <f t="shared" si="21"/>
        <v>0</v>
      </c>
      <c r="AF70" s="65">
        <f t="shared" si="21"/>
        <v>0</v>
      </c>
      <c r="AG70" s="65">
        <f t="shared" si="21"/>
        <v>0</v>
      </c>
      <c r="AH70" s="65">
        <f t="shared" si="21"/>
        <v>0</v>
      </c>
      <c r="AI70" s="65">
        <f t="shared" si="21"/>
        <v>0</v>
      </c>
      <c r="AJ70" s="65">
        <f t="shared" si="21"/>
        <v>0</v>
      </c>
      <c r="AK70" s="65">
        <f t="shared" si="21"/>
        <v>0</v>
      </c>
      <c r="AL70" s="65">
        <f t="shared" si="21"/>
        <v>0</v>
      </c>
      <c r="AM70" s="65">
        <f t="shared" si="21"/>
        <v>0</v>
      </c>
      <c r="AN70" s="65">
        <f t="shared" si="21"/>
        <v>0</v>
      </c>
      <c r="AO70" s="65">
        <f t="shared" si="21"/>
        <v>0</v>
      </c>
      <c r="AP70" s="65">
        <f t="shared" si="21"/>
        <v>0</v>
      </c>
      <c r="AQ70" s="65">
        <f t="shared" si="21"/>
        <v>0</v>
      </c>
      <c r="AR70" s="65">
        <f t="shared" si="21"/>
        <v>0</v>
      </c>
      <c r="AS70" s="65">
        <f t="shared" si="21"/>
        <v>0</v>
      </c>
      <c r="AT70" s="65">
        <f t="shared" si="21"/>
        <v>0</v>
      </c>
      <c r="AU70" s="65">
        <f t="shared" si="21"/>
        <v>0</v>
      </c>
    </row>
    <row r="71" spans="1:97" x14ac:dyDescent="0.25">
      <c r="A71" s="136"/>
      <c r="B71" s="136"/>
      <c r="AX71" s="19"/>
      <c r="AZ71" s="19"/>
      <c r="BA71" s="19"/>
      <c r="BC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</row>
    <row r="72" spans="1:97" x14ac:dyDescent="0.25">
      <c r="A72" s="136">
        <v>41</v>
      </c>
      <c r="B72" s="136"/>
      <c r="C72" s="136" t="s">
        <v>416</v>
      </c>
      <c r="D72" s="23">
        <f>SUM(F72:AU72)</f>
        <v>399181.16683725698</v>
      </c>
      <c r="F72" s="22">
        <v>113612.02450484876</v>
      </c>
      <c r="G72" s="22">
        <v>100366.58123851714</v>
      </c>
      <c r="H72" s="22">
        <v>0</v>
      </c>
      <c r="I72" s="22">
        <v>107.08144382703492</v>
      </c>
      <c r="J72" s="22">
        <v>3079.7477713852104</v>
      </c>
      <c r="K72" s="22">
        <v>722.38144143712543</v>
      </c>
      <c r="L72" s="22">
        <v>874.11467383807894</v>
      </c>
      <c r="M72" s="22">
        <v>58.647343784649223</v>
      </c>
      <c r="N72" s="22">
        <v>44.17074004495511</v>
      </c>
      <c r="O72" s="22">
        <v>466.712961923595</v>
      </c>
      <c r="P72" s="22">
        <v>868.57357090689152</v>
      </c>
      <c r="Q72" s="22">
        <v>0</v>
      </c>
      <c r="R72" s="22">
        <v>301.03822378331671</v>
      </c>
      <c r="S72" s="22">
        <v>22414.677583420642</v>
      </c>
      <c r="T72" s="22">
        <v>6502.0259486711566</v>
      </c>
      <c r="U72" s="22">
        <v>1194.7138517863395</v>
      </c>
      <c r="V72" s="22">
        <v>134.3861344239653</v>
      </c>
      <c r="W72" s="22">
        <v>1140.4983962553101</v>
      </c>
      <c r="X72" s="22">
        <v>72287.978036648637</v>
      </c>
      <c r="Y72" s="22">
        <v>25609.620704077945</v>
      </c>
      <c r="Z72" s="22">
        <v>1894.3532446079012</v>
      </c>
      <c r="AA72" s="22">
        <v>1.6341748457473377</v>
      </c>
      <c r="AB72" s="22">
        <v>12.693193651509461</v>
      </c>
      <c r="AC72" s="22">
        <v>58.368587771108601</v>
      </c>
      <c r="AD72" s="22">
        <v>2560.397168304728</v>
      </c>
      <c r="AE72" s="22">
        <v>172.11380735174873</v>
      </c>
      <c r="AF72" s="22">
        <v>260.05480864657181</v>
      </c>
      <c r="AG72" s="22">
        <v>0</v>
      </c>
      <c r="AH72" s="22">
        <v>1034.0465504659148</v>
      </c>
      <c r="AI72" s="22">
        <v>0</v>
      </c>
      <c r="AJ72" s="22">
        <v>10232.467174134716</v>
      </c>
      <c r="AK72" s="22">
        <v>0</v>
      </c>
      <c r="AL72" s="22">
        <v>1326.8183285611672</v>
      </c>
      <c r="AM72" s="22">
        <v>310.94773910380445</v>
      </c>
      <c r="AN72" s="22">
        <v>2608.7456877180907</v>
      </c>
      <c r="AO72" s="22">
        <v>0</v>
      </c>
      <c r="AP72" s="22">
        <v>6746.1932733564454</v>
      </c>
      <c r="AQ72" s="22">
        <v>1167.716160047305</v>
      </c>
      <c r="AR72" s="22">
        <v>20540.952195993352</v>
      </c>
      <c r="AS72" s="22">
        <v>122.51525460672117</v>
      </c>
      <c r="AT72" s="22">
        <v>278.45110862193121</v>
      </c>
      <c r="AU72" s="22">
        <v>67.723809887484009</v>
      </c>
      <c r="AX72" s="19"/>
      <c r="BA72" s="19"/>
    </row>
    <row r="73" spans="1:97" x14ac:dyDescent="0.25">
      <c r="A73" s="136">
        <v>42</v>
      </c>
      <c r="B73" s="136" t="s">
        <v>394</v>
      </c>
      <c r="D73" s="65">
        <f>SUM(F73:AU73)</f>
        <v>1</v>
      </c>
      <c r="F73" s="65">
        <f t="shared" ref="F73:AU73" si="22">F72/$D72</f>
        <v>0.28461268702881337</v>
      </c>
      <c r="G73" s="65">
        <f t="shared" si="22"/>
        <v>0.25143115351290057</v>
      </c>
      <c r="H73" s="65">
        <f t="shared" si="22"/>
        <v>0</v>
      </c>
      <c r="I73" s="65">
        <f t="shared" si="22"/>
        <v>2.6825274517695667E-4</v>
      </c>
      <c r="J73" s="65">
        <f t="shared" si="22"/>
        <v>7.7151630067778202E-3</v>
      </c>
      <c r="K73" s="65">
        <f t="shared" si="22"/>
        <v>1.8096581238053113E-3</v>
      </c>
      <c r="L73" s="65">
        <f t="shared" si="22"/>
        <v>2.1897693239482127E-3</v>
      </c>
      <c r="M73" s="65">
        <f t="shared" si="22"/>
        <v>1.4691911507077509E-4</v>
      </c>
      <c r="N73" s="65">
        <f t="shared" si="22"/>
        <v>1.106533667280029E-4</v>
      </c>
      <c r="O73" s="65">
        <f t="shared" si="22"/>
        <v>1.1691758046137237E-3</v>
      </c>
      <c r="P73" s="65">
        <f t="shared" si="22"/>
        <v>2.1758881507077765E-3</v>
      </c>
      <c r="Q73" s="65">
        <f t="shared" si="22"/>
        <v>0</v>
      </c>
      <c r="R73" s="65">
        <f t="shared" si="22"/>
        <v>7.5413934522128301E-4</v>
      </c>
      <c r="S73" s="65">
        <f t="shared" si="22"/>
        <v>5.6151641023081955E-2</v>
      </c>
      <c r="T73" s="65">
        <f t="shared" si="22"/>
        <v>1.6288408594491585E-2</v>
      </c>
      <c r="U73" s="65">
        <f t="shared" si="22"/>
        <v>2.9929113671673165E-3</v>
      </c>
      <c r="V73" s="65">
        <f t="shared" si="22"/>
        <v>3.3665449572362581E-4</v>
      </c>
      <c r="W73" s="65">
        <f t="shared" si="22"/>
        <v>2.8570947003626608E-3</v>
      </c>
      <c r="X73" s="65">
        <f t="shared" si="22"/>
        <v>0.18109065267129668</v>
      </c>
      <c r="Y73" s="65">
        <f t="shared" si="22"/>
        <v>6.4155383148420897E-2</v>
      </c>
      <c r="Z73" s="65">
        <f t="shared" si="22"/>
        <v>4.7455977435433821E-3</v>
      </c>
      <c r="AA73" s="65">
        <f t="shared" si="22"/>
        <v>4.0938174981926892E-6</v>
      </c>
      <c r="AB73" s="65">
        <f t="shared" si="22"/>
        <v>3.1798077429550614E-5</v>
      </c>
      <c r="AC73" s="65">
        <f t="shared" si="22"/>
        <v>1.4622079551890535E-4</v>
      </c>
      <c r="AD73" s="65">
        <f t="shared" si="22"/>
        <v>6.4141231626505613E-3</v>
      </c>
      <c r="AE73" s="65">
        <f t="shared" si="22"/>
        <v>4.3116715328886791E-4</v>
      </c>
      <c r="AF73" s="65">
        <f t="shared" si="22"/>
        <v>6.5147063601974514E-4</v>
      </c>
      <c r="AG73" s="65">
        <f t="shared" si="22"/>
        <v>0</v>
      </c>
      <c r="AH73" s="65">
        <f t="shared" si="22"/>
        <v>2.5904191789876889E-3</v>
      </c>
      <c r="AI73" s="65">
        <f t="shared" si="22"/>
        <v>0</v>
      </c>
      <c r="AJ73" s="65">
        <f t="shared" si="22"/>
        <v>2.5633642125973372E-2</v>
      </c>
      <c r="AK73" s="65">
        <f t="shared" si="22"/>
        <v>0</v>
      </c>
      <c r="AL73" s="65">
        <f t="shared" si="22"/>
        <v>3.3238500179596413E-3</v>
      </c>
      <c r="AM73" s="65">
        <f t="shared" si="22"/>
        <v>7.7896395154978691E-4</v>
      </c>
      <c r="AN73" s="65">
        <f t="shared" si="22"/>
        <v>6.5352424023091644E-3</v>
      </c>
      <c r="AO73" s="65">
        <f t="shared" si="22"/>
        <v>0</v>
      </c>
      <c r="AP73" s="65">
        <f t="shared" si="22"/>
        <v>1.6900079046331399E-2</v>
      </c>
      <c r="AQ73" s="65">
        <f t="shared" si="22"/>
        <v>2.9252786881185048E-3</v>
      </c>
      <c r="AR73" s="65">
        <f t="shared" si="22"/>
        <v>5.1457718706373078E-2</v>
      </c>
      <c r="AS73" s="65">
        <f t="shared" si="22"/>
        <v>3.0691641987376039E-4</v>
      </c>
      <c r="AT73" s="65">
        <f t="shared" si="22"/>
        <v>6.9755572595801732E-4</v>
      </c>
      <c r="AU73" s="65">
        <f t="shared" si="22"/>
        <v>1.6965682630787658E-4</v>
      </c>
      <c r="AX73" s="19"/>
      <c r="AZ73" s="19"/>
      <c r="BA73" s="19"/>
      <c r="BC73" s="61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</row>
    <row r="74" spans="1:97" x14ac:dyDescent="0.25">
      <c r="A74" s="136"/>
      <c r="B74" s="136"/>
      <c r="AX74" s="19"/>
      <c r="AZ74" s="19"/>
      <c r="BA74" s="19"/>
      <c r="BC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167"/>
      <c r="CR74" s="167"/>
      <c r="CS74" s="167"/>
    </row>
    <row r="75" spans="1:97" x14ac:dyDescent="0.25">
      <c r="A75" s="136">
        <v>43</v>
      </c>
      <c r="B75" s="136"/>
      <c r="C75" s="136" t="s">
        <v>416</v>
      </c>
      <c r="D75" s="23">
        <f>SUM(F75:AU75)</f>
        <v>84167.505843646053</v>
      </c>
      <c r="F75" s="22">
        <v>16119.026834462427</v>
      </c>
      <c r="G75" s="22">
        <v>14384.500450077046</v>
      </c>
      <c r="H75" s="22">
        <v>0</v>
      </c>
      <c r="I75" s="22">
        <v>50.736234066479938</v>
      </c>
      <c r="J75" s="22">
        <v>1650.5239820072106</v>
      </c>
      <c r="K75" s="22">
        <v>346.87332883083747</v>
      </c>
      <c r="L75" s="22">
        <v>0</v>
      </c>
      <c r="M75" s="22">
        <v>5.7512421131013012</v>
      </c>
      <c r="N75" s="22">
        <v>0</v>
      </c>
      <c r="O75" s="22">
        <v>0</v>
      </c>
      <c r="P75" s="22">
        <v>382.70075979412951</v>
      </c>
      <c r="Q75" s="22">
        <v>0</v>
      </c>
      <c r="R75" s="22">
        <v>0</v>
      </c>
      <c r="S75" s="22">
        <v>2967.2621983926083</v>
      </c>
      <c r="T75" s="22">
        <v>875.98990219899918</v>
      </c>
      <c r="U75" s="22">
        <v>198.61648726738804</v>
      </c>
      <c r="V75" s="22">
        <v>0</v>
      </c>
      <c r="W75" s="22">
        <v>0</v>
      </c>
      <c r="X75" s="22">
        <v>9494.3465497492944</v>
      </c>
      <c r="Y75" s="22">
        <v>3517.9325455018943</v>
      </c>
      <c r="Z75" s="22">
        <v>1252.2693119327157</v>
      </c>
      <c r="AA75" s="22">
        <v>0</v>
      </c>
      <c r="AB75" s="22">
        <v>11.000851167247271</v>
      </c>
      <c r="AC75" s="22">
        <v>0</v>
      </c>
      <c r="AD75" s="22">
        <v>1852.3270631545154</v>
      </c>
      <c r="AE75" s="22">
        <v>0</v>
      </c>
      <c r="AF75" s="22">
        <v>151.2181765212095</v>
      </c>
      <c r="AG75" s="22">
        <v>0</v>
      </c>
      <c r="AH75" s="22">
        <v>2076.5472265942708</v>
      </c>
      <c r="AI75" s="22">
        <v>0</v>
      </c>
      <c r="AJ75" s="22">
        <v>26228.585637287655</v>
      </c>
      <c r="AK75" s="22">
        <v>0</v>
      </c>
      <c r="AL75" s="22">
        <v>2601.29706252702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X75" s="19"/>
      <c r="BA75" s="19"/>
    </row>
    <row r="76" spans="1:97" x14ac:dyDescent="0.25">
      <c r="A76" s="136">
        <v>44</v>
      </c>
      <c r="B76" s="136" t="s">
        <v>260</v>
      </c>
      <c r="D76" s="65">
        <f>SUM(F76:AU76)</f>
        <v>0.99999999999999978</v>
      </c>
      <c r="F76" s="65">
        <f t="shared" ref="F76:AU76" si="23">F75/$D75</f>
        <v>0.19151128066460674</v>
      </c>
      <c r="G76" s="65">
        <f t="shared" si="23"/>
        <v>0.17090325186537481</v>
      </c>
      <c r="H76" s="65">
        <f t="shared" si="23"/>
        <v>0</v>
      </c>
      <c r="I76" s="65">
        <f t="shared" si="23"/>
        <v>6.0280073120772058E-4</v>
      </c>
      <c r="J76" s="65">
        <f t="shared" si="23"/>
        <v>1.9609990405006297E-2</v>
      </c>
      <c r="K76" s="65">
        <f t="shared" si="23"/>
        <v>4.1212261828835403E-3</v>
      </c>
      <c r="L76" s="65">
        <f t="shared" si="23"/>
        <v>0</v>
      </c>
      <c r="M76" s="65">
        <f t="shared" si="23"/>
        <v>6.8330908174766501E-5</v>
      </c>
      <c r="N76" s="65">
        <f t="shared" si="23"/>
        <v>0</v>
      </c>
      <c r="O76" s="65">
        <f t="shared" si="23"/>
        <v>0</v>
      </c>
      <c r="P76" s="65">
        <f t="shared" si="23"/>
        <v>4.546894385881582E-3</v>
      </c>
      <c r="Q76" s="65">
        <f t="shared" si="23"/>
        <v>0</v>
      </c>
      <c r="R76" s="65">
        <f t="shared" si="23"/>
        <v>0</v>
      </c>
      <c r="S76" s="65">
        <f t="shared" si="23"/>
        <v>3.5254248877289403E-2</v>
      </c>
      <c r="T76" s="65">
        <f t="shared" si="23"/>
        <v>1.0407697049099728E-2</v>
      </c>
      <c r="U76" s="65">
        <f t="shared" si="23"/>
        <v>2.359776320761463E-3</v>
      </c>
      <c r="V76" s="65">
        <f t="shared" si="23"/>
        <v>0</v>
      </c>
      <c r="W76" s="65">
        <f t="shared" si="23"/>
        <v>0</v>
      </c>
      <c r="X76" s="65">
        <f t="shared" si="23"/>
        <v>0.11280299272959908</v>
      </c>
      <c r="Y76" s="65">
        <f t="shared" si="23"/>
        <v>4.1796801630750342E-2</v>
      </c>
      <c r="Z76" s="65">
        <f t="shared" si="23"/>
        <v>1.4878298927605107E-2</v>
      </c>
      <c r="AA76" s="65">
        <f t="shared" si="23"/>
        <v>0</v>
      </c>
      <c r="AB76" s="65">
        <f t="shared" si="23"/>
        <v>1.3070187903254523E-4</v>
      </c>
      <c r="AC76" s="65">
        <f t="shared" si="23"/>
        <v>0</v>
      </c>
      <c r="AD76" s="65">
        <f t="shared" si="23"/>
        <v>2.2007626869631789E-2</v>
      </c>
      <c r="AE76" s="65">
        <f t="shared" si="23"/>
        <v>0</v>
      </c>
      <c r="AF76" s="65">
        <f t="shared" si="23"/>
        <v>1.7966336890405221E-3</v>
      </c>
      <c r="AG76" s="65">
        <f t="shared" si="23"/>
        <v>0</v>
      </c>
      <c r="AH76" s="65">
        <f t="shared" si="23"/>
        <v>2.4671602250538032E-2</v>
      </c>
      <c r="AI76" s="65">
        <f t="shared" si="23"/>
        <v>0</v>
      </c>
      <c r="AJ76" s="65">
        <f t="shared" si="23"/>
        <v>0.31162365302841744</v>
      </c>
      <c r="AK76" s="65">
        <f t="shared" si="23"/>
        <v>0</v>
      </c>
      <c r="AL76" s="65">
        <f t="shared" si="23"/>
        <v>3.0906191605099064E-2</v>
      </c>
      <c r="AM76" s="65">
        <f t="shared" si="23"/>
        <v>0</v>
      </c>
      <c r="AN76" s="65">
        <f t="shared" si="23"/>
        <v>0</v>
      </c>
      <c r="AO76" s="65">
        <f t="shared" si="23"/>
        <v>0</v>
      </c>
      <c r="AP76" s="65">
        <f t="shared" si="23"/>
        <v>0</v>
      </c>
      <c r="AQ76" s="65">
        <f t="shared" si="23"/>
        <v>0</v>
      </c>
      <c r="AR76" s="65">
        <f t="shared" si="23"/>
        <v>0</v>
      </c>
      <c r="AS76" s="65">
        <f t="shared" si="23"/>
        <v>0</v>
      </c>
      <c r="AT76" s="65">
        <f t="shared" si="23"/>
        <v>0</v>
      </c>
      <c r="AU76" s="65">
        <f t="shared" si="23"/>
        <v>0</v>
      </c>
      <c r="AX76" s="19"/>
      <c r="AZ76" s="19"/>
      <c r="BA76" s="19"/>
      <c r="BC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30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</row>
    <row r="77" spans="1:97" x14ac:dyDescent="0.25">
      <c r="A77" s="136"/>
      <c r="B77" s="136"/>
      <c r="AX77" s="19"/>
      <c r="AZ77" s="19"/>
      <c r="BA77" s="19"/>
      <c r="BC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</row>
    <row r="78" spans="1:97" x14ac:dyDescent="0.25">
      <c r="A78" s="136">
        <v>45</v>
      </c>
      <c r="B78" s="136"/>
      <c r="C78" s="136" t="s">
        <v>416</v>
      </c>
      <c r="D78" s="22">
        <f>SUM(F78:AU78)</f>
        <v>100</v>
      </c>
      <c r="F78" s="134">
        <v>14.657759759639319</v>
      </c>
      <c r="G78" s="134">
        <v>13.080476509218785</v>
      </c>
      <c r="H78" s="134">
        <v>0</v>
      </c>
      <c r="I78" s="134">
        <v>4.6136751163246829E-2</v>
      </c>
      <c r="J78" s="134">
        <v>1.5008960686175186</v>
      </c>
      <c r="K78" s="134">
        <v>0.31542759828145372</v>
      </c>
      <c r="L78" s="134">
        <v>0</v>
      </c>
      <c r="M78" s="134">
        <v>5.2298644377913343E-3</v>
      </c>
      <c r="N78" s="134">
        <v>0</v>
      </c>
      <c r="O78" s="134">
        <v>0</v>
      </c>
      <c r="P78" s="134">
        <v>0.34800710083195696</v>
      </c>
      <c r="Q78" s="134">
        <v>0</v>
      </c>
      <c r="R78" s="134">
        <v>0.18779464351257125</v>
      </c>
      <c r="S78" s="134">
        <v>2.6982656518015893</v>
      </c>
      <c r="T78" s="134">
        <v>0.79657721710909313</v>
      </c>
      <c r="U78" s="134">
        <v>0.18061095031150043</v>
      </c>
      <c r="V78" s="134">
        <v>0</v>
      </c>
      <c r="W78" s="134">
        <v>0</v>
      </c>
      <c r="X78" s="134">
        <v>8.6336385087125418</v>
      </c>
      <c r="Y78" s="134">
        <v>3.1990150914283086</v>
      </c>
      <c r="Z78" s="134">
        <v>1.1387450940546029</v>
      </c>
      <c r="AA78" s="134">
        <v>0</v>
      </c>
      <c r="AB78" s="134">
        <v>1.000357125880025E-2</v>
      </c>
      <c r="AC78" s="134">
        <v>0</v>
      </c>
      <c r="AD78" s="134">
        <v>1.6844047327936984</v>
      </c>
      <c r="AE78" s="134">
        <v>0</v>
      </c>
      <c r="AF78" s="134">
        <v>0.13750952371390734</v>
      </c>
      <c r="AG78" s="134">
        <v>0</v>
      </c>
      <c r="AH78" s="134">
        <v>0</v>
      </c>
      <c r="AI78" s="134">
        <v>0</v>
      </c>
      <c r="AJ78" s="134">
        <v>0</v>
      </c>
      <c r="AK78" s="134">
        <v>0</v>
      </c>
      <c r="AL78" s="134">
        <v>0</v>
      </c>
      <c r="AM78" s="134">
        <v>0</v>
      </c>
      <c r="AN78" s="134">
        <v>0</v>
      </c>
      <c r="AO78" s="134">
        <v>0</v>
      </c>
      <c r="AP78" s="134">
        <v>0.69554290770156479</v>
      </c>
      <c r="AQ78" s="134">
        <v>0</v>
      </c>
      <c r="AR78" s="134">
        <v>50.683958455411741</v>
      </c>
      <c r="AS78" s="134">
        <v>0</v>
      </c>
      <c r="AT78" s="134">
        <v>0</v>
      </c>
      <c r="AU78" s="134">
        <v>0</v>
      </c>
      <c r="AX78" s="19"/>
      <c r="BA78" s="19"/>
    </row>
    <row r="79" spans="1:97" x14ac:dyDescent="0.25">
      <c r="A79" s="136">
        <v>46</v>
      </c>
      <c r="B79" s="136" t="s">
        <v>262</v>
      </c>
      <c r="D79" s="65">
        <f>SUM(F79:AU79)</f>
        <v>1</v>
      </c>
      <c r="F79" s="65">
        <f t="shared" ref="F79:AU79" si="24">F78/$D78</f>
        <v>0.14657759759639319</v>
      </c>
      <c r="G79" s="65">
        <f t="shared" si="24"/>
        <v>0.13080476509218786</v>
      </c>
      <c r="H79" s="65">
        <f t="shared" si="24"/>
        <v>0</v>
      </c>
      <c r="I79" s="65">
        <f t="shared" si="24"/>
        <v>4.6136751163246829E-4</v>
      </c>
      <c r="J79" s="65">
        <f t="shared" si="24"/>
        <v>1.5008960686175186E-2</v>
      </c>
      <c r="K79" s="65">
        <f t="shared" si="24"/>
        <v>3.1542759828145374E-3</v>
      </c>
      <c r="L79" s="65">
        <f t="shared" si="24"/>
        <v>0</v>
      </c>
      <c r="M79" s="65">
        <f t="shared" si="24"/>
        <v>5.2298644377913346E-5</v>
      </c>
      <c r="N79" s="65">
        <f t="shared" si="24"/>
        <v>0</v>
      </c>
      <c r="O79" s="65">
        <f t="shared" si="24"/>
        <v>0</v>
      </c>
      <c r="P79" s="65">
        <f t="shared" si="24"/>
        <v>3.4800710083195698E-3</v>
      </c>
      <c r="Q79" s="65">
        <f t="shared" si="24"/>
        <v>0</v>
      </c>
      <c r="R79" s="65">
        <f t="shared" si="24"/>
        <v>1.8779464351257125E-3</v>
      </c>
      <c r="S79" s="65">
        <f t="shared" si="24"/>
        <v>2.6982656518015891E-2</v>
      </c>
      <c r="T79" s="65">
        <f t="shared" si="24"/>
        <v>7.9657721710909308E-3</v>
      </c>
      <c r="U79" s="65">
        <f t="shared" si="24"/>
        <v>1.8061095031150043E-3</v>
      </c>
      <c r="V79" s="65">
        <f t="shared" si="24"/>
        <v>0</v>
      </c>
      <c r="W79" s="65">
        <f t="shared" si="24"/>
        <v>0</v>
      </c>
      <c r="X79" s="65">
        <f t="shared" si="24"/>
        <v>8.633638508712542E-2</v>
      </c>
      <c r="Y79" s="65">
        <f t="shared" si="24"/>
        <v>3.1990150914283089E-2</v>
      </c>
      <c r="Z79" s="65">
        <f t="shared" si="24"/>
        <v>1.1387450940546029E-2</v>
      </c>
      <c r="AA79" s="65">
        <f t="shared" si="24"/>
        <v>0</v>
      </c>
      <c r="AB79" s="65">
        <f t="shared" si="24"/>
        <v>1.0003571258800249E-4</v>
      </c>
      <c r="AC79" s="65">
        <f t="shared" si="24"/>
        <v>0</v>
      </c>
      <c r="AD79" s="65">
        <f t="shared" si="24"/>
        <v>1.6844047327936984E-2</v>
      </c>
      <c r="AE79" s="65">
        <f t="shared" si="24"/>
        <v>0</v>
      </c>
      <c r="AF79" s="65">
        <f t="shared" si="24"/>
        <v>1.3750952371390734E-3</v>
      </c>
      <c r="AG79" s="65">
        <f t="shared" si="24"/>
        <v>0</v>
      </c>
      <c r="AH79" s="65">
        <f t="shared" si="24"/>
        <v>0</v>
      </c>
      <c r="AI79" s="65">
        <f t="shared" si="24"/>
        <v>0</v>
      </c>
      <c r="AJ79" s="65">
        <f t="shared" si="24"/>
        <v>0</v>
      </c>
      <c r="AK79" s="65">
        <f t="shared" si="24"/>
        <v>0</v>
      </c>
      <c r="AL79" s="65">
        <f t="shared" si="24"/>
        <v>0</v>
      </c>
      <c r="AM79" s="65">
        <f t="shared" si="24"/>
        <v>0</v>
      </c>
      <c r="AN79" s="65">
        <f t="shared" si="24"/>
        <v>0</v>
      </c>
      <c r="AO79" s="65">
        <f t="shared" si="24"/>
        <v>0</v>
      </c>
      <c r="AP79" s="65">
        <f t="shared" si="24"/>
        <v>6.9554290770156482E-3</v>
      </c>
      <c r="AQ79" s="65">
        <f t="shared" si="24"/>
        <v>0</v>
      </c>
      <c r="AR79" s="65">
        <f t="shared" si="24"/>
        <v>0.50683958455411737</v>
      </c>
      <c r="AS79" s="65">
        <f t="shared" si="24"/>
        <v>0</v>
      </c>
      <c r="AT79" s="65">
        <f t="shared" si="24"/>
        <v>0</v>
      </c>
      <c r="AU79" s="65">
        <f t="shared" si="24"/>
        <v>0</v>
      </c>
      <c r="AX79" s="19"/>
      <c r="AZ79" s="19"/>
      <c r="BA79" s="19"/>
      <c r="BC79" s="30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</row>
    <row r="80" spans="1:97" x14ac:dyDescent="0.25">
      <c r="A80" s="136"/>
      <c r="B80" s="136"/>
      <c r="AX80" s="19"/>
      <c r="AZ80" s="19"/>
      <c r="BA80" s="19"/>
      <c r="BC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</row>
    <row r="81" spans="1:97" x14ac:dyDescent="0.25">
      <c r="A81" s="136">
        <v>47</v>
      </c>
      <c r="B81" s="136"/>
      <c r="C81" s="136" t="s">
        <v>416</v>
      </c>
      <c r="D81" s="23">
        <f>SUM(F81:AU81)</f>
        <v>525359910.57182533</v>
      </c>
      <c r="F81" s="22">
        <v>0</v>
      </c>
      <c r="G81" s="22">
        <v>145480281.44842109</v>
      </c>
      <c r="H81" s="22">
        <v>0</v>
      </c>
      <c r="I81" s="22">
        <v>388582.14736842108</v>
      </c>
      <c r="J81" s="22">
        <v>15686621.987368422</v>
      </c>
      <c r="K81" s="22">
        <v>1975321.0863157897</v>
      </c>
      <c r="L81" s="22">
        <v>5200000</v>
      </c>
      <c r="M81" s="22">
        <v>2273903.2336842106</v>
      </c>
      <c r="N81" s="22">
        <v>1523619.6631578947</v>
      </c>
      <c r="O81" s="22">
        <v>598865.71789473691</v>
      </c>
      <c r="P81" s="22">
        <v>0</v>
      </c>
      <c r="Q81" s="22">
        <v>0</v>
      </c>
      <c r="R81" s="22">
        <v>0</v>
      </c>
      <c r="S81" s="22">
        <v>16841753.947713818</v>
      </c>
      <c r="T81" s="22">
        <v>23992920.091208398</v>
      </c>
      <c r="U81" s="22">
        <v>7469541.1423621634</v>
      </c>
      <c r="V81" s="22">
        <v>98302.271137607226</v>
      </c>
      <c r="W81" s="22">
        <v>2753802.4959713109</v>
      </c>
      <c r="X81" s="22">
        <v>96713961.468837276</v>
      </c>
      <c r="Y81" s="22">
        <v>123334170.60913539</v>
      </c>
      <c r="Z81" s="22">
        <v>7936401.4415739933</v>
      </c>
      <c r="AA81" s="22">
        <v>0</v>
      </c>
      <c r="AB81" s="22">
        <v>397972.27230632806</v>
      </c>
      <c r="AC81" s="22">
        <v>1705595.4527414057</v>
      </c>
      <c r="AD81" s="22">
        <v>19396072.29075798</v>
      </c>
      <c r="AE81" s="22">
        <v>1361127.8800531914</v>
      </c>
      <c r="AF81" s="22">
        <v>769124.95438400004</v>
      </c>
      <c r="AG81" s="22">
        <v>0</v>
      </c>
      <c r="AH81" s="22">
        <v>5404159.7797908895</v>
      </c>
      <c r="AI81" s="22">
        <v>0</v>
      </c>
      <c r="AJ81" s="22">
        <v>40562930.429428443</v>
      </c>
      <c r="AK81" s="22">
        <v>0</v>
      </c>
      <c r="AL81" s="22">
        <v>3494878.760212617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X81" s="19"/>
      <c r="BA81" s="19"/>
    </row>
    <row r="82" spans="1:97" x14ac:dyDescent="0.25">
      <c r="A82" s="136">
        <v>48</v>
      </c>
      <c r="B82" s="136" t="s">
        <v>216</v>
      </c>
      <c r="D82" s="65">
        <f>SUM(F82:AU82)</f>
        <v>1</v>
      </c>
      <c r="F82" s="65">
        <f t="shared" ref="F82:AU82" si="25">F81/$D81</f>
        <v>0</v>
      </c>
      <c r="G82" s="65">
        <f t="shared" si="25"/>
        <v>0.27691546027955161</v>
      </c>
      <c r="H82" s="65">
        <f t="shared" si="25"/>
        <v>0</v>
      </c>
      <c r="I82" s="65">
        <f t="shared" si="25"/>
        <v>7.3964940900319328E-4</v>
      </c>
      <c r="J82" s="65">
        <f t="shared" si="25"/>
        <v>2.9858810449191673E-2</v>
      </c>
      <c r="K82" s="65">
        <f t="shared" si="25"/>
        <v>3.7599387516374472E-3</v>
      </c>
      <c r="L82" s="65">
        <f t="shared" si="25"/>
        <v>9.8979764069551598E-3</v>
      </c>
      <c r="M82" s="65">
        <f t="shared" si="25"/>
        <v>4.3282770305202618E-3</v>
      </c>
      <c r="N82" s="65">
        <f t="shared" si="25"/>
        <v>2.9001445152134252E-3</v>
      </c>
      <c r="O82" s="65">
        <f t="shared" si="25"/>
        <v>1.1399151435877637E-3</v>
      </c>
      <c r="P82" s="65">
        <f t="shared" si="25"/>
        <v>0</v>
      </c>
      <c r="Q82" s="65">
        <f t="shared" si="25"/>
        <v>0</v>
      </c>
      <c r="R82" s="65">
        <f t="shared" si="25"/>
        <v>0</v>
      </c>
      <c r="S82" s="65">
        <f t="shared" si="25"/>
        <v>3.2057554466579867E-2</v>
      </c>
      <c r="T82" s="65">
        <f t="shared" si="25"/>
        <v>4.5669491730142536E-2</v>
      </c>
      <c r="U82" s="65">
        <f t="shared" si="25"/>
        <v>1.4217950384207999E-2</v>
      </c>
      <c r="V82" s="65">
        <f t="shared" si="25"/>
        <v>1.8711414624425875E-4</v>
      </c>
      <c r="W82" s="65">
        <f t="shared" si="25"/>
        <v>5.2417446412573593E-3</v>
      </c>
      <c r="X82" s="65">
        <f t="shared" si="25"/>
        <v>0.18409086708494651</v>
      </c>
      <c r="Y82" s="65">
        <f t="shared" si="25"/>
        <v>0.23476129055011627</v>
      </c>
      <c r="Z82" s="65">
        <f t="shared" si="25"/>
        <v>1.510659888938929E-2</v>
      </c>
      <c r="AA82" s="65">
        <f t="shared" si="25"/>
        <v>0</v>
      </c>
      <c r="AB82" s="65">
        <f t="shared" si="25"/>
        <v>7.5752310805968649E-4</v>
      </c>
      <c r="AC82" s="65">
        <f t="shared" si="25"/>
        <v>3.2465276059700844E-3</v>
      </c>
      <c r="AD82" s="65">
        <f t="shared" si="25"/>
        <v>3.6919589600292159E-2</v>
      </c>
      <c r="AE82" s="65">
        <f t="shared" si="25"/>
        <v>2.5908483930029581E-3</v>
      </c>
      <c r="AF82" s="65">
        <f t="shared" si="25"/>
        <v>1.463996279325634E-3</v>
      </c>
      <c r="AG82" s="65">
        <f t="shared" si="25"/>
        <v>0</v>
      </c>
      <c r="AH82" s="65">
        <f t="shared" si="25"/>
        <v>1.0286585769189657E-2</v>
      </c>
      <c r="AI82" s="65">
        <f t="shared" si="25"/>
        <v>0</v>
      </c>
      <c r="AJ82" s="65">
        <f t="shared" si="25"/>
        <v>7.7209793920662753E-2</v>
      </c>
      <c r="AK82" s="65">
        <f t="shared" si="25"/>
        <v>0</v>
      </c>
      <c r="AL82" s="65">
        <f t="shared" si="25"/>
        <v>6.6523514449525357E-3</v>
      </c>
      <c r="AM82" s="65">
        <f t="shared" si="25"/>
        <v>0</v>
      </c>
      <c r="AN82" s="65">
        <f t="shared" si="25"/>
        <v>0</v>
      </c>
      <c r="AO82" s="65">
        <f t="shared" si="25"/>
        <v>0</v>
      </c>
      <c r="AP82" s="65">
        <f t="shared" si="25"/>
        <v>0</v>
      </c>
      <c r="AQ82" s="65">
        <f t="shared" si="25"/>
        <v>0</v>
      </c>
      <c r="AR82" s="65">
        <f t="shared" si="25"/>
        <v>0</v>
      </c>
      <c r="AS82" s="65">
        <f t="shared" si="25"/>
        <v>0</v>
      </c>
      <c r="AT82" s="65">
        <f t="shared" si="25"/>
        <v>0</v>
      </c>
      <c r="AU82" s="65">
        <f t="shared" si="25"/>
        <v>0</v>
      </c>
      <c r="AX82" s="19"/>
      <c r="AZ82" s="19"/>
      <c r="BA82" s="19"/>
      <c r="BC82" s="61"/>
      <c r="BE82" s="177"/>
      <c r="BF82" s="177"/>
      <c r="BG82" s="177"/>
      <c r="BH82" s="177"/>
      <c r="BI82" s="177"/>
      <c r="BJ82" s="177"/>
      <c r="BK82" s="177"/>
      <c r="BL82" s="177"/>
      <c r="BM82" s="177"/>
      <c r="BN82" s="177"/>
      <c r="BO82" s="177"/>
      <c r="BP82" s="177"/>
      <c r="BQ82" s="177"/>
      <c r="BR82" s="30"/>
      <c r="BS82" s="177"/>
      <c r="BT82" s="177"/>
      <c r="BU82" s="177"/>
      <c r="BV82" s="177"/>
      <c r="BW82" s="66"/>
      <c r="BX82" s="177"/>
      <c r="BY82" s="177"/>
      <c r="BZ82" s="177"/>
      <c r="CA82" s="177"/>
      <c r="CB82" s="177"/>
      <c r="CC82" s="177"/>
      <c r="CD82" s="177"/>
      <c r="CE82" s="177"/>
      <c r="CF82" s="177"/>
      <c r="CG82" s="177"/>
      <c r="CH82" s="177"/>
      <c r="CI82" s="177"/>
      <c r="CJ82" s="177"/>
      <c r="CK82" s="177"/>
      <c r="CL82" s="177"/>
      <c r="CM82" s="177"/>
      <c r="CN82" s="177"/>
      <c r="CO82" s="177"/>
      <c r="CP82" s="177"/>
      <c r="CQ82" s="177"/>
      <c r="CR82" s="177"/>
      <c r="CS82" s="177"/>
    </row>
    <row r="83" spans="1:97" x14ac:dyDescent="0.25">
      <c r="A83" s="136"/>
      <c r="B83" s="136"/>
      <c r="AX83" s="19"/>
      <c r="AZ83" s="19"/>
      <c r="BA83" s="19"/>
      <c r="BC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</row>
    <row r="84" spans="1:97" x14ac:dyDescent="0.25">
      <c r="A84" s="136">
        <v>49</v>
      </c>
      <c r="B84" s="136"/>
      <c r="C84" s="136" t="s">
        <v>416</v>
      </c>
      <c r="D84" s="23">
        <f>SUM(F84:AU84)</f>
        <v>217749.49504114623</v>
      </c>
      <c r="F84" s="22">
        <v>65277.566053593284</v>
      </c>
      <c r="G84" s="22">
        <v>52816.471396817469</v>
      </c>
      <c r="H84" s="22">
        <v>0</v>
      </c>
      <c r="I84" s="22">
        <v>208.9271106855532</v>
      </c>
      <c r="J84" s="22">
        <v>4458.8716462936873</v>
      </c>
      <c r="K84" s="22">
        <v>574.27363014112859</v>
      </c>
      <c r="L84" s="22">
        <v>0</v>
      </c>
      <c r="M84" s="22">
        <v>0</v>
      </c>
      <c r="N84" s="22">
        <v>109.00905666416918</v>
      </c>
      <c r="O84" s="22">
        <v>491.95989757019669</v>
      </c>
      <c r="P84" s="22">
        <v>1892.7353135901346</v>
      </c>
      <c r="Q84" s="22">
        <v>0</v>
      </c>
      <c r="R84" s="22">
        <v>982.60599999999999</v>
      </c>
      <c r="S84" s="22">
        <v>12978.02615574142</v>
      </c>
      <c r="T84" s="22">
        <v>3223.9708682304404</v>
      </c>
      <c r="U84" s="22">
        <v>440.99429460407151</v>
      </c>
      <c r="V84" s="22">
        <v>0</v>
      </c>
      <c r="W84" s="22">
        <v>0</v>
      </c>
      <c r="X84" s="22">
        <v>41073.222850348895</v>
      </c>
      <c r="Y84" s="22">
        <v>12362.123535515504</v>
      </c>
      <c r="Z84" s="22">
        <v>2541.251270373808</v>
      </c>
      <c r="AA84" s="22">
        <v>5.4739667442646089</v>
      </c>
      <c r="AB84" s="22">
        <v>10.082116127575894</v>
      </c>
      <c r="AC84" s="22">
        <v>0</v>
      </c>
      <c r="AD84" s="22">
        <v>3491.594767972224</v>
      </c>
      <c r="AE84" s="22">
        <v>362.77249974096168</v>
      </c>
      <c r="AF84" s="22">
        <v>353.69061039143912</v>
      </c>
      <c r="AG84" s="22">
        <v>0</v>
      </c>
      <c r="AH84" s="22">
        <v>1484.604</v>
      </c>
      <c r="AI84" s="22">
        <v>0</v>
      </c>
      <c r="AJ84" s="22">
        <v>9403.2469999999994</v>
      </c>
      <c r="AK84" s="22">
        <v>0</v>
      </c>
      <c r="AL84" s="22">
        <v>3206.0210000000002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X84" s="19"/>
      <c r="BA84" s="19"/>
    </row>
    <row r="85" spans="1:97" x14ac:dyDescent="0.25">
      <c r="A85" s="136">
        <v>50</v>
      </c>
      <c r="B85" s="136" t="s">
        <v>181</v>
      </c>
      <c r="D85" s="65">
        <f>SUM(F85:AU85)</f>
        <v>1</v>
      </c>
      <c r="F85" s="65">
        <f t="shared" ref="F85:AU85" si="26">F84/$D84</f>
        <v>0.29978285846889496</v>
      </c>
      <c r="G85" s="65">
        <f t="shared" si="26"/>
        <v>0.242556114248794</v>
      </c>
      <c r="H85" s="65">
        <f t="shared" si="26"/>
        <v>0</v>
      </c>
      <c r="I85" s="65">
        <f t="shared" si="26"/>
        <v>9.5948378959994404E-4</v>
      </c>
      <c r="J85" s="65">
        <f t="shared" si="26"/>
        <v>2.0477069971855194E-2</v>
      </c>
      <c r="K85" s="65">
        <f t="shared" si="26"/>
        <v>2.6373132577534246E-3</v>
      </c>
      <c r="L85" s="65">
        <f t="shared" si="26"/>
        <v>0</v>
      </c>
      <c r="M85" s="65">
        <f t="shared" si="26"/>
        <v>0</v>
      </c>
      <c r="N85" s="65">
        <f t="shared" si="26"/>
        <v>5.0061680576375472E-4</v>
      </c>
      <c r="O85" s="65">
        <f t="shared" si="26"/>
        <v>2.2592929433762191E-3</v>
      </c>
      <c r="P85" s="65">
        <f t="shared" si="26"/>
        <v>8.6922604033248425E-3</v>
      </c>
      <c r="Q85" s="65">
        <f t="shared" si="26"/>
        <v>0</v>
      </c>
      <c r="R85" s="65">
        <f t="shared" si="26"/>
        <v>4.5125523703939035E-3</v>
      </c>
      <c r="S85" s="65">
        <f t="shared" si="26"/>
        <v>5.9600717573600227E-2</v>
      </c>
      <c r="T85" s="65">
        <f t="shared" si="26"/>
        <v>1.480587069844288E-2</v>
      </c>
      <c r="U85" s="65">
        <f t="shared" si="26"/>
        <v>2.0252368186697315E-3</v>
      </c>
      <c r="V85" s="65">
        <f t="shared" si="26"/>
        <v>0</v>
      </c>
      <c r="W85" s="65">
        <f t="shared" si="26"/>
        <v>0</v>
      </c>
      <c r="X85" s="65">
        <f t="shared" si="26"/>
        <v>0.18862603030416969</v>
      </c>
      <c r="Y85" s="65">
        <f t="shared" si="26"/>
        <v>5.6772225961670038E-2</v>
      </c>
      <c r="Z85" s="65">
        <f t="shared" si="26"/>
        <v>1.1670526583281443E-2</v>
      </c>
      <c r="AA85" s="65">
        <f t="shared" si="26"/>
        <v>2.5138826352870489E-5</v>
      </c>
      <c r="AB85" s="65">
        <f t="shared" si="26"/>
        <v>4.6301444353158038E-5</v>
      </c>
      <c r="AC85" s="65">
        <f t="shared" si="26"/>
        <v>0</v>
      </c>
      <c r="AD85" s="65">
        <f t="shared" si="26"/>
        <v>1.6034915568058826E-2</v>
      </c>
      <c r="AE85" s="65">
        <f t="shared" si="26"/>
        <v>1.6660084546805112E-3</v>
      </c>
      <c r="AF85" s="65">
        <f t="shared" si="26"/>
        <v>1.6243004849430546E-3</v>
      </c>
      <c r="AG85" s="65">
        <f t="shared" si="26"/>
        <v>0</v>
      </c>
      <c r="AH85" s="65">
        <f t="shared" si="26"/>
        <v>6.8179446281584595E-3</v>
      </c>
      <c r="AI85" s="65">
        <f t="shared" si="26"/>
        <v>0</v>
      </c>
      <c r="AJ85" s="65">
        <f t="shared" si="26"/>
        <v>4.3183783265367155E-2</v>
      </c>
      <c r="AK85" s="65">
        <f t="shared" si="26"/>
        <v>0</v>
      </c>
      <c r="AL85" s="65">
        <f t="shared" si="26"/>
        <v>1.4723437128495689E-2</v>
      </c>
      <c r="AM85" s="65">
        <f t="shared" si="26"/>
        <v>0</v>
      </c>
      <c r="AN85" s="65">
        <f t="shared" si="26"/>
        <v>0</v>
      </c>
      <c r="AO85" s="65">
        <f t="shared" si="26"/>
        <v>0</v>
      </c>
      <c r="AP85" s="65">
        <f t="shared" si="26"/>
        <v>0</v>
      </c>
      <c r="AQ85" s="65">
        <f t="shared" si="26"/>
        <v>0</v>
      </c>
      <c r="AR85" s="65">
        <f t="shared" si="26"/>
        <v>0</v>
      </c>
      <c r="AS85" s="65">
        <f t="shared" si="26"/>
        <v>0</v>
      </c>
      <c r="AT85" s="65">
        <f t="shared" si="26"/>
        <v>0</v>
      </c>
      <c r="AU85" s="65">
        <f t="shared" si="26"/>
        <v>0</v>
      </c>
      <c r="AX85" s="19"/>
      <c r="AZ85" s="19"/>
      <c r="BA85" s="19"/>
      <c r="BC85" s="61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</row>
    <row r="86" spans="1:97" x14ac:dyDescent="0.25">
      <c r="A86" s="136"/>
      <c r="B86" s="136"/>
      <c r="AX86" s="19"/>
      <c r="AZ86" s="19"/>
      <c r="BA86" s="19"/>
      <c r="BC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</row>
    <row r="87" spans="1:97" x14ac:dyDescent="0.25">
      <c r="A87" s="136">
        <v>51</v>
      </c>
      <c r="B87" s="136"/>
      <c r="C87" s="136" t="s">
        <v>416</v>
      </c>
      <c r="D87" s="23">
        <f>SUM(F87:AU87)</f>
        <v>12127.150756138228</v>
      </c>
      <c r="F87" s="22">
        <v>2858.3679098054281</v>
      </c>
      <c r="G87" s="22">
        <v>2741.0083369012718</v>
      </c>
      <c r="H87" s="22">
        <v>0</v>
      </c>
      <c r="I87" s="22">
        <v>15.677300640724503</v>
      </c>
      <c r="J87" s="22">
        <v>610.58273273822908</v>
      </c>
      <c r="K87" s="22">
        <v>218.2618579786386</v>
      </c>
      <c r="L87" s="22">
        <v>0</v>
      </c>
      <c r="M87" s="22">
        <v>30.090432572943175</v>
      </c>
      <c r="N87" s="22">
        <v>8.9812404516702049</v>
      </c>
      <c r="O87" s="22">
        <v>184.75768322175841</v>
      </c>
      <c r="P87" s="22">
        <v>107.93959127719309</v>
      </c>
      <c r="Q87" s="22">
        <v>0</v>
      </c>
      <c r="R87" s="22">
        <v>13.071844585257754</v>
      </c>
      <c r="S87" s="22">
        <v>565.27173644685968</v>
      </c>
      <c r="T87" s="22">
        <v>185.2374468899049</v>
      </c>
      <c r="U87" s="22">
        <v>77.345780535190514</v>
      </c>
      <c r="V87" s="22">
        <v>3.2594461660507545</v>
      </c>
      <c r="W87" s="22">
        <v>0</v>
      </c>
      <c r="X87" s="22">
        <v>1860.4909934057944</v>
      </c>
      <c r="Y87" s="22">
        <v>754.09777959663859</v>
      </c>
      <c r="Z87" s="22">
        <v>339.31085097020178</v>
      </c>
      <c r="AA87" s="22">
        <v>0</v>
      </c>
      <c r="AB87" s="22">
        <v>2.5182067202924427</v>
      </c>
      <c r="AC87" s="22">
        <v>31.485330562223822</v>
      </c>
      <c r="AD87" s="22">
        <v>407.94118730775932</v>
      </c>
      <c r="AE87" s="22">
        <v>43.437714131727404</v>
      </c>
      <c r="AF87" s="22">
        <v>51.482026229989387</v>
      </c>
      <c r="AG87" s="22">
        <v>0</v>
      </c>
      <c r="AH87" s="22">
        <v>74.816169678736799</v>
      </c>
      <c r="AI87" s="22">
        <v>0</v>
      </c>
      <c r="AJ87" s="22">
        <v>780.72680978354367</v>
      </c>
      <c r="AK87" s="22">
        <v>0</v>
      </c>
      <c r="AL87" s="22">
        <v>160.99034754019593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X87" s="19"/>
      <c r="AZ87" s="19"/>
      <c r="BA87" s="19"/>
      <c r="BC87" s="175"/>
      <c r="BV87" s="144"/>
      <c r="BX87" s="144"/>
      <c r="BZ87" s="144"/>
      <c r="CB87" s="144"/>
      <c r="CD87" s="144"/>
      <c r="CE87" s="144"/>
      <c r="CG87" s="144"/>
      <c r="CI87" s="144"/>
      <c r="CJ87" s="144"/>
      <c r="CK87" s="144"/>
      <c r="CL87" s="144"/>
      <c r="CM87" s="144"/>
    </row>
    <row r="88" spans="1:97" x14ac:dyDescent="0.25">
      <c r="A88" s="136">
        <v>52</v>
      </c>
      <c r="B88" s="136" t="s">
        <v>379</v>
      </c>
      <c r="D88" s="65">
        <f>SUM(F88:AU88)</f>
        <v>0.99999999999999978</v>
      </c>
      <c r="F88" s="65">
        <f t="shared" ref="F88:AU88" si="27">F87/$D87</f>
        <v>0.23569987437969703</v>
      </c>
      <c r="G88" s="65">
        <f t="shared" si="27"/>
        <v>0.22602245094659967</v>
      </c>
      <c r="H88" s="65">
        <f t="shared" si="27"/>
        <v>0</v>
      </c>
      <c r="I88" s="65">
        <f t="shared" si="27"/>
        <v>1.2927439392793354E-3</v>
      </c>
      <c r="J88" s="65">
        <f t="shared" si="27"/>
        <v>5.0348407883787465E-2</v>
      </c>
      <c r="K88" s="65">
        <f t="shared" si="27"/>
        <v>1.7997785495341031E-2</v>
      </c>
      <c r="L88" s="65">
        <f t="shared" si="27"/>
        <v>0</v>
      </c>
      <c r="M88" s="65">
        <f t="shared" si="27"/>
        <v>2.4812450325739314E-3</v>
      </c>
      <c r="N88" s="65">
        <f t="shared" si="27"/>
        <v>7.4058949478502181E-4</v>
      </c>
      <c r="O88" s="65">
        <f t="shared" si="27"/>
        <v>1.5235044647914701E-2</v>
      </c>
      <c r="P88" s="65">
        <f t="shared" si="27"/>
        <v>8.9006555165118927E-3</v>
      </c>
      <c r="Q88" s="65">
        <f t="shared" si="27"/>
        <v>0</v>
      </c>
      <c r="R88" s="65">
        <f t="shared" si="27"/>
        <v>1.0778990752334273E-3</v>
      </c>
      <c r="S88" s="65">
        <f t="shared" si="27"/>
        <v>4.6612081255833659E-2</v>
      </c>
      <c r="T88" s="65">
        <f t="shared" si="27"/>
        <v>1.5274605768065174E-2</v>
      </c>
      <c r="U88" s="65">
        <f t="shared" si="27"/>
        <v>6.3779021214889651E-3</v>
      </c>
      <c r="V88" s="65">
        <f t="shared" si="27"/>
        <v>2.6877262694215018E-4</v>
      </c>
      <c r="W88" s="65">
        <f t="shared" si="27"/>
        <v>0</v>
      </c>
      <c r="X88" s="65">
        <f t="shared" si="27"/>
        <v>0.15341534304453963</v>
      </c>
      <c r="Y88" s="65">
        <f t="shared" si="27"/>
        <v>6.2182601235904286E-2</v>
      </c>
      <c r="Z88" s="65">
        <f t="shared" si="27"/>
        <v>2.7979437032928583E-2</v>
      </c>
      <c r="AA88" s="65">
        <f t="shared" si="27"/>
        <v>0</v>
      </c>
      <c r="AB88" s="65">
        <f t="shared" si="27"/>
        <v>2.0765031877070035E-4</v>
      </c>
      <c r="AC88" s="65">
        <f t="shared" si="27"/>
        <v>2.5962677627543586E-3</v>
      </c>
      <c r="AD88" s="65">
        <f t="shared" si="27"/>
        <v>3.3638667112411175E-2</v>
      </c>
      <c r="AE88" s="65">
        <f t="shared" si="27"/>
        <v>3.5818565304584138E-3</v>
      </c>
      <c r="AF88" s="65">
        <f t="shared" si="27"/>
        <v>4.2451872880306584E-3</v>
      </c>
      <c r="AG88" s="65">
        <f t="shared" si="27"/>
        <v>0</v>
      </c>
      <c r="AH88" s="65">
        <f t="shared" si="27"/>
        <v>6.169311422212523E-3</v>
      </c>
      <c r="AI88" s="65">
        <f t="shared" si="27"/>
        <v>0</v>
      </c>
      <c r="AJ88" s="65">
        <f t="shared" si="27"/>
        <v>6.4378420412426571E-2</v>
      </c>
      <c r="AK88" s="65">
        <f t="shared" si="27"/>
        <v>0</v>
      </c>
      <c r="AL88" s="65">
        <f t="shared" si="27"/>
        <v>1.3275199655509331E-2</v>
      </c>
      <c r="AM88" s="65">
        <f t="shared" si="27"/>
        <v>0</v>
      </c>
      <c r="AN88" s="65">
        <f t="shared" si="27"/>
        <v>0</v>
      </c>
      <c r="AO88" s="65">
        <f t="shared" si="27"/>
        <v>0</v>
      </c>
      <c r="AP88" s="65">
        <f t="shared" si="27"/>
        <v>0</v>
      </c>
      <c r="AQ88" s="65">
        <f t="shared" si="27"/>
        <v>0</v>
      </c>
      <c r="AR88" s="65">
        <f t="shared" si="27"/>
        <v>0</v>
      </c>
      <c r="AS88" s="65">
        <f t="shared" si="27"/>
        <v>0</v>
      </c>
      <c r="AT88" s="65">
        <f t="shared" si="27"/>
        <v>0</v>
      </c>
      <c r="AU88" s="65">
        <f t="shared" si="27"/>
        <v>0</v>
      </c>
      <c r="AX88" s="19"/>
      <c r="AY88" s="13"/>
      <c r="AZ88" s="176"/>
      <c r="BA88" s="178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</row>
    <row r="89" spans="1:97" x14ac:dyDescent="0.25">
      <c r="A89" s="136"/>
      <c r="B89" s="136"/>
      <c r="AX89" s="19"/>
      <c r="AZ89" s="19"/>
      <c r="BA89" s="19"/>
      <c r="BC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  <c r="CQ89" s="167"/>
      <c r="CR89" s="167"/>
      <c r="CS89" s="167"/>
    </row>
    <row r="90" spans="1:97" x14ac:dyDescent="0.25">
      <c r="A90" s="136">
        <v>53</v>
      </c>
      <c r="B90" s="136"/>
      <c r="C90" s="136" t="s">
        <v>416</v>
      </c>
      <c r="D90" s="23">
        <f>SUM(F90:AU90)</f>
        <v>13147613.980868347</v>
      </c>
      <c r="F90" s="22">
        <v>4915774.1892947741</v>
      </c>
      <c r="G90" s="22">
        <v>2970863.8430424999</v>
      </c>
      <c r="H90" s="22">
        <v>0</v>
      </c>
      <c r="I90" s="22">
        <v>14756.64033</v>
      </c>
      <c r="J90" s="22">
        <v>102196.91749000001</v>
      </c>
      <c r="K90" s="22">
        <v>1651.1371800000002</v>
      </c>
      <c r="L90" s="22">
        <v>0</v>
      </c>
      <c r="M90" s="22">
        <v>4391.50749</v>
      </c>
      <c r="N90" s="22">
        <v>573.6249499999999</v>
      </c>
      <c r="O90" s="22">
        <v>5360.2032499999996</v>
      </c>
      <c r="P90" s="22">
        <v>140305.60000000001</v>
      </c>
      <c r="Q90" s="22">
        <v>0</v>
      </c>
      <c r="R90" s="22">
        <v>0</v>
      </c>
      <c r="S90" s="22">
        <v>931213.08219699236</v>
      </c>
      <c r="T90" s="22">
        <v>164590.18494973239</v>
      </c>
      <c r="U90" s="22">
        <v>15631.058960020002</v>
      </c>
      <c r="V90" s="22">
        <v>5702.756940360001</v>
      </c>
      <c r="W90" s="22">
        <v>0</v>
      </c>
      <c r="X90" s="22">
        <v>3073284.4249153817</v>
      </c>
      <c r="Y90" s="22">
        <v>688379.2799385892</v>
      </c>
      <c r="Z90" s="22">
        <v>59361.556340000003</v>
      </c>
      <c r="AA90" s="22">
        <v>0</v>
      </c>
      <c r="AB90" s="22">
        <v>303.74419999999998</v>
      </c>
      <c r="AC90" s="22">
        <v>1860.2217000000003</v>
      </c>
      <c r="AD90" s="22">
        <v>33444.667100000006</v>
      </c>
      <c r="AE90" s="22">
        <v>2174.0189</v>
      </c>
      <c r="AF90" s="22">
        <v>15795.3217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X90" s="19"/>
      <c r="BA90" s="19"/>
    </row>
    <row r="91" spans="1:97" x14ac:dyDescent="0.25">
      <c r="A91" s="136">
        <v>54</v>
      </c>
      <c r="B91" s="136" t="s">
        <v>248</v>
      </c>
      <c r="D91" s="65">
        <f>SUM(F91:AU91)</f>
        <v>1.0000000000000002</v>
      </c>
      <c r="F91" s="65">
        <f t="shared" ref="F91:AU91" si="28">F90/$D90</f>
        <v>0.37389097340764083</v>
      </c>
      <c r="G91" s="65">
        <f t="shared" si="28"/>
        <v>0.22596220480503384</v>
      </c>
      <c r="H91" s="65">
        <f t="shared" si="28"/>
        <v>0</v>
      </c>
      <c r="I91" s="65">
        <f t="shared" si="28"/>
        <v>1.1223816238804254E-3</v>
      </c>
      <c r="J91" s="65">
        <f t="shared" si="28"/>
        <v>7.7730390958170121E-3</v>
      </c>
      <c r="K91" s="65">
        <f t="shared" si="28"/>
        <v>1.2558454959224087E-4</v>
      </c>
      <c r="L91" s="65">
        <f t="shared" si="28"/>
        <v>0</v>
      </c>
      <c r="M91" s="65">
        <f t="shared" si="28"/>
        <v>3.3401554809794914E-4</v>
      </c>
      <c r="N91" s="65">
        <f t="shared" si="28"/>
        <v>4.3629585629354952E-5</v>
      </c>
      <c r="O91" s="65">
        <f t="shared" si="28"/>
        <v>4.0769399358696258E-4</v>
      </c>
      <c r="P91" s="65">
        <f t="shared" si="28"/>
        <v>1.0671563692405683E-2</v>
      </c>
      <c r="Q91" s="65">
        <f t="shared" si="28"/>
        <v>0</v>
      </c>
      <c r="R91" s="65">
        <f t="shared" si="28"/>
        <v>0</v>
      </c>
      <c r="S91" s="65">
        <f t="shared" si="28"/>
        <v>7.0827534452413965E-2</v>
      </c>
      <c r="T91" s="65">
        <f t="shared" si="28"/>
        <v>1.2518635334839811E-2</v>
      </c>
      <c r="U91" s="65">
        <f t="shared" si="28"/>
        <v>1.1888894047821469E-3</v>
      </c>
      <c r="V91" s="65">
        <f t="shared" si="28"/>
        <v>4.3374843136239971E-4</v>
      </c>
      <c r="W91" s="65">
        <f t="shared" si="28"/>
        <v>0</v>
      </c>
      <c r="X91" s="65">
        <f t="shared" si="28"/>
        <v>0.23375225568589469</v>
      </c>
      <c r="Y91" s="65">
        <f t="shared" si="28"/>
        <v>5.2357734334174948E-2</v>
      </c>
      <c r="Z91" s="65">
        <f t="shared" si="28"/>
        <v>4.5150060251525131E-3</v>
      </c>
      <c r="AA91" s="65">
        <f t="shared" si="28"/>
        <v>0</v>
      </c>
      <c r="AB91" s="65">
        <f t="shared" si="28"/>
        <v>2.3102610134583437E-5</v>
      </c>
      <c r="AC91" s="65">
        <f t="shared" si="28"/>
        <v>1.4148739860379898E-4</v>
      </c>
      <c r="AD91" s="65">
        <f t="shared" si="28"/>
        <v>2.5437822519482826E-3</v>
      </c>
      <c r="AE91" s="65">
        <f t="shared" si="28"/>
        <v>1.6535463416886953E-4</v>
      </c>
      <c r="AF91" s="65">
        <f t="shared" si="28"/>
        <v>1.2013831348398612E-3</v>
      </c>
      <c r="AG91" s="65">
        <f t="shared" si="28"/>
        <v>0</v>
      </c>
      <c r="AH91" s="65">
        <f t="shared" si="28"/>
        <v>0</v>
      </c>
      <c r="AI91" s="65">
        <f t="shared" si="28"/>
        <v>0</v>
      </c>
      <c r="AJ91" s="65">
        <f t="shared" si="28"/>
        <v>0</v>
      </c>
      <c r="AK91" s="65">
        <f t="shared" si="28"/>
        <v>0</v>
      </c>
      <c r="AL91" s="65">
        <f t="shared" si="28"/>
        <v>0</v>
      </c>
      <c r="AM91" s="65">
        <f t="shared" si="28"/>
        <v>0</v>
      </c>
      <c r="AN91" s="65">
        <f t="shared" si="28"/>
        <v>0</v>
      </c>
      <c r="AO91" s="65">
        <f t="shared" si="28"/>
        <v>0</v>
      </c>
      <c r="AP91" s="65">
        <f t="shared" si="28"/>
        <v>0</v>
      </c>
      <c r="AQ91" s="65">
        <f t="shared" si="28"/>
        <v>0</v>
      </c>
      <c r="AR91" s="65">
        <f t="shared" si="28"/>
        <v>0</v>
      </c>
      <c r="AS91" s="65">
        <f t="shared" si="28"/>
        <v>0</v>
      </c>
      <c r="AT91" s="65">
        <f t="shared" si="28"/>
        <v>0</v>
      </c>
      <c r="AU91" s="65">
        <f t="shared" si="28"/>
        <v>0</v>
      </c>
      <c r="AX91" s="19"/>
      <c r="AZ91" s="19"/>
      <c r="BA91" s="19"/>
      <c r="BC91" s="61"/>
      <c r="BE91" s="177"/>
      <c r="BF91" s="177"/>
      <c r="BG91" s="177"/>
      <c r="BH91" s="177"/>
      <c r="BI91" s="177"/>
      <c r="BJ91" s="177"/>
      <c r="BK91" s="177"/>
      <c r="BL91" s="177"/>
      <c r="BM91" s="177"/>
      <c r="BN91" s="177"/>
      <c r="BO91" s="177"/>
      <c r="BP91" s="177"/>
      <c r="BQ91" s="177"/>
      <c r="BR91" s="30"/>
      <c r="BS91" s="177"/>
      <c r="BT91" s="177"/>
      <c r="BU91" s="177"/>
      <c r="BV91" s="177"/>
      <c r="BW91" s="177"/>
      <c r="BX91" s="177"/>
      <c r="BY91" s="177"/>
      <c r="BZ91" s="177"/>
      <c r="CA91" s="177"/>
      <c r="CB91" s="177"/>
      <c r="CC91" s="177"/>
      <c r="CD91" s="177"/>
      <c r="CE91" s="177"/>
      <c r="CF91" s="177"/>
      <c r="CG91" s="177"/>
      <c r="CH91" s="177"/>
      <c r="CI91" s="177"/>
      <c r="CJ91" s="177"/>
      <c r="CK91" s="177"/>
      <c r="CL91" s="177"/>
      <c r="CM91" s="177"/>
      <c r="CN91" s="177"/>
      <c r="CO91" s="177"/>
      <c r="CP91" s="177"/>
      <c r="CQ91" s="177"/>
      <c r="CR91" s="177"/>
      <c r="CS91" s="177"/>
    </row>
    <row r="92" spans="1:97" x14ac:dyDescent="0.25">
      <c r="A92" s="136"/>
      <c r="B92" s="136"/>
      <c r="AX92" s="19"/>
      <c r="AZ92" s="19"/>
      <c r="BA92" s="19"/>
      <c r="BC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7"/>
      <c r="BX92" s="167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  <c r="CQ92" s="167"/>
      <c r="CR92" s="167"/>
      <c r="CS92" s="167"/>
    </row>
    <row r="93" spans="1:97" x14ac:dyDescent="0.25">
      <c r="A93" s="136">
        <v>55</v>
      </c>
      <c r="B93" s="136"/>
      <c r="C93" s="136" t="s">
        <v>416</v>
      </c>
      <c r="D93" s="23">
        <f>SUM(F93:AU93)</f>
        <v>3914690.75</v>
      </c>
      <c r="F93" s="22">
        <v>2158512.4166666665</v>
      </c>
      <c r="G93" s="22">
        <v>172842.83333333334</v>
      </c>
      <c r="H93" s="22">
        <v>0</v>
      </c>
      <c r="I93" s="22">
        <v>14</v>
      </c>
      <c r="J93" s="22">
        <v>416</v>
      </c>
      <c r="K93" s="22">
        <v>22</v>
      </c>
      <c r="L93" s="22">
        <v>4</v>
      </c>
      <c r="M93" s="22">
        <v>41</v>
      </c>
      <c r="N93" s="22">
        <v>5</v>
      </c>
      <c r="O93" s="22">
        <v>11</v>
      </c>
      <c r="P93" s="22">
        <v>1</v>
      </c>
      <c r="Q93" s="22">
        <v>0</v>
      </c>
      <c r="R93" s="22">
        <v>0</v>
      </c>
      <c r="S93" s="22">
        <v>369168.66666666669</v>
      </c>
      <c r="T93" s="22">
        <v>2204</v>
      </c>
      <c r="U93" s="22">
        <v>62</v>
      </c>
      <c r="V93" s="22">
        <v>4</v>
      </c>
      <c r="W93" s="22">
        <v>12</v>
      </c>
      <c r="X93" s="22">
        <v>1202886.8333333333</v>
      </c>
      <c r="Y93" s="22">
        <v>8069</v>
      </c>
      <c r="Z93" s="22">
        <v>225</v>
      </c>
      <c r="AA93" s="22">
        <v>0</v>
      </c>
      <c r="AB93" s="22">
        <v>7</v>
      </c>
      <c r="AC93" s="22">
        <v>30</v>
      </c>
      <c r="AD93" s="22">
        <v>57</v>
      </c>
      <c r="AE93" s="22">
        <v>4</v>
      </c>
      <c r="AF93" s="22">
        <v>4</v>
      </c>
      <c r="AG93" s="22">
        <v>0</v>
      </c>
      <c r="AH93" s="22">
        <v>46</v>
      </c>
      <c r="AI93" s="22">
        <v>0</v>
      </c>
      <c r="AJ93" s="22">
        <v>41</v>
      </c>
      <c r="AK93" s="22">
        <v>0</v>
      </c>
      <c r="AL93" s="22">
        <v>1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X93" s="19"/>
      <c r="BA93" s="19"/>
    </row>
    <row r="94" spans="1:97" x14ac:dyDescent="0.25">
      <c r="A94" s="136">
        <v>56</v>
      </c>
      <c r="B94" s="136" t="s">
        <v>247</v>
      </c>
      <c r="D94" s="65">
        <f>SUM(F94:AU94)</f>
        <v>0.99999999999999978</v>
      </c>
      <c r="F94" s="65">
        <f t="shared" ref="F94:AU94" si="29">F93/$D93</f>
        <v>0.55138772243162926</v>
      </c>
      <c r="G94" s="65">
        <f t="shared" si="29"/>
        <v>4.415235950204581E-2</v>
      </c>
      <c r="H94" s="65">
        <f t="shared" si="29"/>
        <v>0</v>
      </c>
      <c r="I94" s="65">
        <f t="shared" si="29"/>
        <v>3.5762722764243895E-6</v>
      </c>
      <c r="J94" s="65">
        <f t="shared" si="29"/>
        <v>1.0626637621375328E-4</v>
      </c>
      <c r="K94" s="65">
        <f t="shared" si="29"/>
        <v>5.6198564343811829E-6</v>
      </c>
      <c r="L94" s="65">
        <f t="shared" si="29"/>
        <v>1.0217920789783969E-6</v>
      </c>
      <c r="M94" s="65">
        <f t="shared" si="29"/>
        <v>1.0473368809528569E-5</v>
      </c>
      <c r="N94" s="65">
        <f t="shared" si="29"/>
        <v>1.2772400987229962E-6</v>
      </c>
      <c r="O94" s="65">
        <f t="shared" si="29"/>
        <v>2.8099282171905915E-6</v>
      </c>
      <c r="P94" s="65">
        <f t="shared" si="29"/>
        <v>2.5544801974459923E-7</v>
      </c>
      <c r="Q94" s="65">
        <f t="shared" si="29"/>
        <v>0</v>
      </c>
      <c r="R94" s="65">
        <f t="shared" si="29"/>
        <v>0</v>
      </c>
      <c r="S94" s="65">
        <f t="shared" si="29"/>
        <v>9.430340485175405E-2</v>
      </c>
      <c r="T94" s="65">
        <f t="shared" si="29"/>
        <v>5.630074355170967E-4</v>
      </c>
      <c r="U94" s="65">
        <f t="shared" si="29"/>
        <v>1.5837777224165152E-5</v>
      </c>
      <c r="V94" s="65">
        <f t="shared" si="29"/>
        <v>1.0217920789783969E-6</v>
      </c>
      <c r="W94" s="65">
        <f t="shared" si="29"/>
        <v>3.065376236935191E-6</v>
      </c>
      <c r="X94" s="65">
        <f t="shared" si="29"/>
        <v>0.30727505955185175</v>
      </c>
      <c r="Y94" s="65">
        <f t="shared" si="29"/>
        <v>2.0612100713191714E-3</v>
      </c>
      <c r="Z94" s="65">
        <f t="shared" si="29"/>
        <v>5.747580444253483E-5</v>
      </c>
      <c r="AA94" s="65">
        <f t="shared" si="29"/>
        <v>0</v>
      </c>
      <c r="AB94" s="65">
        <f t="shared" si="29"/>
        <v>1.7881361382121948E-6</v>
      </c>
      <c r="AC94" s="65">
        <f t="shared" si="29"/>
        <v>7.6634405923379764E-6</v>
      </c>
      <c r="AD94" s="65">
        <f t="shared" si="29"/>
        <v>1.4560537125442156E-5</v>
      </c>
      <c r="AE94" s="65">
        <f t="shared" si="29"/>
        <v>1.0217920789783969E-6</v>
      </c>
      <c r="AF94" s="65">
        <f t="shared" si="29"/>
        <v>1.0217920789783969E-6</v>
      </c>
      <c r="AG94" s="65">
        <f t="shared" si="29"/>
        <v>0</v>
      </c>
      <c r="AH94" s="65">
        <f t="shared" si="29"/>
        <v>1.1750608908251565E-5</v>
      </c>
      <c r="AI94" s="65">
        <f t="shared" si="29"/>
        <v>0</v>
      </c>
      <c r="AJ94" s="65">
        <f t="shared" si="29"/>
        <v>1.0473368809528569E-5</v>
      </c>
      <c r="AK94" s="65">
        <f t="shared" si="29"/>
        <v>0</v>
      </c>
      <c r="AL94" s="65">
        <f t="shared" si="29"/>
        <v>2.5544801974459923E-7</v>
      </c>
      <c r="AM94" s="65">
        <f t="shared" si="29"/>
        <v>0</v>
      </c>
      <c r="AN94" s="65">
        <f t="shared" si="29"/>
        <v>0</v>
      </c>
      <c r="AO94" s="65">
        <f t="shared" si="29"/>
        <v>0</v>
      </c>
      <c r="AP94" s="65">
        <f t="shared" si="29"/>
        <v>0</v>
      </c>
      <c r="AQ94" s="65">
        <f t="shared" si="29"/>
        <v>0</v>
      </c>
      <c r="AR94" s="65">
        <f t="shared" si="29"/>
        <v>0</v>
      </c>
      <c r="AS94" s="65">
        <f t="shared" si="29"/>
        <v>0</v>
      </c>
      <c r="AT94" s="65">
        <f t="shared" si="29"/>
        <v>0</v>
      </c>
      <c r="AU94" s="65">
        <f t="shared" si="29"/>
        <v>0</v>
      </c>
      <c r="AX94" s="19"/>
      <c r="AZ94" s="19"/>
      <c r="BA94" s="19"/>
      <c r="BC94" s="61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30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7"/>
    </row>
    <row r="95" spans="1:97" x14ac:dyDescent="0.25">
      <c r="A95" s="136"/>
      <c r="B95" s="136"/>
    </row>
    <row r="96" spans="1:97" x14ac:dyDescent="0.25">
      <c r="A96" s="136">
        <v>57</v>
      </c>
      <c r="B96" s="136"/>
      <c r="C96" s="136" t="s">
        <v>416</v>
      </c>
      <c r="D96" s="23">
        <f>SUM(F96:AU96)</f>
        <v>27922872.532157488</v>
      </c>
      <c r="F96" s="22">
        <v>5001026.7405322641</v>
      </c>
      <c r="G96" s="22">
        <v>4795693.3541834503</v>
      </c>
      <c r="H96" s="22">
        <v>0</v>
      </c>
      <c r="I96" s="22">
        <v>27429.149150000001</v>
      </c>
      <c r="J96" s="22">
        <v>1068281.1555699999</v>
      </c>
      <c r="K96" s="22">
        <v>381872.95079999999</v>
      </c>
      <c r="L96" s="22">
        <v>824970.71412000002</v>
      </c>
      <c r="M96" s="22">
        <v>52646.49712</v>
      </c>
      <c r="N96" s="22">
        <v>15713.660759999995</v>
      </c>
      <c r="O96" s="22">
        <v>323253.73901000002</v>
      </c>
      <c r="P96" s="22">
        <v>188852.1</v>
      </c>
      <c r="Q96" s="22">
        <v>0</v>
      </c>
      <c r="R96" s="22">
        <v>0</v>
      </c>
      <c r="S96" s="22">
        <v>989004.62041301187</v>
      </c>
      <c r="T96" s="22">
        <v>327974.147298005</v>
      </c>
      <c r="U96" s="22">
        <v>929101.10527858487</v>
      </c>
      <c r="V96" s="22">
        <v>126830.7564232717</v>
      </c>
      <c r="W96" s="22">
        <v>1076377.9679847201</v>
      </c>
      <c r="X96" s="22">
        <v>3255132.1250927323</v>
      </c>
      <c r="Y96" s="22">
        <v>1319376.3993087611</v>
      </c>
      <c r="Z96" s="22">
        <v>593661.3804100001</v>
      </c>
      <c r="AA96" s="22">
        <v>238.00964000000002</v>
      </c>
      <c r="AB96" s="22">
        <v>4405.8776000000007</v>
      </c>
      <c r="AC96" s="22">
        <v>55087.023449999993</v>
      </c>
      <c r="AD96" s="22">
        <v>713737.64702999999</v>
      </c>
      <c r="AE96" s="22">
        <v>75999.023490000007</v>
      </c>
      <c r="AF96" s="22">
        <v>90073.425800000012</v>
      </c>
      <c r="AG96" s="22">
        <v>0</v>
      </c>
      <c r="AH96" s="22">
        <v>393753.99066874996</v>
      </c>
      <c r="AI96" s="22">
        <v>37535.500949999994</v>
      </c>
      <c r="AJ96" s="22">
        <v>4963881.1018539304</v>
      </c>
      <c r="AK96" s="22">
        <v>41762.222749999994</v>
      </c>
      <c r="AL96" s="22">
        <v>249200.14546999999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</row>
    <row r="97" spans="1:97" x14ac:dyDescent="0.25">
      <c r="A97" s="136">
        <v>58</v>
      </c>
      <c r="B97" s="136" t="s">
        <v>249</v>
      </c>
      <c r="D97" s="65">
        <f>SUM(F97:AU97)</f>
        <v>1</v>
      </c>
      <c r="F97" s="65">
        <f t="shared" ref="F97:AU97" si="30">F96/$D96</f>
        <v>0.17910144218768365</v>
      </c>
      <c r="G97" s="65">
        <f t="shared" si="30"/>
        <v>0.17174785110881666</v>
      </c>
      <c r="H97" s="65">
        <f t="shared" si="30"/>
        <v>0</v>
      </c>
      <c r="I97" s="65">
        <f t="shared" si="30"/>
        <v>9.8231831694289731E-4</v>
      </c>
      <c r="J97" s="65">
        <f t="shared" si="30"/>
        <v>3.8258282858961219E-2</v>
      </c>
      <c r="K97" s="65">
        <f t="shared" si="30"/>
        <v>1.3675990905313001E-2</v>
      </c>
      <c r="L97" s="65">
        <f t="shared" si="30"/>
        <v>2.9544622000115466E-2</v>
      </c>
      <c r="M97" s="65">
        <f t="shared" si="30"/>
        <v>1.8854255434991314E-3</v>
      </c>
      <c r="N97" s="65">
        <f t="shared" si="30"/>
        <v>5.6275230071344896E-4</v>
      </c>
      <c r="O97" s="65">
        <f t="shared" si="30"/>
        <v>1.1576664923629314E-2</v>
      </c>
      <c r="P97" s="65">
        <f t="shared" si="30"/>
        <v>6.7633478533595612E-3</v>
      </c>
      <c r="Q97" s="65">
        <f t="shared" si="30"/>
        <v>0</v>
      </c>
      <c r="R97" s="65">
        <f t="shared" si="30"/>
        <v>0</v>
      </c>
      <c r="S97" s="65">
        <f t="shared" si="30"/>
        <v>3.5419157512323302E-2</v>
      </c>
      <c r="T97" s="65">
        <f t="shared" si="30"/>
        <v>1.1745716595607858E-2</v>
      </c>
      <c r="U97" s="65">
        <f t="shared" si="30"/>
        <v>3.327383685931961E-2</v>
      </c>
      <c r="V97" s="65">
        <f t="shared" si="30"/>
        <v>4.5421815494522113E-3</v>
      </c>
      <c r="W97" s="65">
        <f t="shared" si="30"/>
        <v>3.8548253470165189E-2</v>
      </c>
      <c r="X97" s="65">
        <f t="shared" si="30"/>
        <v>0.11657583299654956</v>
      </c>
      <c r="Y97" s="65">
        <f t="shared" si="30"/>
        <v>4.7250740330863024E-2</v>
      </c>
      <c r="Z97" s="65">
        <f t="shared" si="30"/>
        <v>2.126075602452103E-2</v>
      </c>
      <c r="AA97" s="65">
        <f t="shared" si="30"/>
        <v>8.5238236046773215E-6</v>
      </c>
      <c r="AB97" s="65">
        <f t="shared" si="30"/>
        <v>1.5778740510762114E-4</v>
      </c>
      <c r="AC97" s="65">
        <f t="shared" si="30"/>
        <v>1.9728279526599135E-3</v>
      </c>
      <c r="AD97" s="65">
        <f t="shared" si="30"/>
        <v>2.556103947428837E-2</v>
      </c>
      <c r="AE97" s="65">
        <f t="shared" si="30"/>
        <v>2.7217480365773765E-3</v>
      </c>
      <c r="AF97" s="65">
        <f t="shared" si="30"/>
        <v>3.2257936820886384E-3</v>
      </c>
      <c r="AG97" s="65">
        <f t="shared" si="30"/>
        <v>0</v>
      </c>
      <c r="AH97" s="65">
        <f t="shared" si="30"/>
        <v>1.4101485805777383E-2</v>
      </c>
      <c r="AI97" s="65">
        <f t="shared" si="30"/>
        <v>1.3442564301639126E-3</v>
      </c>
      <c r="AJ97" s="65">
        <f t="shared" si="30"/>
        <v>0.17777114786944848</v>
      </c>
      <c r="AK97" s="65">
        <f t="shared" si="30"/>
        <v>1.4956277403732141E-3</v>
      </c>
      <c r="AL97" s="65">
        <f t="shared" si="30"/>
        <v>8.9245884420740603E-3</v>
      </c>
      <c r="AM97" s="65">
        <f t="shared" si="30"/>
        <v>0</v>
      </c>
      <c r="AN97" s="65">
        <f t="shared" si="30"/>
        <v>0</v>
      </c>
      <c r="AO97" s="65">
        <f t="shared" si="30"/>
        <v>0</v>
      </c>
      <c r="AP97" s="65">
        <f t="shared" si="30"/>
        <v>0</v>
      </c>
      <c r="AQ97" s="65">
        <f t="shared" si="30"/>
        <v>0</v>
      </c>
      <c r="AR97" s="65">
        <f t="shared" si="30"/>
        <v>0</v>
      </c>
      <c r="AS97" s="65">
        <f t="shared" si="30"/>
        <v>0</v>
      </c>
      <c r="AT97" s="65">
        <f t="shared" si="30"/>
        <v>0</v>
      </c>
      <c r="AU97" s="65">
        <f t="shared" si="30"/>
        <v>0</v>
      </c>
    </row>
    <row r="98" spans="1:97" x14ac:dyDescent="0.25">
      <c r="A98" s="136"/>
      <c r="B98" s="136"/>
      <c r="AX98" s="19"/>
      <c r="AZ98" s="19"/>
      <c r="BA98" s="19"/>
      <c r="BC98" s="167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7"/>
      <c r="CA98" s="167"/>
      <c r="CB98" s="167"/>
      <c r="CC98" s="167"/>
      <c r="CD98" s="167"/>
      <c r="CE98" s="167"/>
      <c r="CF98" s="167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  <c r="CQ98" s="167"/>
      <c r="CR98" s="167"/>
      <c r="CS98" s="167"/>
    </row>
    <row r="99" spans="1:97" x14ac:dyDescent="0.25">
      <c r="A99" s="136">
        <v>59</v>
      </c>
      <c r="B99" s="136"/>
      <c r="C99" s="136" t="s">
        <v>416</v>
      </c>
      <c r="D99" s="23">
        <f>SUM(F99:AU99)</f>
        <v>162050.40026244643</v>
      </c>
      <c r="F99" s="22">
        <v>40424.903215755825</v>
      </c>
      <c r="G99" s="22">
        <v>41798.158078949724</v>
      </c>
      <c r="H99" s="22">
        <v>0</v>
      </c>
      <c r="I99" s="22">
        <v>220.18361997490837</v>
      </c>
      <c r="J99" s="22">
        <v>8783.6318982213324</v>
      </c>
      <c r="K99" s="22">
        <v>3065.4311665968708</v>
      </c>
      <c r="L99" s="22">
        <v>0</v>
      </c>
      <c r="M99" s="22">
        <v>422.61231843132788</v>
      </c>
      <c r="N99" s="22">
        <v>126.13919193313616</v>
      </c>
      <c r="O99" s="22">
        <v>2594.8737248980997</v>
      </c>
      <c r="P99" s="22">
        <v>1516.020793565981</v>
      </c>
      <c r="Q99" s="22">
        <v>0</v>
      </c>
      <c r="R99" s="22">
        <v>247.65091569573769</v>
      </c>
      <c r="S99" s="22">
        <v>8177.3803873951811</v>
      </c>
      <c r="T99" s="22">
        <v>3258.8679196701132</v>
      </c>
      <c r="U99" s="22">
        <v>1630.4982290425601</v>
      </c>
      <c r="V99" s="22">
        <v>45.778075728808943</v>
      </c>
      <c r="W99" s="22">
        <v>0</v>
      </c>
      <c r="X99" s="22">
        <v>26130.113292250408</v>
      </c>
      <c r="Y99" s="22">
        <v>10591.107661437001</v>
      </c>
      <c r="Z99" s="22">
        <v>4765.5328666283103</v>
      </c>
      <c r="AA99" s="22">
        <v>1.9105887622520275</v>
      </c>
      <c r="AB99" s="22">
        <v>35.367560029996824</v>
      </c>
      <c r="AC99" s="22">
        <v>442.20329878018339</v>
      </c>
      <c r="AD99" s="22">
        <v>5729.4281341365922</v>
      </c>
      <c r="AE99" s="22">
        <v>610.07142493103163</v>
      </c>
      <c r="AF99" s="22">
        <v>723.05170122950415</v>
      </c>
      <c r="AG99" s="22">
        <v>0</v>
      </c>
      <c r="AH99" s="22">
        <v>49.130443540286926</v>
      </c>
      <c r="AI99" s="22">
        <v>4.6834720507804608</v>
      </c>
      <c r="AJ99" s="22">
        <v>619.36560897105085</v>
      </c>
      <c r="AK99" s="22">
        <v>5.2108590022186165</v>
      </c>
      <c r="AL99" s="22">
        <v>31.093814837155389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X99" s="19"/>
      <c r="AZ99" s="179"/>
      <c r="BA99" s="19"/>
      <c r="BC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9"/>
      <c r="CR99" s="179"/>
      <c r="CS99" s="179"/>
    </row>
    <row r="100" spans="1:97" x14ac:dyDescent="0.25">
      <c r="A100" s="136">
        <v>60</v>
      </c>
      <c r="B100" s="136" t="s">
        <v>296</v>
      </c>
      <c r="D100" s="65">
        <f>SUM(F100:AU100)</f>
        <v>0.99999999999999944</v>
      </c>
      <c r="F100" s="65">
        <f t="shared" ref="F100:AU100" si="31">F99/$D99</f>
        <v>0.24945882978558673</v>
      </c>
      <c r="G100" s="65">
        <f t="shared" si="31"/>
        <v>0.25793307521151509</v>
      </c>
      <c r="H100" s="65">
        <f t="shared" si="31"/>
        <v>0</v>
      </c>
      <c r="I100" s="65">
        <f t="shared" si="31"/>
        <v>1.358735428103313E-3</v>
      </c>
      <c r="J100" s="65">
        <f t="shared" si="31"/>
        <v>5.4203086718674721E-2</v>
      </c>
      <c r="K100" s="65">
        <f t="shared" si="31"/>
        <v>1.891652943548609E-2</v>
      </c>
      <c r="L100" s="65">
        <f t="shared" si="31"/>
        <v>0</v>
      </c>
      <c r="M100" s="65">
        <f t="shared" si="31"/>
        <v>2.6079066620439818E-3</v>
      </c>
      <c r="N100" s="65">
        <f t="shared" si="31"/>
        <v>7.783948187036207E-4</v>
      </c>
      <c r="O100" s="65">
        <f t="shared" si="31"/>
        <v>1.6012757269933359E-2</v>
      </c>
      <c r="P100" s="65">
        <f t="shared" si="31"/>
        <v>9.3552425116552075E-3</v>
      </c>
      <c r="Q100" s="65">
        <f t="shared" si="31"/>
        <v>0</v>
      </c>
      <c r="R100" s="65">
        <f t="shared" si="31"/>
        <v>1.528233903123091E-3</v>
      </c>
      <c r="S100" s="65">
        <f t="shared" si="31"/>
        <v>5.046195735494402E-2</v>
      </c>
      <c r="T100" s="65">
        <f t="shared" si="31"/>
        <v>2.0110212096929474E-2</v>
      </c>
      <c r="U100" s="65">
        <f t="shared" si="31"/>
        <v>1.0061673568235004E-2</v>
      </c>
      <c r="V100" s="65">
        <f t="shared" si="31"/>
        <v>2.8249282726034434E-4</v>
      </c>
      <c r="W100" s="65">
        <f t="shared" si="31"/>
        <v>0</v>
      </c>
      <c r="X100" s="65">
        <f t="shared" si="31"/>
        <v>0.16124682968960122</v>
      </c>
      <c r="Y100" s="65">
        <f t="shared" si="31"/>
        <v>6.535687443094447E-2</v>
      </c>
      <c r="Z100" s="65">
        <f t="shared" si="31"/>
        <v>2.9407720430868169E-2</v>
      </c>
      <c r="AA100" s="65">
        <f t="shared" si="31"/>
        <v>1.1790089744658208E-5</v>
      </c>
      <c r="AB100" s="65">
        <f t="shared" si="31"/>
        <v>2.1825037132100749E-4</v>
      </c>
      <c r="AC100" s="65">
        <f t="shared" si="31"/>
        <v>2.7288010277297637E-3</v>
      </c>
      <c r="AD100" s="65">
        <f t="shared" si="31"/>
        <v>3.535584068201978E-2</v>
      </c>
      <c r="AE100" s="65">
        <f t="shared" si="31"/>
        <v>3.7647017467590275E-3</v>
      </c>
      <c r="AF100" s="65">
        <f t="shared" si="31"/>
        <v>4.4618939543407234E-3</v>
      </c>
      <c r="AG100" s="65">
        <f t="shared" si="31"/>
        <v>0</v>
      </c>
      <c r="AH100" s="65">
        <f t="shared" si="31"/>
        <v>3.0318001967732515E-4</v>
      </c>
      <c r="AI100" s="65">
        <f t="shared" si="31"/>
        <v>2.8901329729487925E-5</v>
      </c>
      <c r="AJ100" s="65">
        <f t="shared" si="31"/>
        <v>3.8220554097241725E-3</v>
      </c>
      <c r="AK100" s="65">
        <f t="shared" si="31"/>
        <v>3.2155792233647329E-5</v>
      </c>
      <c r="AL100" s="65">
        <f t="shared" si="31"/>
        <v>1.9187743311215423E-4</v>
      </c>
      <c r="AM100" s="65">
        <f t="shared" si="31"/>
        <v>0</v>
      </c>
      <c r="AN100" s="65">
        <f t="shared" si="31"/>
        <v>0</v>
      </c>
      <c r="AO100" s="65">
        <f t="shared" si="31"/>
        <v>0</v>
      </c>
      <c r="AP100" s="65">
        <f t="shared" si="31"/>
        <v>0</v>
      </c>
      <c r="AQ100" s="65">
        <f t="shared" si="31"/>
        <v>0</v>
      </c>
      <c r="AR100" s="65">
        <f t="shared" si="31"/>
        <v>0</v>
      </c>
      <c r="AS100" s="65">
        <f t="shared" si="31"/>
        <v>0</v>
      </c>
      <c r="AT100" s="65">
        <f t="shared" si="31"/>
        <v>0</v>
      </c>
      <c r="AU100" s="65">
        <f t="shared" si="31"/>
        <v>0</v>
      </c>
      <c r="AX100" s="19"/>
      <c r="AZ100" s="19"/>
      <c r="BA100" s="19"/>
      <c r="BC100" s="61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</row>
    <row r="101" spans="1:97" x14ac:dyDescent="0.25">
      <c r="A101" s="136"/>
      <c r="B101" s="136"/>
      <c r="AX101" s="19"/>
      <c r="AZ101" s="19"/>
      <c r="BA101" s="19"/>
      <c r="BC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  <c r="CQ101" s="167"/>
      <c r="CR101" s="167"/>
      <c r="CS101" s="167"/>
    </row>
    <row r="102" spans="1:97" x14ac:dyDescent="0.25">
      <c r="A102" s="136">
        <v>61</v>
      </c>
      <c r="B102" s="136"/>
      <c r="C102" s="136" t="s">
        <v>416</v>
      </c>
      <c r="D102" s="23">
        <f>SUM(F102:AU102)</f>
        <v>23898.700496907859</v>
      </c>
      <c r="F102" s="22">
        <v>6125.7510426480685</v>
      </c>
      <c r="G102" s="22">
        <v>5874.2384491795447</v>
      </c>
      <c r="H102" s="22">
        <v>0</v>
      </c>
      <c r="I102" s="22">
        <v>33.597928529908025</v>
      </c>
      <c r="J102" s="22">
        <v>1308.5361750890625</v>
      </c>
      <c r="K102" s="22">
        <v>467.7556725627955</v>
      </c>
      <c r="L102" s="22">
        <v>0</v>
      </c>
      <c r="M102" s="22">
        <v>64.486624718644194</v>
      </c>
      <c r="N102" s="22">
        <v>19.247642289979673</v>
      </c>
      <c r="O102" s="22">
        <v>395.95307754136149</v>
      </c>
      <c r="P102" s="22">
        <v>231.32468760967899</v>
      </c>
      <c r="Q102" s="22">
        <v>0</v>
      </c>
      <c r="R102" s="22">
        <v>19.662249806094447</v>
      </c>
      <c r="S102" s="22">
        <v>1211.4304519863381</v>
      </c>
      <c r="T102" s="22">
        <v>396.98125616745477</v>
      </c>
      <c r="U102" s="22">
        <v>165.75927617033875</v>
      </c>
      <c r="V102" s="22">
        <v>6.9852994366634205</v>
      </c>
      <c r="W102" s="22">
        <v>0</v>
      </c>
      <c r="X102" s="22">
        <v>3987.2070364338379</v>
      </c>
      <c r="Y102" s="22">
        <v>1616.1024071730326</v>
      </c>
      <c r="Z102" s="22">
        <v>727.17503998776863</v>
      </c>
      <c r="AA102" s="22">
        <v>0.2915376933647662</v>
      </c>
      <c r="AB102" s="22">
        <v>5.3967536472534983</v>
      </c>
      <c r="AC102" s="22">
        <v>67.476022193654771</v>
      </c>
      <c r="AD102" s="22">
        <v>874.25630021843597</v>
      </c>
      <c r="AE102" s="22">
        <v>93.091103395010748</v>
      </c>
      <c r="AF102" s="22">
        <v>110.33082017683999</v>
      </c>
      <c r="AG102" s="22">
        <v>0</v>
      </c>
      <c r="AH102" s="22">
        <v>6.6245269241308211</v>
      </c>
      <c r="AI102" s="22">
        <v>0.63149820077175234</v>
      </c>
      <c r="AJ102" s="22">
        <v>83.512459014235205</v>
      </c>
      <c r="AK102" s="22">
        <v>0.70260867337256472</v>
      </c>
      <c r="AL102" s="22">
        <v>4.1925494402217103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X102" s="19"/>
      <c r="BA102" s="19"/>
    </row>
    <row r="103" spans="1:97" x14ac:dyDescent="0.25">
      <c r="A103" s="136">
        <v>62</v>
      </c>
      <c r="B103" s="136" t="s">
        <v>298</v>
      </c>
      <c r="D103" s="65">
        <f>SUM(F103:AU103)</f>
        <v>1.0000000000000002</v>
      </c>
      <c r="F103" s="65">
        <f t="shared" ref="F103:AU103" si="32">F102/$D102</f>
        <v>0.25632151185126784</v>
      </c>
      <c r="G103" s="65">
        <f t="shared" si="32"/>
        <v>0.24579740015318344</v>
      </c>
      <c r="H103" s="65">
        <f t="shared" si="32"/>
        <v>0</v>
      </c>
      <c r="I103" s="65">
        <f t="shared" si="32"/>
        <v>1.4058475076607242E-3</v>
      </c>
      <c r="J103" s="65">
        <f t="shared" si="32"/>
        <v>5.4753444659401788E-2</v>
      </c>
      <c r="K103" s="65">
        <f t="shared" si="32"/>
        <v>1.9572431255135241E-2</v>
      </c>
      <c r="L103" s="65">
        <f t="shared" si="32"/>
        <v>0</v>
      </c>
      <c r="M103" s="65">
        <f t="shared" si="32"/>
        <v>2.6983318497584342E-3</v>
      </c>
      <c r="N103" s="65">
        <f t="shared" si="32"/>
        <v>8.05384472367861E-4</v>
      </c>
      <c r="O103" s="65">
        <f t="shared" si="32"/>
        <v>1.6567975216585186E-2</v>
      </c>
      <c r="P103" s="65">
        <f t="shared" si="32"/>
        <v>9.679383514581013E-3</v>
      </c>
      <c r="Q103" s="65">
        <f t="shared" si="32"/>
        <v>0</v>
      </c>
      <c r="R103" s="65">
        <f t="shared" si="32"/>
        <v>8.2273301046801499E-4</v>
      </c>
      <c r="S103" s="65">
        <f t="shared" si="32"/>
        <v>5.069022276516999E-2</v>
      </c>
      <c r="T103" s="65">
        <f t="shared" si="32"/>
        <v>1.661099758201574E-2</v>
      </c>
      <c r="U103" s="65">
        <f t="shared" si="32"/>
        <v>6.935911690754297E-3</v>
      </c>
      <c r="V103" s="65">
        <f t="shared" si="32"/>
        <v>2.9228783538114199E-4</v>
      </c>
      <c r="W103" s="65">
        <f t="shared" si="32"/>
        <v>0</v>
      </c>
      <c r="X103" s="65">
        <f t="shared" si="32"/>
        <v>0.16683781768593334</v>
      </c>
      <c r="Y103" s="65">
        <f t="shared" si="32"/>
        <v>6.7623024414324648E-2</v>
      </c>
      <c r="Z103" s="65">
        <f t="shared" si="32"/>
        <v>3.0427388304307777E-2</v>
      </c>
      <c r="AA103" s="65">
        <f t="shared" si="32"/>
        <v>1.2198893132389642E-5</v>
      </c>
      <c r="AB103" s="65">
        <f t="shared" si="32"/>
        <v>2.258178702206741E-4</v>
      </c>
      <c r="AC103" s="65">
        <f t="shared" si="32"/>
        <v>2.8234180432691381E-3</v>
      </c>
      <c r="AD103" s="65">
        <f t="shared" si="32"/>
        <v>3.658175055717159E-2</v>
      </c>
      <c r="AE103" s="65">
        <f t="shared" si="32"/>
        <v>3.8952370404849155E-3</v>
      </c>
      <c r="AF103" s="65">
        <f t="shared" si="32"/>
        <v>4.6166033249847695E-3</v>
      </c>
      <c r="AG103" s="65">
        <f t="shared" si="32"/>
        <v>0</v>
      </c>
      <c r="AH103" s="65">
        <f t="shared" si="32"/>
        <v>2.771919303724459E-4</v>
      </c>
      <c r="AI103" s="65">
        <f t="shared" si="32"/>
        <v>2.6423955597646783E-5</v>
      </c>
      <c r="AJ103" s="65">
        <f t="shared" si="32"/>
        <v>3.4944351482642535E-3</v>
      </c>
      <c r="AK103" s="65">
        <f t="shared" si="32"/>
        <v>2.9399450964435158E-5</v>
      </c>
      <c r="AL103" s="65">
        <f t="shared" si="32"/>
        <v>1.7543001724148829E-4</v>
      </c>
      <c r="AM103" s="65">
        <f t="shared" si="32"/>
        <v>0</v>
      </c>
      <c r="AN103" s="65">
        <f t="shared" si="32"/>
        <v>0</v>
      </c>
      <c r="AO103" s="65">
        <f t="shared" si="32"/>
        <v>0</v>
      </c>
      <c r="AP103" s="65">
        <f t="shared" si="32"/>
        <v>0</v>
      </c>
      <c r="AQ103" s="65">
        <f t="shared" si="32"/>
        <v>0</v>
      </c>
      <c r="AR103" s="65">
        <f t="shared" si="32"/>
        <v>0</v>
      </c>
      <c r="AS103" s="65">
        <f t="shared" si="32"/>
        <v>0</v>
      </c>
      <c r="AT103" s="65">
        <f t="shared" si="32"/>
        <v>0</v>
      </c>
      <c r="AU103" s="65">
        <f t="shared" si="32"/>
        <v>0</v>
      </c>
      <c r="AX103" s="19"/>
      <c r="AZ103" s="19"/>
      <c r="BA103" s="19"/>
      <c r="BC103" s="61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</row>
    <row r="104" spans="1:97" x14ac:dyDescent="0.25">
      <c r="A104" s="136"/>
      <c r="B104" s="136"/>
      <c r="AX104" s="19"/>
      <c r="AZ104" s="19"/>
      <c r="BA104" s="19"/>
      <c r="BC104" s="167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7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7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7"/>
      <c r="CK104" s="167"/>
      <c r="CL104" s="167"/>
      <c r="CM104" s="167"/>
      <c r="CN104" s="167"/>
      <c r="CO104" s="167"/>
      <c r="CP104" s="167"/>
      <c r="CQ104" s="167"/>
      <c r="CR104" s="167"/>
      <c r="CS104" s="167"/>
    </row>
    <row r="105" spans="1:97" x14ac:dyDescent="0.25">
      <c r="A105" s="136">
        <v>63</v>
      </c>
      <c r="B105" s="136"/>
      <c r="C105" s="136" t="s">
        <v>416</v>
      </c>
      <c r="D105" s="23">
        <f>SUM(F105:AU105)</f>
        <v>18268.071868020073</v>
      </c>
      <c r="F105" s="22">
        <v>129.43415928742735</v>
      </c>
      <c r="G105" s="22">
        <v>124.11981972985269</v>
      </c>
      <c r="H105" s="22">
        <v>0</v>
      </c>
      <c r="I105" s="22">
        <v>0.70990799377766256</v>
      </c>
      <c r="J105" s="22">
        <v>27.648737034964924</v>
      </c>
      <c r="K105" s="22">
        <v>9.883451320267584</v>
      </c>
      <c r="L105" s="22">
        <v>0</v>
      </c>
      <c r="M105" s="22">
        <v>1.3625712174116305</v>
      </c>
      <c r="N105" s="22">
        <v>0.40669338024414714</v>
      </c>
      <c r="O105" s="22">
        <v>8.3662971857702431</v>
      </c>
      <c r="P105" s="22">
        <v>4.8877788624988581</v>
      </c>
      <c r="Q105" s="22">
        <v>0</v>
      </c>
      <c r="R105" s="22">
        <v>0.34594276893909121</v>
      </c>
      <c r="S105" s="22">
        <v>25.596940031741376</v>
      </c>
      <c r="T105" s="22">
        <v>8.3880221032765458</v>
      </c>
      <c r="U105" s="22">
        <v>3.5024134029981173</v>
      </c>
      <c r="V105" s="22">
        <v>0.14759600147978352</v>
      </c>
      <c r="W105" s="22">
        <v>0</v>
      </c>
      <c r="X105" s="22">
        <v>84.247757878621641</v>
      </c>
      <c r="Y105" s="22">
        <v>34.14746288879612</v>
      </c>
      <c r="Z105" s="22">
        <v>15.364857190626378</v>
      </c>
      <c r="AA105" s="22">
        <v>6.1600505764191271E-3</v>
      </c>
      <c r="AB105" s="22">
        <v>0.11403079660770095</v>
      </c>
      <c r="AC105" s="22">
        <v>1.4257357414447012</v>
      </c>
      <c r="AD105" s="22">
        <v>18.472613142892794</v>
      </c>
      <c r="AE105" s="22">
        <v>1.9669700288478453</v>
      </c>
      <c r="AF105" s="22">
        <v>2.3312369134264288</v>
      </c>
      <c r="AG105" s="22">
        <v>0</v>
      </c>
      <c r="AH105" s="22">
        <v>10.190950657235415</v>
      </c>
      <c r="AI105" s="22">
        <v>0.97147571108140041</v>
      </c>
      <c r="AJ105" s="22">
        <v>128.47277380341112</v>
      </c>
      <c r="AK105" s="22">
        <v>1.0808696837812175</v>
      </c>
      <c r="AL105" s="22">
        <v>6.4496778355120554</v>
      </c>
      <c r="AM105" s="22">
        <v>0</v>
      </c>
      <c r="AN105" s="22">
        <v>0</v>
      </c>
      <c r="AO105" s="22">
        <v>0</v>
      </c>
      <c r="AP105" s="22">
        <v>6590.8278059587019</v>
      </c>
      <c r="AQ105" s="22">
        <v>1172.9926344322564</v>
      </c>
      <c r="AR105" s="22">
        <v>9417.9473056934821</v>
      </c>
      <c r="AS105" s="22">
        <v>123.06885540871056</v>
      </c>
      <c r="AT105" s="22">
        <v>279.70932546637857</v>
      </c>
      <c r="AU105" s="22">
        <v>33.483038417035949</v>
      </c>
      <c r="AX105" s="19"/>
      <c r="BA105" s="19"/>
    </row>
    <row r="106" spans="1:97" x14ac:dyDescent="0.25">
      <c r="A106" s="136">
        <v>64</v>
      </c>
      <c r="B106" s="136" t="s">
        <v>380</v>
      </c>
      <c r="D106" s="65">
        <f>SUM(F106:AU106)</f>
        <v>1.0000000000000002</v>
      </c>
      <c r="F106" s="65">
        <f t="shared" ref="F106:AU106" si="33">F105/$D105</f>
        <v>7.0852665909429471E-3</v>
      </c>
      <c r="G106" s="65">
        <f t="shared" si="33"/>
        <v>6.7943579720165081E-3</v>
      </c>
      <c r="H106" s="65">
        <f t="shared" si="33"/>
        <v>0</v>
      </c>
      <c r="I106" s="65">
        <f t="shared" si="33"/>
        <v>3.8860586870167796E-5</v>
      </c>
      <c r="J106" s="65">
        <f t="shared" si="33"/>
        <v>1.5135005617843316E-3</v>
      </c>
      <c r="K106" s="65">
        <f t="shared" si="33"/>
        <v>5.4102323396096699E-4</v>
      </c>
      <c r="L106" s="65">
        <f t="shared" si="33"/>
        <v>0</v>
      </c>
      <c r="M106" s="65">
        <f t="shared" si="33"/>
        <v>7.4587577017196633E-5</v>
      </c>
      <c r="N106" s="65">
        <f t="shared" si="33"/>
        <v>2.2262523553791193E-5</v>
      </c>
      <c r="O106" s="65">
        <f t="shared" si="33"/>
        <v>4.5797373944078955E-4</v>
      </c>
      <c r="P106" s="65">
        <f t="shared" si="33"/>
        <v>2.6755855230980129E-4</v>
      </c>
      <c r="Q106" s="65">
        <f t="shared" si="33"/>
        <v>0</v>
      </c>
      <c r="R106" s="65">
        <f t="shared" si="33"/>
        <v>1.8937015982770224E-5</v>
      </c>
      <c r="S106" s="65">
        <f t="shared" si="33"/>
        <v>1.4011845484662865E-3</v>
      </c>
      <c r="T106" s="65">
        <f t="shared" si="33"/>
        <v>4.5916296825832746E-4</v>
      </c>
      <c r="U106" s="65">
        <f t="shared" si="33"/>
        <v>1.9172321131106406E-4</v>
      </c>
      <c r="V106" s="65">
        <f t="shared" si="33"/>
        <v>8.0794515450841741E-6</v>
      </c>
      <c r="W106" s="65">
        <f t="shared" si="33"/>
        <v>0</v>
      </c>
      <c r="X106" s="65">
        <f t="shared" si="33"/>
        <v>4.6117487651285757E-3</v>
      </c>
      <c r="Y106" s="65">
        <f t="shared" si="33"/>
        <v>1.8692428590985767E-3</v>
      </c>
      <c r="Z106" s="65">
        <f t="shared" si="33"/>
        <v>8.4107711539738151E-4</v>
      </c>
      <c r="AA106" s="65">
        <f t="shared" si="33"/>
        <v>3.3720310610354329E-7</v>
      </c>
      <c r="AB106" s="65">
        <f t="shared" si="33"/>
        <v>6.2420816729609143E-6</v>
      </c>
      <c r="AC106" s="65">
        <f t="shared" si="33"/>
        <v>7.8045222930208719E-5</v>
      </c>
      <c r="AD106" s="65">
        <f t="shared" si="33"/>
        <v>1.0111966537218846E-3</v>
      </c>
      <c r="AE106" s="65">
        <f t="shared" si="33"/>
        <v>1.0767255805968258E-4</v>
      </c>
      <c r="AF106" s="65">
        <f t="shared" si="33"/>
        <v>1.276126418961309E-4</v>
      </c>
      <c r="AG106" s="65">
        <f t="shared" si="33"/>
        <v>0</v>
      </c>
      <c r="AH106" s="65">
        <f t="shared" si="33"/>
        <v>5.5785584438583274E-4</v>
      </c>
      <c r="AI106" s="65">
        <f t="shared" si="33"/>
        <v>5.3178885987527631E-5</v>
      </c>
      <c r="AJ106" s="65">
        <f t="shared" si="33"/>
        <v>7.0326400471586951E-3</v>
      </c>
      <c r="AK106" s="65">
        <f t="shared" si="33"/>
        <v>5.9167146461328442E-5</v>
      </c>
      <c r="AL106" s="65">
        <f t="shared" si="33"/>
        <v>3.5305739336414615E-4</v>
      </c>
      <c r="AM106" s="65">
        <f t="shared" si="33"/>
        <v>0</v>
      </c>
      <c r="AN106" s="65">
        <f t="shared" si="33"/>
        <v>0</v>
      </c>
      <c r="AO106" s="65">
        <f t="shared" si="33"/>
        <v>0</v>
      </c>
      <c r="AP106" s="65">
        <f t="shared" si="33"/>
        <v>0.36078398714297522</v>
      </c>
      <c r="AQ106" s="65">
        <f t="shared" si="33"/>
        <v>6.4209985755841428E-2</v>
      </c>
      <c r="AR106" s="65">
        <f t="shared" si="33"/>
        <v>0.5155413977859622</v>
      </c>
      <c r="AS106" s="65">
        <f t="shared" si="33"/>
        <v>6.7368278545123211E-3</v>
      </c>
      <c r="AT106" s="65">
        <f t="shared" si="33"/>
        <v>1.5311376454350132E-2</v>
      </c>
      <c r="AU106" s="65">
        <f t="shared" si="33"/>
        <v>1.8328720545297975E-3</v>
      </c>
      <c r="AX106" s="19"/>
      <c r="AZ106" s="19"/>
      <c r="BA106" s="19"/>
      <c r="BC106" s="61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</row>
    <row r="107" spans="1:97" x14ac:dyDescent="0.25">
      <c r="A107" s="136"/>
      <c r="B107" s="136"/>
      <c r="AX107" s="19"/>
      <c r="AZ107" s="19"/>
      <c r="BA107" s="19"/>
      <c r="BC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</row>
    <row r="108" spans="1:97" x14ac:dyDescent="0.25">
      <c r="A108" s="136">
        <v>65</v>
      </c>
      <c r="B108" s="136"/>
      <c r="C108" s="136" t="s">
        <v>416</v>
      </c>
      <c r="D108" s="23">
        <f>SUM(F108:AU108)</f>
        <v>25102738.623735636</v>
      </c>
      <c r="F108" s="22">
        <v>5001026.7405322641</v>
      </c>
      <c r="G108" s="22">
        <v>4795693.3541834503</v>
      </c>
      <c r="H108" s="22">
        <v>0</v>
      </c>
      <c r="I108" s="22">
        <v>27429.149150000001</v>
      </c>
      <c r="J108" s="22">
        <v>1068281.1555699999</v>
      </c>
      <c r="K108" s="22">
        <v>381872.95079999999</v>
      </c>
      <c r="L108" s="22">
        <v>0</v>
      </c>
      <c r="M108" s="22">
        <v>52646.49712</v>
      </c>
      <c r="N108" s="22">
        <v>15713.660759999995</v>
      </c>
      <c r="O108" s="22">
        <v>323253.73901000002</v>
      </c>
      <c r="P108" s="22">
        <v>188852.1</v>
      </c>
      <c r="Q108" s="22">
        <v>0</v>
      </c>
      <c r="R108" s="22">
        <v>0</v>
      </c>
      <c r="S108" s="22">
        <v>989004.62041301187</v>
      </c>
      <c r="T108" s="22">
        <v>324093.13792897947</v>
      </c>
      <c r="U108" s="22">
        <v>135324.88781339489</v>
      </c>
      <c r="V108" s="22">
        <v>5702.7569403599919</v>
      </c>
      <c r="W108" s="22">
        <v>0</v>
      </c>
      <c r="X108" s="22">
        <v>3255132.1250927323</v>
      </c>
      <c r="Y108" s="22">
        <v>1319376.3993087611</v>
      </c>
      <c r="Z108" s="22">
        <v>593661.3804100001</v>
      </c>
      <c r="AA108" s="22">
        <v>238.00964000000002</v>
      </c>
      <c r="AB108" s="22">
        <v>4405.8776000000007</v>
      </c>
      <c r="AC108" s="22">
        <v>55087.023449999993</v>
      </c>
      <c r="AD108" s="22">
        <v>713737.64702999999</v>
      </c>
      <c r="AE108" s="22">
        <v>75999.023490000007</v>
      </c>
      <c r="AF108" s="22">
        <v>90073.425800000012</v>
      </c>
      <c r="AG108" s="22">
        <v>0</v>
      </c>
      <c r="AH108" s="22">
        <v>393753.99066874996</v>
      </c>
      <c r="AI108" s="22">
        <v>37535.500949999994</v>
      </c>
      <c r="AJ108" s="22">
        <v>4963881.1018539304</v>
      </c>
      <c r="AK108" s="22">
        <v>41762.222749999994</v>
      </c>
      <c r="AL108" s="22">
        <v>249200.14546999999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X108" s="19"/>
      <c r="BA108" s="19"/>
    </row>
    <row r="109" spans="1:97" x14ac:dyDescent="0.25">
      <c r="A109" s="136">
        <v>66</v>
      </c>
      <c r="B109" s="136" t="s">
        <v>255</v>
      </c>
      <c r="D109" s="65">
        <f>SUM(F109:AU109)</f>
        <v>1</v>
      </c>
      <c r="F109" s="65">
        <f t="shared" ref="F109:AU109" si="34">F108/$D108</f>
        <v>0.19922235639276403</v>
      </c>
      <c r="G109" s="65">
        <f t="shared" si="34"/>
        <v>0.19104263586798181</v>
      </c>
      <c r="H109" s="65">
        <f t="shared" si="34"/>
        <v>0</v>
      </c>
      <c r="I109" s="65">
        <f t="shared" si="34"/>
        <v>1.0926755666437386E-3</v>
      </c>
      <c r="J109" s="65">
        <f t="shared" si="34"/>
        <v>4.2556358952799585E-2</v>
      </c>
      <c r="K109" s="65">
        <f t="shared" si="34"/>
        <v>1.5212401982265152E-2</v>
      </c>
      <c r="L109" s="65">
        <f t="shared" si="34"/>
        <v>0</v>
      </c>
      <c r="M109" s="65">
        <f t="shared" si="34"/>
        <v>2.0972411779095947E-3</v>
      </c>
      <c r="N109" s="65">
        <f t="shared" si="34"/>
        <v>6.2597396226490225E-4</v>
      </c>
      <c r="O109" s="65">
        <f t="shared" si="34"/>
        <v>1.2877230004870894E-2</v>
      </c>
      <c r="P109" s="65">
        <f t="shared" si="34"/>
        <v>7.5231672062040615E-3</v>
      </c>
      <c r="Q109" s="65">
        <f t="shared" si="34"/>
        <v>0</v>
      </c>
      <c r="R109" s="65">
        <f t="shared" si="34"/>
        <v>0</v>
      </c>
      <c r="S109" s="65">
        <f t="shared" si="34"/>
        <v>3.9398275831062861E-2</v>
      </c>
      <c r="T109" s="65">
        <f t="shared" si="34"/>
        <v>1.2910668544448634E-2</v>
      </c>
      <c r="U109" s="65">
        <f t="shared" si="34"/>
        <v>5.390841606638083E-3</v>
      </c>
      <c r="V109" s="65">
        <f t="shared" si="34"/>
        <v>2.2717668481668404E-4</v>
      </c>
      <c r="W109" s="65">
        <f t="shared" si="34"/>
        <v>0</v>
      </c>
      <c r="X109" s="65">
        <f t="shared" si="34"/>
        <v>0.12967239048630635</v>
      </c>
      <c r="Y109" s="65">
        <f t="shared" si="34"/>
        <v>5.2559062143970152E-2</v>
      </c>
      <c r="Z109" s="65">
        <f t="shared" si="34"/>
        <v>2.3649267488634475E-2</v>
      </c>
      <c r="AA109" s="65">
        <f t="shared" si="34"/>
        <v>9.4814212730937826E-6</v>
      </c>
      <c r="AB109" s="65">
        <f t="shared" si="34"/>
        <v>1.7551382205900309E-4</v>
      </c>
      <c r="AC109" s="65">
        <f t="shared" si="34"/>
        <v>2.1944626949154077E-3</v>
      </c>
      <c r="AD109" s="65">
        <f t="shared" si="34"/>
        <v>2.8432660584496255E-2</v>
      </c>
      <c r="AE109" s="65">
        <f t="shared" si="34"/>
        <v>3.0275192133076634E-3</v>
      </c>
      <c r="AF109" s="65">
        <f t="shared" si="34"/>
        <v>3.5881911989806567E-3</v>
      </c>
      <c r="AG109" s="65">
        <f t="shared" si="34"/>
        <v>0</v>
      </c>
      <c r="AH109" s="65">
        <f t="shared" si="34"/>
        <v>1.5685698543522256E-2</v>
      </c>
      <c r="AI109" s="65">
        <f t="shared" si="34"/>
        <v>1.4952751376102321E-3</v>
      </c>
      <c r="AJ109" s="65">
        <f t="shared" si="34"/>
        <v>0.19774261192204676</v>
      </c>
      <c r="AK109" s="65">
        <f t="shared" si="34"/>
        <v>1.6636520570911795E-3</v>
      </c>
      <c r="AL109" s="65">
        <f t="shared" si="34"/>
        <v>9.9272095051163595E-3</v>
      </c>
      <c r="AM109" s="65">
        <f t="shared" si="34"/>
        <v>0</v>
      </c>
      <c r="AN109" s="65">
        <f t="shared" si="34"/>
        <v>0</v>
      </c>
      <c r="AO109" s="65">
        <f t="shared" si="34"/>
        <v>0</v>
      </c>
      <c r="AP109" s="65">
        <f t="shared" si="34"/>
        <v>0</v>
      </c>
      <c r="AQ109" s="65">
        <f t="shared" si="34"/>
        <v>0</v>
      </c>
      <c r="AR109" s="65">
        <f t="shared" si="34"/>
        <v>0</v>
      </c>
      <c r="AS109" s="65">
        <f t="shared" si="34"/>
        <v>0</v>
      </c>
      <c r="AT109" s="65">
        <f t="shared" si="34"/>
        <v>0</v>
      </c>
      <c r="AU109" s="65">
        <f t="shared" si="34"/>
        <v>0</v>
      </c>
    </row>
    <row r="110" spans="1:97" x14ac:dyDescent="0.25">
      <c r="A110" s="136"/>
      <c r="B110" s="136"/>
    </row>
    <row r="111" spans="1:97" x14ac:dyDescent="0.25">
      <c r="A111" s="136">
        <v>67</v>
      </c>
      <c r="B111" s="136"/>
      <c r="C111" s="136" t="s">
        <v>416</v>
      </c>
      <c r="D111" s="23">
        <f>SUM(F111:AU111)</f>
        <v>16986281.577470392</v>
      </c>
      <c r="F111" s="22">
        <v>3736474.1400341643</v>
      </c>
      <c r="G111" s="22">
        <v>3334401.9152639601</v>
      </c>
      <c r="H111" s="22">
        <v>0</v>
      </c>
      <c r="I111" s="22">
        <v>16702.873570000003</v>
      </c>
      <c r="J111" s="22">
        <v>557015.19345000002</v>
      </c>
      <c r="K111" s="22">
        <v>173191.74593</v>
      </c>
      <c r="L111" s="22">
        <v>343737.79755000002</v>
      </c>
      <c r="M111" s="22">
        <v>11259.43504</v>
      </c>
      <c r="N111" s="22">
        <v>9297.2181933333322</v>
      </c>
      <c r="O111" s="22">
        <v>146754.50149</v>
      </c>
      <c r="P111" s="22">
        <v>126549.2</v>
      </c>
      <c r="Q111" s="22">
        <v>0</v>
      </c>
      <c r="R111" s="22">
        <v>0</v>
      </c>
      <c r="S111" s="22">
        <v>740673.21406329446</v>
      </c>
      <c r="T111" s="22">
        <v>218660.23727198644</v>
      </c>
      <c r="U111" s="22">
        <v>401201.47332203004</v>
      </c>
      <c r="V111" s="22">
        <v>52284.785453007396</v>
      </c>
      <c r="W111" s="22">
        <v>467242.68736527005</v>
      </c>
      <c r="X111" s="22">
        <v>2396058.5672946977</v>
      </c>
      <c r="Y111" s="22">
        <v>862218.7639491756</v>
      </c>
      <c r="Z111" s="22">
        <v>311153.87135999987</v>
      </c>
      <c r="AA111" s="22">
        <v>238.00964000000002</v>
      </c>
      <c r="AB111" s="22">
        <v>2086.08</v>
      </c>
      <c r="AC111" s="22">
        <v>20728.039219999995</v>
      </c>
      <c r="AD111" s="22">
        <v>385182.09773999994</v>
      </c>
      <c r="AE111" s="22">
        <v>40785.164790000003</v>
      </c>
      <c r="AF111" s="22">
        <v>46399.383800000003</v>
      </c>
      <c r="AG111" s="22">
        <v>0</v>
      </c>
      <c r="AH111" s="22">
        <v>184078.59722640004</v>
      </c>
      <c r="AI111" s="22">
        <v>15364.644989999999</v>
      </c>
      <c r="AJ111" s="22">
        <v>2187761.7382630701</v>
      </c>
      <c r="AK111" s="22">
        <v>23831.674110000004</v>
      </c>
      <c r="AL111" s="22">
        <v>174948.52709000002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</row>
    <row r="112" spans="1:97" x14ac:dyDescent="0.25">
      <c r="A112" s="136">
        <v>68</v>
      </c>
      <c r="B112" s="136" t="s">
        <v>411</v>
      </c>
      <c r="D112" s="65">
        <f>SUM(F112:AU112)</f>
        <v>0.99999999999999967</v>
      </c>
      <c r="F112" s="65">
        <f t="shared" ref="F112:AU112" si="35">F111/$D111</f>
        <v>0.21997010487510135</v>
      </c>
      <c r="G112" s="65">
        <f t="shared" si="35"/>
        <v>0.19629969632003011</v>
      </c>
      <c r="H112" s="65">
        <f t="shared" si="35"/>
        <v>0</v>
      </c>
      <c r="I112" s="65">
        <f t="shared" si="35"/>
        <v>9.8331547689364308E-4</v>
      </c>
      <c r="J112" s="65">
        <f t="shared" si="35"/>
        <v>3.2792061694584901E-2</v>
      </c>
      <c r="K112" s="65">
        <f t="shared" si="35"/>
        <v>1.0195977568140127E-2</v>
      </c>
      <c r="L112" s="65">
        <f t="shared" si="35"/>
        <v>2.0236200370416187E-2</v>
      </c>
      <c r="M112" s="65">
        <f t="shared" si="35"/>
        <v>6.6285460938866425E-4</v>
      </c>
      <c r="N112" s="65">
        <f t="shared" si="35"/>
        <v>5.4733687010490972E-4</v>
      </c>
      <c r="O112" s="65">
        <f t="shared" si="35"/>
        <v>8.6395895900281423E-3</v>
      </c>
      <c r="P112" s="65">
        <f t="shared" si="35"/>
        <v>7.4500825517838723E-3</v>
      </c>
      <c r="Q112" s="65">
        <f t="shared" si="35"/>
        <v>0</v>
      </c>
      <c r="R112" s="65">
        <f t="shared" si="35"/>
        <v>0</v>
      </c>
      <c r="S112" s="65">
        <f t="shared" si="35"/>
        <v>4.360419969993197E-2</v>
      </c>
      <c r="T112" s="65">
        <f t="shared" si="35"/>
        <v>1.2872754774182276E-2</v>
      </c>
      <c r="U112" s="65">
        <f t="shared" si="35"/>
        <v>2.3619146514924146E-2</v>
      </c>
      <c r="V112" s="65">
        <f t="shared" si="35"/>
        <v>3.078059504344663E-3</v>
      </c>
      <c r="W112" s="65">
        <f t="shared" si="35"/>
        <v>2.7507061226689739E-2</v>
      </c>
      <c r="X112" s="65">
        <f t="shared" si="35"/>
        <v>0.14105845098392158</v>
      </c>
      <c r="Y112" s="65">
        <f t="shared" si="35"/>
        <v>5.0759712184023371E-2</v>
      </c>
      <c r="Z112" s="65">
        <f t="shared" si="35"/>
        <v>1.8317950867639928E-2</v>
      </c>
      <c r="AA112" s="65">
        <f t="shared" si="35"/>
        <v>1.401187416530773E-5</v>
      </c>
      <c r="AB112" s="65">
        <f t="shared" si="35"/>
        <v>1.2280969148461862E-4</v>
      </c>
      <c r="AC112" s="65">
        <f t="shared" si="35"/>
        <v>1.2202811501425038E-3</v>
      </c>
      <c r="AD112" s="65">
        <f t="shared" si="35"/>
        <v>2.2676069272917439E-2</v>
      </c>
      <c r="AE112" s="65">
        <f t="shared" si="35"/>
        <v>2.4010649184159913E-3</v>
      </c>
      <c r="AF112" s="65">
        <f t="shared" si="35"/>
        <v>2.731579809764924E-3</v>
      </c>
      <c r="AG112" s="65">
        <f t="shared" si="35"/>
        <v>0</v>
      </c>
      <c r="AH112" s="65">
        <f t="shared" si="35"/>
        <v>1.0836897786420255E-2</v>
      </c>
      <c r="AI112" s="65">
        <f t="shared" si="35"/>
        <v>9.0453257353149985E-4</v>
      </c>
      <c r="AJ112" s="65">
        <f t="shared" si="35"/>
        <v>0.12879580079284622</v>
      </c>
      <c r="AK112" s="65">
        <f t="shared" si="35"/>
        <v>1.4029953525325366E-3</v>
      </c>
      <c r="AL112" s="65">
        <f t="shared" si="35"/>
        <v>1.0299401095648943E-2</v>
      </c>
      <c r="AM112" s="65">
        <f t="shared" si="35"/>
        <v>0</v>
      </c>
      <c r="AN112" s="65">
        <f t="shared" si="35"/>
        <v>0</v>
      </c>
      <c r="AO112" s="65">
        <f t="shared" si="35"/>
        <v>0</v>
      </c>
      <c r="AP112" s="65">
        <f t="shared" si="35"/>
        <v>0</v>
      </c>
      <c r="AQ112" s="65">
        <f t="shared" si="35"/>
        <v>0</v>
      </c>
      <c r="AR112" s="65">
        <f t="shared" si="35"/>
        <v>0</v>
      </c>
      <c r="AS112" s="65">
        <f t="shared" si="35"/>
        <v>0</v>
      </c>
      <c r="AT112" s="65">
        <f t="shared" si="35"/>
        <v>0</v>
      </c>
      <c r="AU112" s="65">
        <f t="shared" si="35"/>
        <v>0</v>
      </c>
    </row>
    <row r="113" spans="1:98" x14ac:dyDescent="0.25">
      <c r="A113" s="136"/>
      <c r="B113" s="136"/>
    </row>
    <row r="114" spans="1:98" x14ac:dyDescent="0.25">
      <c r="A114" s="136"/>
      <c r="B114" s="136"/>
    </row>
    <row r="115" spans="1:98" x14ac:dyDescent="0.25">
      <c r="A115" s="136"/>
    </row>
    <row r="116" spans="1:98" x14ac:dyDescent="0.25">
      <c r="A116" s="136"/>
    </row>
    <row r="117" spans="1:98" x14ac:dyDescent="0.25">
      <c r="A117" s="136"/>
    </row>
    <row r="118" spans="1:98" x14ac:dyDescent="0.25">
      <c r="A118" s="136"/>
    </row>
    <row r="119" spans="1:98" x14ac:dyDescent="0.25">
      <c r="A119" s="125"/>
      <c r="D119" s="99"/>
      <c r="E119" s="99"/>
    </row>
    <row r="120" spans="1:98" x14ac:dyDescent="0.25">
      <c r="A120" s="125"/>
      <c r="D120" s="99"/>
      <c r="E120" s="99"/>
    </row>
    <row r="121" spans="1:98" s="97" customFormat="1" x14ac:dyDescent="0.25">
      <c r="A121" s="28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  <c r="CN121" s="109"/>
      <c r="CO121" s="109"/>
      <c r="CP121" s="109"/>
      <c r="CQ121" s="109"/>
      <c r="CR121" s="109"/>
      <c r="CS121" s="109"/>
      <c r="CT121" s="109"/>
    </row>
    <row r="122" spans="1:98" x14ac:dyDescent="0.25">
      <c r="A122" s="125"/>
      <c r="D122" s="99"/>
      <c r="E122" s="99"/>
    </row>
    <row r="123" spans="1:98" x14ac:dyDescent="0.25">
      <c r="A123" s="125"/>
      <c r="D123" s="99"/>
      <c r="E123" s="99"/>
    </row>
    <row r="124" spans="1:98" s="97" customFormat="1" x14ac:dyDescent="0.25">
      <c r="A124" s="28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  <c r="CN124" s="109"/>
      <c r="CO124" s="109"/>
      <c r="CP124" s="109"/>
      <c r="CQ124" s="109"/>
      <c r="CR124" s="109"/>
      <c r="CS124" s="109"/>
      <c r="CT124" s="109"/>
    </row>
    <row r="125" spans="1:98" x14ac:dyDescent="0.25">
      <c r="A125" s="125"/>
      <c r="D125" s="99"/>
      <c r="E125" s="99"/>
    </row>
    <row r="126" spans="1:98" x14ac:dyDescent="0.25">
      <c r="A126" s="125"/>
      <c r="D126" s="99"/>
      <c r="E126" s="99"/>
    </row>
    <row r="127" spans="1:98" s="97" customFormat="1" x14ac:dyDescent="0.25">
      <c r="A127" s="28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  <c r="CN127" s="109"/>
      <c r="CO127" s="109"/>
      <c r="CP127" s="109"/>
      <c r="CQ127" s="109"/>
      <c r="CR127" s="109"/>
      <c r="CS127" s="109"/>
      <c r="CT127" s="109"/>
    </row>
    <row r="128" spans="1:98" x14ac:dyDescent="0.25">
      <c r="A128" s="125"/>
      <c r="D128" s="99"/>
      <c r="E128" s="99"/>
    </row>
    <row r="129" spans="1:47" x14ac:dyDescent="0.25">
      <c r="A129" s="125"/>
      <c r="D129" s="99"/>
      <c r="E129" s="99"/>
    </row>
    <row r="130" spans="1:47" x14ac:dyDescent="0.25">
      <c r="B130" s="122"/>
      <c r="D130" s="33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34"/>
      <c r="Y130" s="97"/>
      <c r="Z130" s="34"/>
      <c r="AA130" s="97"/>
      <c r="AB130" s="34"/>
      <c r="AC130" s="97"/>
      <c r="AD130" s="34"/>
      <c r="AE130" s="97"/>
      <c r="AF130" s="34"/>
      <c r="AG130" s="97"/>
      <c r="AH130" s="34"/>
      <c r="AI130" s="97"/>
      <c r="AJ130" s="34"/>
      <c r="AK130" s="97"/>
      <c r="AL130" s="34"/>
      <c r="AM130" s="34"/>
      <c r="AN130" s="34"/>
      <c r="AO130" s="34"/>
      <c r="AP130" s="97"/>
      <c r="AQ130" s="97"/>
      <c r="AR130" s="97"/>
      <c r="AS130" s="97"/>
      <c r="AT130" s="97"/>
      <c r="AU130" s="97"/>
    </row>
    <row r="131" spans="1:47" x14ac:dyDescent="0.25">
      <c r="A131" s="125"/>
      <c r="D131" s="99"/>
      <c r="E131" s="99"/>
    </row>
    <row r="132" spans="1:47" x14ac:dyDescent="0.25">
      <c r="A132" s="125"/>
      <c r="D132" s="99"/>
      <c r="E132" s="99"/>
    </row>
    <row r="133" spans="1:47" x14ac:dyDescent="0.25">
      <c r="B133" s="123"/>
      <c r="D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97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</row>
    <row r="134" spans="1:47" x14ac:dyDescent="0.25">
      <c r="A134" s="125"/>
      <c r="D134" s="99"/>
      <c r="E134" s="99"/>
    </row>
    <row r="135" spans="1:47" x14ac:dyDescent="0.25">
      <c r="A135" s="125"/>
      <c r="D135" s="99"/>
      <c r="E135" s="99"/>
    </row>
    <row r="136" spans="1:47" x14ac:dyDescent="0.25">
      <c r="B136" s="123"/>
      <c r="D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97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</row>
    <row r="137" spans="1:47" x14ac:dyDescent="0.25">
      <c r="A137" s="125"/>
      <c r="D137" s="99"/>
      <c r="E137" s="99"/>
    </row>
    <row r="138" spans="1:47" x14ac:dyDescent="0.25">
      <c r="A138" s="125"/>
      <c r="D138" s="99"/>
      <c r="E138" s="99"/>
    </row>
    <row r="139" spans="1:47" x14ac:dyDescent="0.25">
      <c r="B139" s="123"/>
      <c r="D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97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</row>
    <row r="140" spans="1:47" x14ac:dyDescent="0.25">
      <c r="A140" s="125"/>
      <c r="D140" s="99"/>
      <c r="E140" s="99"/>
    </row>
    <row r="141" spans="1:47" x14ac:dyDescent="0.25">
      <c r="A141" s="125"/>
      <c r="D141" s="99"/>
      <c r="E141" s="99"/>
    </row>
    <row r="142" spans="1:47" x14ac:dyDescent="0.25"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</row>
    <row r="143" spans="1:47" x14ac:dyDescent="0.25">
      <c r="A143" s="125"/>
      <c r="D143" s="99"/>
      <c r="E143" s="99"/>
    </row>
    <row r="144" spans="1:47" x14ac:dyDescent="0.25">
      <c r="A144" s="125"/>
      <c r="D144" s="99"/>
      <c r="E144" s="99"/>
    </row>
    <row r="146" spans="1:5" x14ac:dyDescent="0.25">
      <c r="A146" s="125"/>
      <c r="D146" s="99"/>
      <c r="E146" s="99"/>
    </row>
    <row r="147" spans="1:5" x14ac:dyDescent="0.25">
      <c r="A147" s="125"/>
      <c r="D147" s="99"/>
      <c r="E147" s="99"/>
    </row>
    <row r="149" spans="1:5" x14ac:dyDescent="0.25">
      <c r="A149" s="125"/>
      <c r="D149" s="99"/>
      <c r="E149" s="99"/>
    </row>
    <row r="150" spans="1:5" x14ac:dyDescent="0.25">
      <c r="A150" s="125"/>
      <c r="D150" s="99"/>
      <c r="E150" s="99"/>
    </row>
    <row r="152" spans="1:5" x14ac:dyDescent="0.25">
      <c r="A152" s="125"/>
      <c r="D152" s="99"/>
      <c r="E152" s="99"/>
    </row>
    <row r="153" spans="1:5" x14ac:dyDescent="0.25">
      <c r="A153" s="125"/>
      <c r="D153" s="99"/>
      <c r="E153" s="99"/>
    </row>
    <row r="155" spans="1:5" x14ac:dyDescent="0.25">
      <c r="A155" s="125"/>
      <c r="D155" s="99"/>
      <c r="E155" s="99"/>
    </row>
    <row r="156" spans="1:5" x14ac:dyDescent="0.25">
      <c r="A156" s="125"/>
      <c r="D156" s="99"/>
      <c r="E156" s="99"/>
    </row>
    <row r="158" spans="1:5" x14ac:dyDescent="0.25">
      <c r="A158" s="125"/>
      <c r="D158" s="99"/>
      <c r="E158" s="99"/>
    </row>
    <row r="159" spans="1:5" x14ac:dyDescent="0.25">
      <c r="A159" s="125"/>
      <c r="D159" s="99"/>
      <c r="E159" s="99"/>
    </row>
    <row r="161" spans="1:54" x14ac:dyDescent="0.25">
      <c r="A161" s="125"/>
      <c r="D161" s="99"/>
      <c r="E161" s="99"/>
    </row>
    <row r="162" spans="1:54" x14ac:dyDescent="0.25">
      <c r="A162" s="125"/>
      <c r="D162" s="99"/>
      <c r="E162" s="99"/>
    </row>
    <row r="164" spans="1:54" x14ac:dyDescent="0.25">
      <c r="A164" s="125"/>
      <c r="D164" s="99"/>
      <c r="E164" s="99"/>
    </row>
    <row r="165" spans="1:54" x14ac:dyDescent="0.25">
      <c r="A165" s="125"/>
      <c r="D165" s="99"/>
      <c r="E165" s="99"/>
    </row>
    <row r="167" spans="1:54" x14ac:dyDescent="0.25">
      <c r="A167" s="125"/>
      <c r="D167" s="99"/>
      <c r="E167" s="99"/>
    </row>
    <row r="168" spans="1:54" x14ac:dyDescent="0.25">
      <c r="A168" s="125"/>
      <c r="D168" s="99"/>
      <c r="E168" s="99"/>
    </row>
    <row r="170" spans="1:54" x14ac:dyDescent="0.25">
      <c r="A170" s="125"/>
      <c r="D170" s="99"/>
      <c r="E170" s="99"/>
    </row>
    <row r="171" spans="1:54" x14ac:dyDescent="0.25">
      <c r="A171" s="125"/>
      <c r="D171" s="99"/>
      <c r="E171" s="99"/>
    </row>
    <row r="173" spans="1:54" x14ac:dyDescent="0.25">
      <c r="A173" s="125"/>
      <c r="D173" s="99"/>
      <c r="E173" s="99"/>
      <c r="AW173" s="76"/>
      <c r="AX173" s="180"/>
      <c r="AY173" s="180"/>
      <c r="AZ173" s="180"/>
      <c r="BA173" s="180"/>
      <c r="BB173" s="180"/>
    </row>
    <row r="174" spans="1:54" x14ac:dyDescent="0.25">
      <c r="A174" s="125"/>
      <c r="D174" s="99"/>
      <c r="E174" s="99"/>
    </row>
    <row r="176" spans="1:54" x14ac:dyDescent="0.25">
      <c r="A176" s="125"/>
      <c r="D176" s="99"/>
      <c r="E176" s="99"/>
    </row>
    <row r="177" spans="1:48" x14ac:dyDescent="0.25">
      <c r="A177" s="125"/>
      <c r="D177" s="99"/>
      <c r="E177" s="99"/>
    </row>
    <row r="178" spans="1:48" x14ac:dyDescent="0.25">
      <c r="D178" s="99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</row>
    <row r="179" spans="1:48" x14ac:dyDescent="0.25">
      <c r="A179" s="125"/>
      <c r="D179" s="99"/>
      <c r="E179" s="99"/>
    </row>
    <row r="180" spans="1:48" x14ac:dyDescent="0.25">
      <c r="A180" s="125"/>
      <c r="D180" s="99"/>
      <c r="E180" s="99"/>
    </row>
    <row r="181" spans="1:48" x14ac:dyDescent="0.25">
      <c r="D181" s="99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</row>
    <row r="182" spans="1:48" x14ac:dyDescent="0.25">
      <c r="A182" s="125"/>
      <c r="D182" s="99"/>
      <c r="E182" s="99"/>
    </row>
    <row r="183" spans="1:48" x14ac:dyDescent="0.25">
      <c r="A183" s="125"/>
      <c r="D183" s="99"/>
      <c r="E183" s="99"/>
    </row>
    <row r="185" spans="1:48" x14ac:dyDescent="0.25">
      <c r="A185" s="125"/>
      <c r="D185" s="99"/>
      <c r="E185" s="99"/>
      <c r="AV185" s="8"/>
    </row>
    <row r="186" spans="1:48" x14ac:dyDescent="0.25">
      <c r="A186" s="125"/>
      <c r="D186" s="99"/>
      <c r="E186" s="99"/>
      <c r="AV186" s="62"/>
    </row>
    <row r="188" spans="1:48" x14ac:dyDescent="0.25">
      <c r="A188" s="125"/>
      <c r="D188" s="99"/>
      <c r="E188" s="99"/>
    </row>
    <row r="189" spans="1:48" x14ac:dyDescent="0.25">
      <c r="A189" s="125"/>
      <c r="D189" s="99"/>
      <c r="E189" s="99"/>
    </row>
    <row r="191" spans="1:48" x14ac:dyDescent="0.25">
      <c r="A191" s="125"/>
      <c r="D191" s="99"/>
      <c r="E191" s="99"/>
    </row>
    <row r="192" spans="1:48" x14ac:dyDescent="0.25">
      <c r="A192" s="125"/>
      <c r="D192" s="99"/>
      <c r="E192" s="99"/>
    </row>
    <row r="194" spans="1:5" x14ac:dyDescent="0.25">
      <c r="A194" s="125"/>
      <c r="D194" s="99"/>
      <c r="E194" s="99"/>
    </row>
    <row r="195" spans="1:5" x14ac:dyDescent="0.25">
      <c r="A195" s="125"/>
      <c r="D195" s="99"/>
      <c r="E195" s="99"/>
    </row>
    <row r="197" spans="1:5" x14ac:dyDescent="0.25">
      <c r="A197" s="125"/>
      <c r="D197" s="99"/>
      <c r="E197" s="99"/>
    </row>
    <row r="198" spans="1:5" x14ac:dyDescent="0.25">
      <c r="A198" s="125"/>
      <c r="D198" s="99"/>
      <c r="E198" s="99"/>
    </row>
    <row r="200" spans="1:5" x14ac:dyDescent="0.25">
      <c r="A200" s="125"/>
      <c r="D200" s="99"/>
      <c r="E200" s="99"/>
    </row>
    <row r="201" spans="1:5" x14ac:dyDescent="0.25">
      <c r="A201" s="125"/>
      <c r="D201" s="99"/>
      <c r="E201" s="99"/>
    </row>
    <row r="203" spans="1:5" x14ac:dyDescent="0.25">
      <c r="A203" s="125"/>
      <c r="D203" s="99"/>
      <c r="E203" s="99"/>
    </row>
    <row r="204" spans="1:5" x14ac:dyDescent="0.25">
      <c r="A204" s="125"/>
      <c r="D204" s="99"/>
      <c r="E204" s="99"/>
    </row>
    <row r="206" spans="1:5" x14ac:dyDescent="0.25">
      <c r="A206" s="125"/>
      <c r="D206" s="99"/>
      <c r="E206" s="99"/>
    </row>
    <row r="207" spans="1:5" x14ac:dyDescent="0.25">
      <c r="A207" s="125"/>
      <c r="D207" s="99"/>
      <c r="E207" s="99"/>
    </row>
    <row r="209" spans="1:5" x14ac:dyDescent="0.25">
      <c r="A209" s="125"/>
      <c r="D209" s="99"/>
      <c r="E209" s="99"/>
    </row>
    <row r="210" spans="1:5" x14ac:dyDescent="0.25">
      <c r="A210" s="125"/>
      <c r="D210" s="99"/>
      <c r="E210" s="99"/>
    </row>
    <row r="212" spans="1:5" x14ac:dyDescent="0.25">
      <c r="A212" s="125"/>
      <c r="D212" s="99"/>
      <c r="E212" s="99"/>
    </row>
    <row r="213" spans="1:5" x14ac:dyDescent="0.25">
      <c r="A213" s="125"/>
      <c r="D213" s="99"/>
      <c r="E213" s="99"/>
    </row>
    <row r="215" spans="1:5" x14ac:dyDescent="0.25">
      <c r="A215" s="3"/>
      <c r="D215" s="99"/>
      <c r="E215" s="99"/>
    </row>
    <row r="216" spans="1:5" x14ac:dyDescent="0.25">
      <c r="A216" s="3"/>
      <c r="D216" s="99"/>
      <c r="E216" s="99"/>
    </row>
    <row r="218" spans="1:5" x14ac:dyDescent="0.25">
      <c r="A218" s="2"/>
      <c r="D218" s="99"/>
      <c r="E218" s="99"/>
    </row>
    <row r="219" spans="1:5" x14ac:dyDescent="0.25">
      <c r="A219" s="2"/>
      <c r="D219" s="99"/>
      <c r="E219" s="99"/>
    </row>
    <row r="221" spans="1:5" x14ac:dyDescent="0.25">
      <c r="A221" s="99"/>
      <c r="D221" s="99"/>
      <c r="E221" s="99"/>
    </row>
    <row r="222" spans="1:5" x14ac:dyDescent="0.25">
      <c r="A222" s="99"/>
      <c r="D222" s="99"/>
      <c r="E222" s="99"/>
    </row>
    <row r="224" spans="1:5" x14ac:dyDescent="0.25">
      <c r="A224" s="99"/>
      <c r="D224" s="99"/>
      <c r="E224" s="99"/>
    </row>
    <row r="225" spans="1:5" x14ac:dyDescent="0.25">
      <c r="A225" s="99"/>
      <c r="D225" s="99"/>
      <c r="E225" s="99"/>
    </row>
    <row r="227" spans="1:5" x14ac:dyDescent="0.25">
      <c r="A227" s="99"/>
      <c r="D227" s="99"/>
      <c r="E227" s="99"/>
    </row>
    <row r="228" spans="1:5" x14ac:dyDescent="0.25">
      <c r="A228" s="99"/>
      <c r="D228" s="99"/>
      <c r="E228" s="99"/>
    </row>
  </sheetData>
  <mergeCells count="11">
    <mergeCell ref="B5:Q5"/>
    <mergeCell ref="B6:Q6"/>
    <mergeCell ref="BP9:BT9"/>
    <mergeCell ref="BV9:CD9"/>
    <mergeCell ref="CE9:CI9"/>
    <mergeCell ref="CK9:CS9"/>
    <mergeCell ref="F8:Q8"/>
    <mergeCell ref="R8:W8"/>
    <mergeCell ref="X8:AL8"/>
    <mergeCell ref="AM8:AU8"/>
    <mergeCell ref="BE9:BO9"/>
  </mergeCells>
  <pageMargins left="0.7" right="0.7" top="0.75" bottom="0.75" header="0.3" footer="0.3"/>
  <pageSetup scale="55" fitToWidth="4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  <ignoredErrors>
    <ignoredError sqref="D127 D133 D145 D130 D142 D136 D139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231-A524-4543-B3BE-589B24D141DA}">
  <sheetPr>
    <tabColor theme="0" tint="-0.249977111117893"/>
  </sheetPr>
  <dimension ref="A2:BF55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5.7265625" style="2" customWidth="1"/>
    <col min="2" max="2" width="44.54296875" style="1" customWidth="1"/>
    <col min="3" max="3" width="1.7265625" style="1" customWidth="1"/>
    <col min="4" max="4" width="20.1796875" style="97" customWidth="1"/>
    <col min="5" max="5" width="1.7265625" style="97" customWidth="1"/>
    <col min="6" max="6" width="20.1796875" style="97" customWidth="1"/>
    <col min="7" max="7" width="1.7265625" style="97" customWidth="1"/>
    <col min="8" max="8" width="17.1796875" style="97" customWidth="1"/>
    <col min="9" max="9" width="1.7265625" style="97" customWidth="1"/>
    <col min="10" max="10" width="19.7265625" style="28" customWidth="1"/>
    <col min="11" max="11" width="1.7265625" style="97" customWidth="1"/>
    <col min="12" max="12" width="17.1796875" style="97" customWidth="1"/>
    <col min="13" max="13" width="1.7265625" style="97" customWidth="1"/>
    <col min="14" max="14" width="20" style="28" customWidth="1"/>
    <col min="15" max="15" width="1.7265625" style="97" customWidth="1"/>
    <col min="16" max="17" width="12.81640625" style="97" customWidth="1"/>
    <col min="18" max="28" width="10.7265625" style="97" customWidth="1"/>
    <col min="29" max="32" width="10.54296875" style="97" customWidth="1"/>
    <col min="33" max="33" width="9.1796875" style="97" customWidth="1"/>
    <col min="34" max="34" width="11.26953125" style="97" customWidth="1"/>
    <col min="35" max="48" width="10.7265625" style="97" customWidth="1"/>
    <col min="49" max="51" width="11.26953125" style="97" customWidth="1"/>
    <col min="52" max="57" width="10.54296875" style="97" customWidth="1"/>
    <col min="58" max="58" width="2.7265625" style="1" customWidth="1"/>
    <col min="59" max="16384" width="9.1796875" style="1"/>
  </cols>
  <sheetData>
    <row r="2" spans="1:58" x14ac:dyDescent="0.25">
      <c r="B2" s="263" t="s">
        <v>412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58" x14ac:dyDescent="0.25">
      <c r="B3" s="263" t="s">
        <v>455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5" spans="1:58" x14ac:dyDescent="0.25">
      <c r="F5" s="28" t="s">
        <v>174</v>
      </c>
    </row>
    <row r="6" spans="1:58" s="73" customFormat="1" x14ac:dyDescent="0.25">
      <c r="A6" s="2" t="s">
        <v>2</v>
      </c>
      <c r="D6" s="91" t="s">
        <v>174</v>
      </c>
      <c r="E6" s="94"/>
      <c r="F6" s="91" t="s">
        <v>5</v>
      </c>
      <c r="G6" s="94"/>
      <c r="H6" s="91" t="s">
        <v>192</v>
      </c>
      <c r="I6" s="94"/>
      <c r="J6" s="91" t="s">
        <v>193</v>
      </c>
      <c r="K6" s="91"/>
      <c r="L6" s="91" t="s">
        <v>194</v>
      </c>
      <c r="M6" s="94"/>
      <c r="N6" s="91" t="s">
        <v>127</v>
      </c>
      <c r="O6" s="94"/>
      <c r="P6" s="91" t="s">
        <v>82</v>
      </c>
      <c r="Q6" s="91" t="s">
        <v>82</v>
      </c>
      <c r="R6" s="91" t="s">
        <v>82</v>
      </c>
      <c r="S6" s="91" t="s">
        <v>82</v>
      </c>
      <c r="T6" s="91" t="s">
        <v>82</v>
      </c>
      <c r="U6" s="91" t="s">
        <v>82</v>
      </c>
      <c r="V6" s="91" t="s">
        <v>82</v>
      </c>
      <c r="W6" s="91" t="s">
        <v>82</v>
      </c>
      <c r="X6" s="91" t="s">
        <v>82</v>
      </c>
      <c r="Y6" s="91" t="s">
        <v>82</v>
      </c>
      <c r="Z6" s="91" t="s">
        <v>82</v>
      </c>
      <c r="AA6" s="91" t="s">
        <v>82</v>
      </c>
      <c r="AB6" s="91" t="s">
        <v>384</v>
      </c>
      <c r="AC6" s="91" t="s">
        <v>82</v>
      </c>
      <c r="AD6" s="91" t="s">
        <v>82</v>
      </c>
      <c r="AE6" s="91" t="s">
        <v>82</v>
      </c>
      <c r="AF6" s="91" t="s">
        <v>82</v>
      </c>
      <c r="AG6" s="91" t="s">
        <v>82</v>
      </c>
      <c r="AH6" s="91" t="s">
        <v>82</v>
      </c>
      <c r="AI6" s="91" t="s">
        <v>82</v>
      </c>
      <c r="AJ6" s="91" t="s">
        <v>82</v>
      </c>
      <c r="AK6" s="91" t="s">
        <v>82</v>
      </c>
      <c r="AL6" s="91" t="s">
        <v>82</v>
      </c>
      <c r="AM6" s="91" t="s">
        <v>82</v>
      </c>
      <c r="AN6" s="91" t="s">
        <v>82</v>
      </c>
      <c r="AO6" s="91" t="s">
        <v>82</v>
      </c>
      <c r="AP6" s="91" t="s">
        <v>82</v>
      </c>
      <c r="AQ6" s="91" t="s">
        <v>82</v>
      </c>
      <c r="AR6" s="91" t="s">
        <v>82</v>
      </c>
      <c r="AS6" s="91" t="s">
        <v>82</v>
      </c>
      <c r="AT6" s="91" t="s">
        <v>82</v>
      </c>
      <c r="AU6" s="91" t="s">
        <v>82</v>
      </c>
      <c r="AV6" s="91" t="s">
        <v>82</v>
      </c>
      <c r="AW6" s="91" t="s">
        <v>82</v>
      </c>
      <c r="AX6" s="91" t="s">
        <v>82</v>
      </c>
      <c r="AY6" s="91" t="s">
        <v>82</v>
      </c>
      <c r="AZ6" s="91" t="s">
        <v>82</v>
      </c>
      <c r="BA6" s="91" t="s">
        <v>82</v>
      </c>
      <c r="BB6" s="91" t="s">
        <v>82</v>
      </c>
      <c r="BC6" s="91" t="s">
        <v>82</v>
      </c>
      <c r="BD6" s="91" t="s">
        <v>82</v>
      </c>
      <c r="BE6" s="91" t="s">
        <v>82</v>
      </c>
    </row>
    <row r="7" spans="1:58" s="73" customFormat="1" x14ac:dyDescent="0.25">
      <c r="A7" s="57" t="s">
        <v>4</v>
      </c>
      <c r="B7" s="201" t="s">
        <v>449</v>
      </c>
      <c r="D7" s="202" t="s">
        <v>175</v>
      </c>
      <c r="E7" s="94"/>
      <c r="F7" s="202" t="s">
        <v>176</v>
      </c>
      <c r="G7" s="94"/>
      <c r="H7" s="202" t="s">
        <v>154</v>
      </c>
      <c r="I7" s="94"/>
      <c r="J7" s="202" t="s">
        <v>6</v>
      </c>
      <c r="K7" s="42"/>
      <c r="L7" s="202" t="s">
        <v>195</v>
      </c>
      <c r="M7" s="94"/>
      <c r="N7" s="202" t="s">
        <v>6</v>
      </c>
      <c r="O7" s="94"/>
      <c r="P7" s="202">
        <v>1</v>
      </c>
      <c r="Q7" s="202">
        <v>6</v>
      </c>
      <c r="R7" s="202">
        <v>9</v>
      </c>
      <c r="S7" s="202">
        <v>100</v>
      </c>
      <c r="T7" s="202">
        <v>110</v>
      </c>
      <c r="U7" s="202">
        <v>115</v>
      </c>
      <c r="V7" s="202">
        <v>125</v>
      </c>
      <c r="W7" s="202">
        <v>135</v>
      </c>
      <c r="X7" s="202">
        <v>145</v>
      </c>
      <c r="Y7" s="202">
        <v>170</v>
      </c>
      <c r="Z7" s="202">
        <v>200</v>
      </c>
      <c r="AA7" s="202">
        <v>300</v>
      </c>
      <c r="AB7" s="202" t="s">
        <v>8</v>
      </c>
      <c r="AC7" s="203" t="s">
        <v>103</v>
      </c>
      <c r="AD7" s="202">
        <v>10</v>
      </c>
      <c r="AE7" s="202">
        <v>20</v>
      </c>
      <c r="AF7" s="202">
        <v>25</v>
      </c>
      <c r="AG7" s="202">
        <v>100</v>
      </c>
      <c r="AH7" s="202" t="s">
        <v>83</v>
      </c>
      <c r="AI7" s="202" t="s">
        <v>84</v>
      </c>
      <c r="AJ7" s="202" t="s">
        <v>85</v>
      </c>
      <c r="AK7" s="202" t="s">
        <v>86</v>
      </c>
      <c r="AL7" s="202" t="s">
        <v>87</v>
      </c>
      <c r="AM7" s="202" t="s">
        <v>88</v>
      </c>
      <c r="AN7" s="202" t="s">
        <v>89</v>
      </c>
      <c r="AO7" s="202" t="s">
        <v>90</v>
      </c>
      <c r="AP7" s="202" t="s">
        <v>91</v>
      </c>
      <c r="AQ7" s="202" t="s">
        <v>92</v>
      </c>
      <c r="AR7" s="202" t="s">
        <v>93</v>
      </c>
      <c r="AS7" s="202" t="s">
        <v>94</v>
      </c>
      <c r="AT7" s="202" t="s">
        <v>95</v>
      </c>
      <c r="AU7" s="202" t="s">
        <v>96</v>
      </c>
      <c r="AV7" s="202" t="s">
        <v>97</v>
      </c>
      <c r="AW7" s="202">
        <v>331</v>
      </c>
      <c r="AX7" s="202">
        <v>332</v>
      </c>
      <c r="AY7" s="202">
        <v>401</v>
      </c>
      <c r="AZ7" s="202" t="s">
        <v>98</v>
      </c>
      <c r="BA7" s="202" t="s">
        <v>259</v>
      </c>
      <c r="BB7" s="202" t="s">
        <v>99</v>
      </c>
      <c r="BC7" s="202" t="s">
        <v>100</v>
      </c>
      <c r="BD7" s="202" t="s">
        <v>101</v>
      </c>
      <c r="BE7" s="202" t="s">
        <v>102</v>
      </c>
    </row>
    <row r="8" spans="1:58" s="73" customFormat="1" x14ac:dyDescent="0.25">
      <c r="A8" s="56"/>
      <c r="B8" s="156"/>
      <c r="D8" s="211" t="s">
        <v>12</v>
      </c>
      <c r="E8" s="94"/>
      <c r="F8" s="211" t="s">
        <v>13</v>
      </c>
      <c r="G8" s="94"/>
      <c r="H8" s="211" t="s">
        <v>14</v>
      </c>
      <c r="I8" s="94"/>
      <c r="J8" s="211" t="s">
        <v>415</v>
      </c>
      <c r="L8" s="211" t="s">
        <v>15</v>
      </c>
      <c r="M8" s="94"/>
      <c r="N8" s="211" t="s">
        <v>16</v>
      </c>
      <c r="O8" s="94"/>
      <c r="P8" s="211" t="s">
        <v>59</v>
      </c>
      <c r="Q8" s="211" t="s">
        <v>61</v>
      </c>
      <c r="R8" s="211" t="s">
        <v>62</v>
      </c>
      <c r="S8" s="211" t="s">
        <v>105</v>
      </c>
      <c r="T8" s="211" t="s">
        <v>166</v>
      </c>
      <c r="U8" s="211" t="s">
        <v>167</v>
      </c>
      <c r="V8" s="211" t="s">
        <v>168</v>
      </c>
      <c r="W8" s="211" t="s">
        <v>209</v>
      </c>
      <c r="X8" s="211" t="s">
        <v>218</v>
      </c>
      <c r="Y8" s="211" t="s">
        <v>420</v>
      </c>
      <c r="Z8" s="211" t="s">
        <v>421</v>
      </c>
      <c r="AA8" s="211" t="s">
        <v>422</v>
      </c>
      <c r="AB8" s="211" t="s">
        <v>423</v>
      </c>
      <c r="AC8" s="211" t="s">
        <v>424</v>
      </c>
      <c r="AD8" s="211" t="s">
        <v>425</v>
      </c>
      <c r="AE8" s="211" t="s">
        <v>426</v>
      </c>
      <c r="AF8" s="211" t="s">
        <v>427</v>
      </c>
      <c r="AG8" s="211" t="s">
        <v>428</v>
      </c>
      <c r="AH8" s="211" t="s">
        <v>429</v>
      </c>
      <c r="AI8" s="211" t="s">
        <v>430</v>
      </c>
      <c r="AJ8" s="211" t="s">
        <v>431</v>
      </c>
      <c r="AK8" s="211" t="s">
        <v>432</v>
      </c>
      <c r="AL8" s="211" t="s">
        <v>433</v>
      </c>
      <c r="AM8" s="211" t="s">
        <v>434</v>
      </c>
      <c r="AN8" s="211" t="s">
        <v>435</v>
      </c>
      <c r="AO8" s="211" t="s">
        <v>436</v>
      </c>
      <c r="AP8" s="211" t="s">
        <v>437</v>
      </c>
      <c r="AQ8" s="211" t="s">
        <v>438</v>
      </c>
      <c r="AR8" s="211" t="s">
        <v>439</v>
      </c>
      <c r="AS8" s="211" t="s">
        <v>440</v>
      </c>
      <c r="AT8" s="211" t="s">
        <v>441</v>
      </c>
      <c r="AU8" s="211" t="s">
        <v>442</v>
      </c>
      <c r="AV8" s="211" t="s">
        <v>443</v>
      </c>
      <c r="AW8" s="211" t="s">
        <v>444</v>
      </c>
      <c r="AX8" s="211" t="s">
        <v>445</v>
      </c>
      <c r="AY8" s="211" t="s">
        <v>446</v>
      </c>
      <c r="AZ8" s="211" t="s">
        <v>447</v>
      </c>
      <c r="BA8" s="211" t="s">
        <v>466</v>
      </c>
      <c r="BB8" s="211" t="s">
        <v>467</v>
      </c>
      <c r="BC8" s="211" t="s">
        <v>468</v>
      </c>
      <c r="BD8" s="211" t="s">
        <v>469</v>
      </c>
      <c r="BE8" s="211" t="s">
        <v>470</v>
      </c>
    </row>
    <row r="10" spans="1:58" x14ac:dyDescent="0.25">
      <c r="B10" s="197" t="s">
        <v>462</v>
      </c>
    </row>
    <row r="11" spans="1:58" x14ac:dyDescent="0.25">
      <c r="A11" s="2">
        <v>1</v>
      </c>
      <c r="B11" s="73" t="s">
        <v>155</v>
      </c>
      <c r="D11" s="22">
        <f ca="1">'Total ALLOCATION'!D11-'Gas Cost ALLOCATION'!D11</f>
        <v>0</v>
      </c>
      <c r="E11" s="22"/>
      <c r="F11" s="22">
        <f ca="1">'Total ALLOCATION'!F11-'Gas Cost ALLOCATION'!F11</f>
        <v>0</v>
      </c>
      <c r="L11" s="22">
        <f ca="1">F11-H11</f>
        <v>0</v>
      </c>
      <c r="N11" s="28" t="str">
        <f>'Total ALLOCATION'!N11</f>
        <v>SUPPLY_VOL</v>
      </c>
      <c r="P11" s="22">
        <f ca="1">IF($L11&lt;&gt;0,VLOOKUP($N11,'Allocation Factors'!$B$12:$AU$603,5,FALSE)*$L11,0)+IF($H11&lt;&gt;0,(VLOOKUP($J11,'Allocation Factors'!$B$12:$AU$603,5,FALSE)*$H11),0)</f>
        <v>0</v>
      </c>
      <c r="Q11" s="22">
        <f ca="1">IF($L11&lt;&gt;0,VLOOKUP($N11,'Allocation Factors'!$B$12:$AU$603,6,FALSE)*$L11,0)+IF($H11&lt;&gt;0,(VLOOKUP($J11,'Allocation Factors'!$B$12:$AU$603,6,FALSE)*$H11),0)</f>
        <v>0</v>
      </c>
      <c r="R11" s="22">
        <f ca="1">IF($L11&lt;&gt;0,VLOOKUP($N11,'Allocation Factors'!$B$12:$AU$603,7,FALSE)*$L11,0)+IF($H11&lt;&gt;0,(VLOOKUP($J11,'Allocation Factors'!$B$12:$AU$603,7,FALSE)*$H11),0)</f>
        <v>0</v>
      </c>
      <c r="S11" s="22">
        <f ca="1">IF($L11&lt;&gt;0,VLOOKUP($N11,'Allocation Factors'!$B$12:$AU$603,8,FALSE)*$L11,0)+IF($H11&lt;&gt;0,(VLOOKUP($J11,'Allocation Factors'!$B$12:$AU$603,8,FALSE)*$H11),0)</f>
        <v>0</v>
      </c>
      <c r="T11" s="22">
        <f ca="1">IF($L11&lt;&gt;0,VLOOKUP($N11,'Allocation Factors'!$B$12:$AU$603,9,FALSE)*$L11,0)+IF($H11&lt;&gt;0,(VLOOKUP($J11,'Allocation Factors'!$B$12:$AU$603,9,FALSE)*$H11),0)</f>
        <v>0</v>
      </c>
      <c r="U11" s="22">
        <f ca="1">IF($L11&lt;&gt;0,VLOOKUP($N11,'Allocation Factors'!$B$12:$AU$603,10,FALSE)*$L11,0)+IF($H11&lt;&gt;0,(VLOOKUP($J11,'Allocation Factors'!$B$12:$AU$603,10,FALSE)*$H11),0)</f>
        <v>0</v>
      </c>
      <c r="V11" s="22">
        <f ca="1">IF($L11&lt;&gt;0,VLOOKUP($N11,'Allocation Factors'!$B$12:$AU$603,11,FALSE)*$L11,0)+IF($H11&lt;&gt;0,(VLOOKUP($J11,'Allocation Factors'!$B$12:$AU$603,11,FALSE)*$H11),0)</f>
        <v>0</v>
      </c>
      <c r="W11" s="22">
        <f ca="1">IF($L11&lt;&gt;0,VLOOKUP($N11,'Allocation Factors'!$B$12:$AU$603,12,FALSE)*$L11,0)+IF($H11&lt;&gt;0,(VLOOKUP($J11,'Allocation Factors'!$B$12:$AU$603,12,FALSE)*$H11),0)</f>
        <v>0</v>
      </c>
      <c r="X11" s="22">
        <f ca="1">IF($L11&lt;&gt;0,VLOOKUP($N11,'Allocation Factors'!$B$12:$AU$603,13,FALSE)*$L11,0)+IF($H11&lt;&gt;0,(VLOOKUP($J11,'Allocation Factors'!$B$12:$AU$603,13,FALSE)*$H11),0)</f>
        <v>0</v>
      </c>
      <c r="Y11" s="22">
        <f ca="1">IF($L11&lt;&gt;0,VLOOKUP($N11,'Allocation Factors'!$B$12:$AU$603,14,FALSE)*$L11,0)+IF($H11&lt;&gt;0,(VLOOKUP($J11,'Allocation Factors'!$B$12:$AU$603,14,FALSE)*$H11),0)</f>
        <v>0</v>
      </c>
      <c r="Z11" s="22">
        <f ca="1">IF($L11&lt;&gt;0,VLOOKUP($N11,'Allocation Factors'!$B$12:$AU$603,15,FALSE)*$L11,0)+IF($H11&lt;&gt;0,(VLOOKUP($J11,'Allocation Factors'!$B$12:$AU$603,15,FALSE)*$H11),0)</f>
        <v>0</v>
      </c>
      <c r="AA11" s="22">
        <f ca="1">IF($L11&lt;&gt;0,VLOOKUP($N11,'Allocation Factors'!$B$12:$AU$603,16,FALSE)*$L11,0)+IF($H11&lt;&gt;0,(VLOOKUP($J11,'Allocation Factors'!$B$12:$AU$603,16,FALSE)*$H11),0)</f>
        <v>0</v>
      </c>
      <c r="AB11" s="22">
        <f ca="1">IF($L11&lt;&gt;0,VLOOKUP($N11,'Allocation Factors'!$B$12:$AU$603,17,FALSE)*$L11,0)+IF($H11&lt;&gt;0,(VLOOKUP($J11,'Allocation Factors'!$B$12:$AU$603,17,FALSE)*$H11),0)</f>
        <v>0</v>
      </c>
      <c r="AC11" s="22">
        <f ca="1">IF($L11&lt;&gt;0,VLOOKUP($N11,'Allocation Factors'!$B$12:$AU$603,18,FALSE)*$L11,0)+IF($H11&lt;&gt;0,(VLOOKUP($J11,'Allocation Factors'!$B$12:$AU$603,18,FALSE)*$H11),0)</f>
        <v>0</v>
      </c>
      <c r="AD11" s="22">
        <f ca="1">IF($L11&lt;&gt;0,VLOOKUP($N11,'Allocation Factors'!$B$12:$AU$603,19,FALSE)*$L11,0)+IF($H11&lt;&gt;0,(VLOOKUP($J11,'Allocation Factors'!$B$12:$AU$603,19,FALSE)*$H11),0)</f>
        <v>0</v>
      </c>
      <c r="AE11" s="22">
        <f ca="1">IF($L11&lt;&gt;0,VLOOKUP($N11,'Allocation Factors'!$B$12:$AU$603,20,FALSE)*$L11,0)+IF($H11&lt;&gt;0,(VLOOKUP($J11,'Allocation Factors'!$B$12:$AU$603,20,FALSE)*$H11),0)</f>
        <v>0</v>
      </c>
      <c r="AF11" s="22">
        <f ca="1">IF($L11&lt;&gt;0,VLOOKUP($N11,'Allocation Factors'!$B$12:$AU$603,21,FALSE)*$L11,0)+IF($H11&lt;&gt;0,(VLOOKUP($J11,'Allocation Factors'!$B$12:$AU$603,21,FALSE)*$H11),0)</f>
        <v>0</v>
      </c>
      <c r="AG11" s="22">
        <f ca="1">IF($L11&lt;&gt;0,VLOOKUP($N11,'Allocation Factors'!$B$12:$AU$603,22,FALSE)*$L11,0)+IF($H11&lt;&gt;0,(VLOOKUP($J11,'Allocation Factors'!$B$12:$AU$603,22,FALSE)*$H11),0)</f>
        <v>0</v>
      </c>
      <c r="AH11" s="22">
        <f ca="1">IF($L11&lt;&gt;0,VLOOKUP($N11,'Allocation Factors'!$B$12:$AU$603,23,FALSE)*$L11,0)+IF($H11&lt;&gt;0,(VLOOKUP($J11,'Allocation Factors'!$B$12:$AU$603,23,FALSE)*$H11),0)</f>
        <v>0</v>
      </c>
      <c r="AI11" s="22">
        <f ca="1">IF($L11&lt;&gt;0,VLOOKUP($N11,'Allocation Factors'!$B$12:$AU$603,24,FALSE)*$L11,0)+IF($H11&lt;&gt;0,(VLOOKUP($J11,'Allocation Factors'!$B$12:$AU$603,24,FALSE)*$H11),0)</f>
        <v>0</v>
      </c>
      <c r="AJ11" s="22">
        <f ca="1">IF($L11&lt;&gt;0,VLOOKUP($N11,'Allocation Factors'!$B$12:$AU$603,25,FALSE)*$L11,0)+IF($H11&lt;&gt;0,(VLOOKUP($J11,'Allocation Factors'!$B$12:$AU$603,25,FALSE)*$H11),0)</f>
        <v>0</v>
      </c>
      <c r="AK11" s="22">
        <f ca="1">IF($L11&lt;&gt;0,VLOOKUP($N11,'Allocation Factors'!$B$12:$AU$603,26,FALSE)*$L11,0)+IF($H11&lt;&gt;0,(VLOOKUP($J11,'Allocation Factors'!$B$12:$AU$603,26,FALSE)*$H11),0)</f>
        <v>0</v>
      </c>
      <c r="AL11" s="22">
        <f ca="1">IF($L11&lt;&gt;0,VLOOKUP($N11,'Allocation Factors'!$B$12:$AU$603,27,FALSE)*$L11,0)+IF($H11&lt;&gt;0,(VLOOKUP($J11,'Allocation Factors'!$B$12:$AU$603,27,FALSE)*$H11),0)</f>
        <v>0</v>
      </c>
      <c r="AM11" s="22">
        <f ca="1">IF($L11&lt;&gt;0,VLOOKUP($N11,'Allocation Factors'!$B$12:$AU$603,28,FALSE)*$L11,0)+IF($H11&lt;&gt;0,(VLOOKUP($J11,'Allocation Factors'!$B$12:$AU$603,28,FALSE)*$H11),0)</f>
        <v>0</v>
      </c>
      <c r="AN11" s="22">
        <f ca="1">IF($L11&lt;&gt;0,VLOOKUP($N11,'Allocation Factors'!$B$12:$AU$603,29,FALSE)*$L11,0)+IF($H11&lt;&gt;0,(VLOOKUP($J11,'Allocation Factors'!$B$12:$AU$603,29,FALSE)*$H11),0)</f>
        <v>0</v>
      </c>
      <c r="AO11" s="22">
        <f ca="1">IF($L11&lt;&gt;0,VLOOKUP($N11,'Allocation Factors'!$B$12:$AU$603,30,FALSE)*$L11,0)+IF($H11&lt;&gt;0,(VLOOKUP($J11,'Allocation Factors'!$B$12:$AU$603,30,FALSE)*$H11),0)</f>
        <v>0</v>
      </c>
      <c r="AP11" s="22">
        <f ca="1">IF($L11&lt;&gt;0,VLOOKUP($N11,'Allocation Factors'!$B$12:$AU$603,31,FALSE)*$L11,0)+IF($H11&lt;&gt;0,(VLOOKUP($J11,'Allocation Factors'!$B$12:$AU$603,31,FALSE)*$H11),0)</f>
        <v>0</v>
      </c>
      <c r="AQ11" s="22">
        <f ca="1">IF($L11&lt;&gt;0,VLOOKUP($N11,'Allocation Factors'!$B$12:$AU$603,32,FALSE)*$L11,0)+IF($H11&lt;&gt;0,(VLOOKUP($J11,'Allocation Factors'!$B$12:$AU$603,32,FALSE)*$H11),0)</f>
        <v>0</v>
      </c>
      <c r="AR11" s="22">
        <f ca="1">IF($L11&lt;&gt;0,VLOOKUP($N11,'Allocation Factors'!$B$12:$AU$603,33,FALSE)*$L11,0)+IF($H11&lt;&gt;0,(VLOOKUP($J11,'Allocation Factors'!$B$12:$AU$603,33,FALSE)*$H11),0)</f>
        <v>0</v>
      </c>
      <c r="AS11" s="22">
        <f ca="1">IF($L11&lt;&gt;0,VLOOKUP($N11,'Allocation Factors'!$B$12:$AU$603,34,FALSE)*$L11,0)+IF($H11&lt;&gt;0,(VLOOKUP($J11,'Allocation Factors'!$B$12:$AU$603,34,FALSE)*$H11),0)</f>
        <v>0</v>
      </c>
      <c r="AT11" s="22">
        <f ca="1">IF($L11&lt;&gt;0,VLOOKUP($N11,'Allocation Factors'!$B$12:$AU$603,35,FALSE)*$L11,0)+IF($H11&lt;&gt;0,(VLOOKUP($J11,'Allocation Factors'!$B$12:$AU$603,35,FALSE)*$H11),0)</f>
        <v>0</v>
      </c>
      <c r="AU11" s="22">
        <f ca="1">IF($L11&lt;&gt;0,VLOOKUP($N11,'Allocation Factors'!$B$12:$AU$603,36,FALSE)*$L11,0)+IF($H11&lt;&gt;0,(VLOOKUP($J11,'Allocation Factors'!$B$12:$AU$603,36,FALSE)*$H11),0)</f>
        <v>0</v>
      </c>
      <c r="AV11" s="22">
        <f ca="1">IF($L11&lt;&gt;0,VLOOKUP($N11,'Allocation Factors'!$B$12:$AU$603,37,FALSE)*$L11,0)+IF($H11&lt;&gt;0,(VLOOKUP($J11,'Allocation Factors'!$B$12:$AU$603,37,FALSE)*$H11),0)</f>
        <v>0</v>
      </c>
      <c r="AW11" s="22">
        <f ca="1">IF($L11&lt;&gt;0,VLOOKUP($N11,'Allocation Factors'!$B$12:$AU$603,38,FALSE)*$L11,0)+IF($H11&lt;&gt;0,(VLOOKUP($J11,'Allocation Factors'!$B$12:$AU$603,38,FALSE)*$H11),0)</f>
        <v>0</v>
      </c>
      <c r="AX11" s="22">
        <f ca="1">IF($L11&lt;&gt;0,VLOOKUP($N11,'Allocation Factors'!$B$12:$AU$603,39,FALSE)*$L11,0)+IF($H11&lt;&gt;0,(VLOOKUP($J11,'Allocation Factors'!$B$12:$AU$603,39,FALSE)*$H11),0)</f>
        <v>0</v>
      </c>
      <c r="AY11" s="22">
        <f ca="1">IF($L11&lt;&gt;0,VLOOKUP($N11,'Allocation Factors'!$B$12:$AU$603,40,FALSE)*$L11,0)+IF($H11&lt;&gt;0,(VLOOKUP($J11,'Allocation Factors'!$B$12:$AU$603,40,FALSE)*$H11),0)</f>
        <v>0</v>
      </c>
      <c r="AZ11" s="22">
        <f ca="1">IF($L11&lt;&gt;0,VLOOKUP($N11,'Allocation Factors'!$B$12:$AU$603,41,FALSE)*$L11,0)+IF($H11&lt;&gt;0,(VLOOKUP($J11,'Allocation Factors'!$B$12:$AU$603,41,FALSE)*$H11),0)</f>
        <v>0</v>
      </c>
      <c r="BA11" s="22">
        <f ca="1">IF($L11&lt;&gt;0,VLOOKUP($N11,'Allocation Factors'!$B$12:$AU$603,42,FALSE)*$L11,0)+IF($H11&lt;&gt;0,(VLOOKUP($J11,'Allocation Factors'!$B$12:$AU$603,42,FALSE)*$H11),0)</f>
        <v>0</v>
      </c>
      <c r="BB11" s="22">
        <f ca="1">IF($L11&lt;&gt;0,VLOOKUP($N11,'Allocation Factors'!$B$12:$AU$603,43,FALSE)*$L11,0)+IF($H11&lt;&gt;0,(VLOOKUP($J11,'Allocation Factors'!$B$12:$AU$603,43,FALSE)*$H11),0)</f>
        <v>0</v>
      </c>
      <c r="BC11" s="22">
        <f ca="1">IF($L11&lt;&gt;0,VLOOKUP($N11,'Allocation Factors'!$B$12:$AU$603,44,FALSE)*$L11,0)+IF($H11&lt;&gt;0,(VLOOKUP($J11,'Allocation Factors'!$B$12:$AU$603,44,FALSE)*$H11),0)</f>
        <v>0</v>
      </c>
      <c r="BD11" s="22">
        <f ca="1">IF($L11&lt;&gt;0,VLOOKUP($N11,'Allocation Factors'!$B$12:$AU$603,45,FALSE)*$L11,0)+IF($H11&lt;&gt;0,(VLOOKUP($J11,'Allocation Factors'!$B$12:$AU$603,45,FALSE)*$H11),0)</f>
        <v>0</v>
      </c>
      <c r="BE11" s="22">
        <f ca="1">IF($L11&lt;&gt;0,VLOOKUP($N11,'Allocation Factors'!$B$12:$AU$603,46,FALSE)*$L11,0)+IF($H11&lt;&gt;0,(VLOOKUP($J11,'Allocation Factors'!$B$12:$AU$603,46,FALSE)*$H11),0)</f>
        <v>0</v>
      </c>
      <c r="BF11" s="9"/>
    </row>
    <row r="12" spans="1:58" x14ac:dyDescent="0.25">
      <c r="A12" s="2">
        <f>A11+1</f>
        <v>2</v>
      </c>
      <c r="B12" s="73" t="s">
        <v>463</v>
      </c>
      <c r="D12" s="22">
        <f ca="1">'Total ALLOCATION'!D12-'Gas Cost ALLOCATION'!D12</f>
        <v>0</v>
      </c>
      <c r="E12" s="22"/>
      <c r="F12" s="22">
        <f ca="1">'Total ALLOCATION'!F12-'Gas Cost ALLOCATION'!F12</f>
        <v>-7968.0774419795489</v>
      </c>
      <c r="L12" s="22">
        <f t="shared" ref="L12:L16" ca="1" si="0">F12-H12</f>
        <v>-7968.0774419795489</v>
      </c>
      <c r="N12" s="28" t="str">
        <f>'Total ALLOCATION'!N12</f>
        <v>LOAD_BALANCING</v>
      </c>
      <c r="P12" s="22">
        <f ca="1">IF($L12&lt;&gt;0,VLOOKUP($N12,'Allocation Factors'!$B$12:$AU$603,5,FALSE)*$L12,0)+IF($H12&lt;&gt;0,(VLOOKUP($J12,'Allocation Factors'!$B$12:$AU$603,5,FALSE)*$H12),0)</f>
        <v>-2512.7661998169042</v>
      </c>
      <c r="Q12" s="22">
        <f ca="1">IF($L12&lt;&gt;0,VLOOKUP($N12,'Allocation Factors'!$B$12:$AU$603,6,FALSE)*$L12,0)+IF($H12&lt;&gt;0,(VLOOKUP($J12,'Allocation Factors'!$B$12:$AU$603,6,FALSE)*$H12),0)</f>
        <v>-2183.896087376163</v>
      </c>
      <c r="R12" s="22">
        <f ca="1">IF($L12&lt;&gt;0,VLOOKUP($N12,'Allocation Factors'!$B$12:$AU$603,7,FALSE)*$L12,0)+IF($H12&lt;&gt;0,(VLOOKUP($J12,'Allocation Factors'!$B$12:$AU$603,7,FALSE)*$H12),0)</f>
        <v>0</v>
      </c>
      <c r="S12" s="22">
        <f ca="1">IF($L12&lt;&gt;0,VLOOKUP($N12,'Allocation Factors'!$B$12:$AU$603,8,FALSE)*$L12,0)+IF($H12&lt;&gt;0,(VLOOKUP($J12,'Allocation Factors'!$B$12:$AU$603,8,FALSE)*$H12),0)</f>
        <v>-5.8555257247104926</v>
      </c>
      <c r="T12" s="22">
        <f ca="1">IF($L12&lt;&gt;0,VLOOKUP($N12,'Allocation Factors'!$B$12:$AU$603,9,FALSE)*$L12,0)+IF($H12&lt;&gt;0,(VLOOKUP($J12,'Allocation Factors'!$B$12:$AU$603,9,FALSE)*$H12),0)</f>
        <v>-159.56945143847452</v>
      </c>
      <c r="U12" s="22">
        <f ca="1">IF($L12&lt;&gt;0,VLOOKUP($N12,'Allocation Factors'!$B$12:$AU$603,10,FALSE)*$L12,0)+IF($H12&lt;&gt;0,(VLOOKUP($J12,'Allocation Factors'!$B$12:$AU$603,10,FALSE)*$H12),0)</f>
        <v>-5.8851023796617881</v>
      </c>
      <c r="V12" s="22">
        <f ca="1">IF($L12&lt;&gt;0,VLOOKUP($N12,'Allocation Factors'!$B$12:$AU$603,11,FALSE)*$L12,0)+IF($H12&lt;&gt;0,(VLOOKUP($J12,'Allocation Factors'!$B$12:$AU$603,11,FALSE)*$H12),0)</f>
        <v>0</v>
      </c>
      <c r="W12" s="22">
        <f ca="1">IF($L12&lt;&gt;0,VLOOKUP($N12,'Allocation Factors'!$B$12:$AU$603,12,FALSE)*$L12,0)+IF($H12&lt;&gt;0,(VLOOKUP($J12,'Allocation Factors'!$B$12:$AU$603,12,FALSE)*$H12),0)</f>
        <v>0</v>
      </c>
      <c r="X12" s="22">
        <f ca="1">IF($L12&lt;&gt;0,VLOOKUP($N12,'Allocation Factors'!$B$12:$AU$603,13,FALSE)*$L12,0)+IF($H12&lt;&gt;0,(VLOOKUP($J12,'Allocation Factors'!$B$12:$AU$603,13,FALSE)*$H12),0)</f>
        <v>0</v>
      </c>
      <c r="Y12" s="22">
        <f ca="1">IF($L12&lt;&gt;0,VLOOKUP($N12,'Allocation Factors'!$B$12:$AU$603,14,FALSE)*$L12,0)+IF($H12&lt;&gt;0,(VLOOKUP($J12,'Allocation Factors'!$B$12:$AU$603,14,FALSE)*$H12),0)</f>
        <v>0</v>
      </c>
      <c r="Z12" s="22">
        <f ca="1">IF($L12&lt;&gt;0,VLOOKUP($N12,'Allocation Factors'!$B$12:$AU$603,15,FALSE)*$L12,0)+IF($H12&lt;&gt;0,(VLOOKUP($J12,'Allocation Factors'!$B$12:$AU$603,15,FALSE)*$H12),0)</f>
        <v>-47.338483746883732</v>
      </c>
      <c r="AA12" s="22">
        <f ca="1">IF($L12&lt;&gt;0,VLOOKUP($N12,'Allocation Factors'!$B$12:$AU$603,16,FALSE)*$L12,0)+IF($H12&lt;&gt;0,(VLOOKUP($J12,'Allocation Factors'!$B$12:$AU$603,16,FALSE)*$H12),0)</f>
        <v>0</v>
      </c>
      <c r="AB12" s="22">
        <f ca="1">IF($L12&lt;&gt;0,VLOOKUP($N12,'Allocation Factors'!$B$12:$AU$603,17,FALSE)*$L12,0)+IF($H12&lt;&gt;0,(VLOOKUP($J12,'Allocation Factors'!$B$12:$AU$603,17,FALSE)*$H12),0)</f>
        <v>-81.779096198967054</v>
      </c>
      <c r="AC12" s="22">
        <f ca="1">IF($L12&lt;&gt;0,VLOOKUP($N12,'Allocation Factors'!$B$12:$AU$603,18,FALSE)*$L12,0)+IF($H12&lt;&gt;0,(VLOOKUP($J12,'Allocation Factors'!$B$12:$AU$603,18,FALSE)*$H12),0)</f>
        <v>-450.54396290826264</v>
      </c>
      <c r="AD12" s="22">
        <f ca="1">IF($L12&lt;&gt;0,VLOOKUP($N12,'Allocation Factors'!$B$12:$AU$603,19,FALSE)*$L12,0)+IF($H12&lt;&gt;0,(VLOOKUP($J12,'Allocation Factors'!$B$12:$AU$603,19,FALSE)*$H12),0)</f>
        <v>-127.36490401500005</v>
      </c>
      <c r="AE12" s="22">
        <f ca="1">IF($L12&lt;&gt;0,VLOOKUP($N12,'Allocation Factors'!$B$12:$AU$603,20,FALSE)*$L12,0)+IF($H12&lt;&gt;0,(VLOOKUP($J12,'Allocation Factors'!$B$12:$AU$603,20,FALSE)*$H12),0)</f>
        <v>-18.011819022310892</v>
      </c>
      <c r="AF12" s="22">
        <f ca="1">IF($L12&lt;&gt;0,VLOOKUP($N12,'Allocation Factors'!$B$12:$AU$603,21,FALSE)*$L12,0)+IF($H12&lt;&gt;0,(VLOOKUP($J12,'Allocation Factors'!$B$12:$AU$603,21,FALSE)*$H12),0)</f>
        <v>0</v>
      </c>
      <c r="AG12" s="22">
        <f ca="1">IF($L12&lt;&gt;0,VLOOKUP($N12,'Allocation Factors'!$B$12:$AU$603,22,FALSE)*$L12,0)+IF($H12&lt;&gt;0,(VLOOKUP($J12,'Allocation Factors'!$B$12:$AU$603,22,FALSE)*$H12),0)</f>
        <v>0</v>
      </c>
      <c r="AH12" s="22">
        <f ca="1">IF($L12&lt;&gt;0,VLOOKUP($N12,'Allocation Factors'!$B$12:$AU$603,23,FALSE)*$L12,0)+IF($H12&lt;&gt;0,(VLOOKUP($J12,'Allocation Factors'!$B$12:$AU$603,23,FALSE)*$H12),0)</f>
        <v>-1425.6834715553241</v>
      </c>
      <c r="AI12" s="22">
        <f ca="1">IF($L12&lt;&gt;0,VLOOKUP($N12,'Allocation Factors'!$B$12:$AU$603,24,FALSE)*$L12,0)+IF($H12&lt;&gt;0,(VLOOKUP($J12,'Allocation Factors'!$B$12:$AU$603,24,FALSE)*$H12),0)</f>
        <v>-508.35760991538979</v>
      </c>
      <c r="AJ12" s="22">
        <f ca="1">IF($L12&lt;&gt;0,VLOOKUP($N12,'Allocation Factors'!$B$12:$AU$603,25,FALSE)*$L12,0)+IF($H12&lt;&gt;0,(VLOOKUP($J12,'Allocation Factors'!$B$12:$AU$603,25,FALSE)*$H12),0)</f>
        <v>-159.16989271621605</v>
      </c>
      <c r="AK12" s="22">
        <f ca="1">IF($L12&lt;&gt;0,VLOOKUP($N12,'Allocation Factors'!$B$12:$AU$603,26,FALSE)*$L12,0)+IF($H12&lt;&gt;0,(VLOOKUP($J12,'Allocation Factors'!$B$12:$AU$603,26,FALSE)*$H12),0)</f>
        <v>0</v>
      </c>
      <c r="AL12" s="22">
        <f ca="1">IF($L12&lt;&gt;0,VLOOKUP($N12,'Allocation Factors'!$B$12:$AU$603,27,FALSE)*$L12,0)+IF($H12&lt;&gt;0,(VLOOKUP($J12,'Allocation Factors'!$B$12:$AU$603,27,FALSE)*$H12),0)</f>
        <v>-1.5404612917552192</v>
      </c>
      <c r="AM12" s="22">
        <f ca="1">IF($L12&lt;&gt;0,VLOOKUP($N12,'Allocation Factors'!$B$12:$AU$603,28,FALSE)*$L12,0)+IF($H12&lt;&gt;0,(VLOOKUP($J12,'Allocation Factors'!$B$12:$AU$603,28,FALSE)*$H12),0)</f>
        <v>0</v>
      </c>
      <c r="AN12" s="22">
        <f ca="1">IF($L12&lt;&gt;0,VLOOKUP($N12,'Allocation Factors'!$B$12:$AU$603,29,FALSE)*$L12,0)+IF($H12&lt;&gt;0,(VLOOKUP($J12,'Allocation Factors'!$B$12:$AU$603,29,FALSE)*$H12),0)</f>
        <v>-264.3252601254494</v>
      </c>
      <c r="AO12" s="22">
        <f ca="1">IF($L12&lt;&gt;0,VLOOKUP($N12,'Allocation Factors'!$B$12:$AU$603,30,FALSE)*$L12,0)+IF($H12&lt;&gt;0,(VLOOKUP($J12,'Allocation Factors'!$B$12:$AU$603,30,FALSE)*$H12),0)</f>
        <v>0</v>
      </c>
      <c r="AP12" s="22">
        <f ca="1">IF($L12&lt;&gt;0,VLOOKUP($N12,'Allocation Factors'!$B$12:$AU$603,31,FALSE)*$L12,0)+IF($H12&lt;&gt;0,(VLOOKUP($J12,'Allocation Factors'!$B$12:$AU$603,31,FALSE)*$H12),0)</f>
        <v>-15.990113748076254</v>
      </c>
      <c r="AQ12" s="22">
        <f ca="1">IF($L12&lt;&gt;0,VLOOKUP($N12,'Allocation Factors'!$B$12:$AU$603,32,FALSE)*$L12,0)+IF($H12&lt;&gt;0,(VLOOKUP($J12,'Allocation Factors'!$B$12:$AU$603,32,FALSE)*$H12),0)</f>
        <v>0</v>
      </c>
      <c r="AR12" s="22">
        <f ca="1">IF($L12&lt;&gt;0,VLOOKUP($N12,'Allocation Factors'!$B$12:$AU$603,33,FALSE)*$L12,0)+IF($H12&lt;&gt;0,(VLOOKUP($J12,'Allocation Factors'!$B$12:$AU$603,33,FALSE)*$H12),0)</f>
        <v>0</v>
      </c>
      <c r="AS12" s="22">
        <f ca="1">IF($L12&lt;&gt;0,VLOOKUP($N12,'Allocation Factors'!$B$12:$AU$603,34,FALSE)*$L12,0)+IF($H12&lt;&gt;0,(VLOOKUP($J12,'Allocation Factors'!$B$12:$AU$603,34,FALSE)*$H12),0)</f>
        <v>0</v>
      </c>
      <c r="AT12" s="22">
        <f ca="1">IF($L12&lt;&gt;0,VLOOKUP($N12,'Allocation Factors'!$B$12:$AU$603,35,FALSE)*$L12,0)+IF($H12&lt;&gt;0,(VLOOKUP($J12,'Allocation Factors'!$B$12:$AU$603,35,FALSE)*$H12),0)</f>
        <v>0</v>
      </c>
      <c r="AU12" s="22">
        <f ca="1">IF($L12&lt;&gt;0,VLOOKUP($N12,'Allocation Factors'!$B$12:$AU$603,36,FALSE)*$L12,0)+IF($H12&lt;&gt;0,(VLOOKUP($J12,'Allocation Factors'!$B$12:$AU$603,36,FALSE)*$H12),0)</f>
        <v>0</v>
      </c>
      <c r="AV12" s="22">
        <f ca="1">IF($L12&lt;&gt;0,VLOOKUP($N12,'Allocation Factors'!$B$12:$AU$603,37,FALSE)*$L12,0)+IF($H12&lt;&gt;0,(VLOOKUP($J12,'Allocation Factors'!$B$12:$AU$603,37,FALSE)*$H12),0)</f>
        <v>0</v>
      </c>
      <c r="AW12" s="22">
        <f ca="1">IF($L12&lt;&gt;0,VLOOKUP($N12,'Allocation Factors'!$B$12:$AU$603,38,FALSE)*$L12,0)+IF($H12&lt;&gt;0,(VLOOKUP($J12,'Allocation Factors'!$B$12:$AU$603,38,FALSE)*$H12),0)</f>
        <v>0</v>
      </c>
      <c r="AX12" s="22">
        <f ca="1">IF($L12&lt;&gt;0,VLOOKUP($N12,'Allocation Factors'!$B$12:$AU$603,39,FALSE)*$L12,0)+IF($H12&lt;&gt;0,(VLOOKUP($J12,'Allocation Factors'!$B$12:$AU$603,39,FALSE)*$H12),0)</f>
        <v>0</v>
      </c>
      <c r="AY12" s="22">
        <f ca="1">IF($L12&lt;&gt;0,VLOOKUP($N12,'Allocation Factors'!$B$12:$AU$603,40,FALSE)*$L12,0)+IF($H12&lt;&gt;0,(VLOOKUP($J12,'Allocation Factors'!$B$12:$AU$603,40,FALSE)*$H12),0)</f>
        <v>0</v>
      </c>
      <c r="AZ12" s="22">
        <f ca="1">IF($L12&lt;&gt;0,VLOOKUP($N12,'Allocation Factors'!$B$12:$AU$603,41,FALSE)*$L12,0)+IF($H12&lt;&gt;0,(VLOOKUP($J12,'Allocation Factors'!$B$12:$AU$603,41,FALSE)*$H12),0)</f>
        <v>0</v>
      </c>
      <c r="BA12" s="22">
        <f ca="1">IF($L12&lt;&gt;0,VLOOKUP($N12,'Allocation Factors'!$B$12:$AU$603,42,FALSE)*$L12,0)+IF($H12&lt;&gt;0,(VLOOKUP($J12,'Allocation Factors'!$B$12:$AU$603,42,FALSE)*$H12),0)</f>
        <v>0</v>
      </c>
      <c r="BB12" s="22">
        <f ca="1">IF($L12&lt;&gt;0,VLOOKUP($N12,'Allocation Factors'!$B$12:$AU$603,43,FALSE)*$L12,0)+IF($H12&lt;&gt;0,(VLOOKUP($J12,'Allocation Factors'!$B$12:$AU$603,43,FALSE)*$H12),0)</f>
        <v>0</v>
      </c>
      <c r="BC12" s="22">
        <f ca="1">IF($L12&lt;&gt;0,VLOOKUP($N12,'Allocation Factors'!$B$12:$AU$603,44,FALSE)*$L12,0)+IF($H12&lt;&gt;0,(VLOOKUP($J12,'Allocation Factors'!$B$12:$AU$603,44,FALSE)*$H12),0)</f>
        <v>0</v>
      </c>
      <c r="BD12" s="22">
        <f ca="1">IF($L12&lt;&gt;0,VLOOKUP($N12,'Allocation Factors'!$B$12:$AU$603,45,FALSE)*$L12,0)+IF($H12&lt;&gt;0,(VLOOKUP($J12,'Allocation Factors'!$B$12:$AU$603,45,FALSE)*$H12),0)</f>
        <v>0</v>
      </c>
      <c r="BE12" s="22">
        <f ca="1">IF($L12&lt;&gt;0,VLOOKUP($N12,'Allocation Factors'!$B$12:$AU$603,46,FALSE)*$L12,0)+IF($H12&lt;&gt;0,(VLOOKUP($J12,'Allocation Factors'!$B$12:$AU$603,46,FALSE)*$H12),0)</f>
        <v>0</v>
      </c>
      <c r="BF12" s="9"/>
    </row>
    <row r="13" spans="1:58" s="99" customFormat="1" x14ac:dyDescent="0.25">
      <c r="A13" s="2">
        <f t="shared" ref="A13:A17" si="1">A12+1</f>
        <v>3</v>
      </c>
      <c r="B13" s="73" t="s">
        <v>464</v>
      </c>
      <c r="D13" s="22">
        <f ca="1">'Total ALLOCATION'!D13-'Gas Cost ALLOCATION'!D13</f>
        <v>0</v>
      </c>
      <c r="E13" s="22"/>
      <c r="F13" s="22">
        <f ca="1">'Total ALLOCATION'!F13-'Gas Cost ALLOCATION'!F13</f>
        <v>0</v>
      </c>
      <c r="G13" s="97"/>
      <c r="H13" s="97"/>
      <c r="I13" s="97"/>
      <c r="J13" s="28"/>
      <c r="K13" s="97"/>
      <c r="L13" s="22">
        <f t="shared" ca="1" si="0"/>
        <v>0</v>
      </c>
      <c r="M13" s="97"/>
      <c r="N13" s="28" t="str">
        <f>'Total ALLOCATION'!N13</f>
        <v>NETFROMSTOR</v>
      </c>
      <c r="O13" s="97"/>
      <c r="P13" s="22">
        <f ca="1">IF($L13&lt;&gt;0,VLOOKUP($N13,'Allocation Factors'!$B$12:$AU$603,5,FALSE)*$L13,0)+IF($H13&lt;&gt;0,(VLOOKUP($J13,'Allocation Factors'!$B$12:$AU$603,5,FALSE)*$H13),0)</f>
        <v>0</v>
      </c>
      <c r="Q13" s="22">
        <f ca="1">IF($L13&lt;&gt;0,VLOOKUP($N13,'Allocation Factors'!$B$12:$AU$603,6,FALSE)*$L13,0)+IF($H13&lt;&gt;0,(VLOOKUP($J13,'Allocation Factors'!$B$12:$AU$603,6,FALSE)*$H13),0)</f>
        <v>0</v>
      </c>
      <c r="R13" s="22">
        <f ca="1">IF($L13&lt;&gt;0,VLOOKUP($N13,'Allocation Factors'!$B$12:$AU$603,7,FALSE)*$L13,0)+IF($H13&lt;&gt;0,(VLOOKUP($J13,'Allocation Factors'!$B$12:$AU$603,7,FALSE)*$H13),0)</f>
        <v>0</v>
      </c>
      <c r="S13" s="22">
        <f ca="1">IF($L13&lt;&gt;0,VLOOKUP($N13,'Allocation Factors'!$B$12:$AU$603,8,FALSE)*$L13,0)+IF($H13&lt;&gt;0,(VLOOKUP($J13,'Allocation Factors'!$B$12:$AU$603,8,FALSE)*$H13),0)</f>
        <v>0</v>
      </c>
      <c r="T13" s="22">
        <f ca="1">IF($L13&lt;&gt;0,VLOOKUP($N13,'Allocation Factors'!$B$12:$AU$603,9,FALSE)*$L13,0)+IF($H13&lt;&gt;0,(VLOOKUP($J13,'Allocation Factors'!$B$12:$AU$603,9,FALSE)*$H13),0)</f>
        <v>0</v>
      </c>
      <c r="U13" s="22">
        <f ca="1">IF($L13&lt;&gt;0,VLOOKUP($N13,'Allocation Factors'!$B$12:$AU$603,10,FALSE)*$L13,0)+IF($H13&lt;&gt;0,(VLOOKUP($J13,'Allocation Factors'!$B$12:$AU$603,10,FALSE)*$H13),0)</f>
        <v>0</v>
      </c>
      <c r="V13" s="22">
        <f ca="1">IF($L13&lt;&gt;0,VLOOKUP($N13,'Allocation Factors'!$B$12:$AU$603,11,FALSE)*$L13,0)+IF($H13&lt;&gt;0,(VLOOKUP($J13,'Allocation Factors'!$B$12:$AU$603,11,FALSE)*$H13),0)</f>
        <v>0</v>
      </c>
      <c r="W13" s="22">
        <f ca="1">IF($L13&lt;&gt;0,VLOOKUP($N13,'Allocation Factors'!$B$12:$AU$603,12,FALSE)*$L13,0)+IF($H13&lt;&gt;0,(VLOOKUP($J13,'Allocation Factors'!$B$12:$AU$603,12,FALSE)*$H13),0)</f>
        <v>0</v>
      </c>
      <c r="X13" s="22">
        <f ca="1">IF($L13&lt;&gt;0,VLOOKUP($N13,'Allocation Factors'!$B$12:$AU$603,13,FALSE)*$L13,0)+IF($H13&lt;&gt;0,(VLOOKUP($J13,'Allocation Factors'!$B$12:$AU$603,13,FALSE)*$H13),0)</f>
        <v>0</v>
      </c>
      <c r="Y13" s="22">
        <f ca="1">IF($L13&lt;&gt;0,VLOOKUP($N13,'Allocation Factors'!$B$12:$AU$603,14,FALSE)*$L13,0)+IF($H13&lt;&gt;0,(VLOOKUP($J13,'Allocation Factors'!$B$12:$AU$603,14,FALSE)*$H13),0)</f>
        <v>0</v>
      </c>
      <c r="Z13" s="22">
        <f ca="1">IF($L13&lt;&gt;0,VLOOKUP($N13,'Allocation Factors'!$B$12:$AU$603,15,FALSE)*$L13,0)+IF($H13&lt;&gt;0,(VLOOKUP($J13,'Allocation Factors'!$B$12:$AU$603,15,FALSE)*$H13),0)</f>
        <v>0</v>
      </c>
      <c r="AA13" s="22">
        <f ca="1">IF($L13&lt;&gt;0,VLOOKUP($N13,'Allocation Factors'!$B$12:$AU$603,16,FALSE)*$L13,0)+IF($H13&lt;&gt;0,(VLOOKUP($J13,'Allocation Factors'!$B$12:$AU$603,16,FALSE)*$H13),0)</f>
        <v>0</v>
      </c>
      <c r="AB13" s="22">
        <f ca="1">IF($L13&lt;&gt;0,VLOOKUP($N13,'Allocation Factors'!$B$12:$AU$603,17,FALSE)*$L13,0)+IF($H13&lt;&gt;0,(VLOOKUP($J13,'Allocation Factors'!$B$12:$AU$603,17,FALSE)*$H13),0)</f>
        <v>0</v>
      </c>
      <c r="AC13" s="22">
        <f ca="1">IF($L13&lt;&gt;0,VLOOKUP($N13,'Allocation Factors'!$B$12:$AU$603,18,FALSE)*$L13,0)+IF($H13&lt;&gt;0,(VLOOKUP($J13,'Allocation Factors'!$B$12:$AU$603,18,FALSE)*$H13),0)</f>
        <v>0</v>
      </c>
      <c r="AD13" s="22">
        <f ca="1">IF($L13&lt;&gt;0,VLOOKUP($N13,'Allocation Factors'!$B$12:$AU$603,19,FALSE)*$L13,0)+IF($H13&lt;&gt;0,(VLOOKUP($J13,'Allocation Factors'!$B$12:$AU$603,19,FALSE)*$H13),0)</f>
        <v>0</v>
      </c>
      <c r="AE13" s="22">
        <f ca="1">IF($L13&lt;&gt;0,VLOOKUP($N13,'Allocation Factors'!$B$12:$AU$603,20,FALSE)*$L13,0)+IF($H13&lt;&gt;0,(VLOOKUP($J13,'Allocation Factors'!$B$12:$AU$603,20,FALSE)*$H13),0)</f>
        <v>0</v>
      </c>
      <c r="AF13" s="22">
        <f ca="1">IF($L13&lt;&gt;0,VLOOKUP($N13,'Allocation Factors'!$B$12:$AU$603,21,FALSE)*$L13,0)+IF($H13&lt;&gt;0,(VLOOKUP($J13,'Allocation Factors'!$B$12:$AU$603,21,FALSE)*$H13),0)</f>
        <v>0</v>
      </c>
      <c r="AG13" s="22">
        <f ca="1">IF($L13&lt;&gt;0,VLOOKUP($N13,'Allocation Factors'!$B$12:$AU$603,22,FALSE)*$L13,0)+IF($H13&lt;&gt;0,(VLOOKUP($J13,'Allocation Factors'!$B$12:$AU$603,22,FALSE)*$H13),0)</f>
        <v>0</v>
      </c>
      <c r="AH13" s="22">
        <f ca="1">IF($L13&lt;&gt;0,VLOOKUP($N13,'Allocation Factors'!$B$12:$AU$603,23,FALSE)*$L13,0)+IF($H13&lt;&gt;0,(VLOOKUP($J13,'Allocation Factors'!$B$12:$AU$603,23,FALSE)*$H13),0)</f>
        <v>0</v>
      </c>
      <c r="AI13" s="22">
        <f ca="1">IF($L13&lt;&gt;0,VLOOKUP($N13,'Allocation Factors'!$B$12:$AU$603,24,FALSE)*$L13,0)+IF($H13&lt;&gt;0,(VLOOKUP($J13,'Allocation Factors'!$B$12:$AU$603,24,FALSE)*$H13),0)</f>
        <v>0</v>
      </c>
      <c r="AJ13" s="22">
        <f ca="1">IF($L13&lt;&gt;0,VLOOKUP($N13,'Allocation Factors'!$B$12:$AU$603,25,FALSE)*$L13,0)+IF($H13&lt;&gt;0,(VLOOKUP($J13,'Allocation Factors'!$B$12:$AU$603,25,FALSE)*$H13),0)</f>
        <v>0</v>
      </c>
      <c r="AK13" s="22">
        <f ca="1">IF($L13&lt;&gt;0,VLOOKUP($N13,'Allocation Factors'!$B$12:$AU$603,26,FALSE)*$L13,0)+IF($H13&lt;&gt;0,(VLOOKUP($J13,'Allocation Factors'!$B$12:$AU$603,26,FALSE)*$H13),0)</f>
        <v>0</v>
      </c>
      <c r="AL13" s="22">
        <f ca="1">IF($L13&lt;&gt;0,VLOOKUP($N13,'Allocation Factors'!$B$12:$AU$603,27,FALSE)*$L13,0)+IF($H13&lt;&gt;0,(VLOOKUP($J13,'Allocation Factors'!$B$12:$AU$603,27,FALSE)*$H13),0)</f>
        <v>0</v>
      </c>
      <c r="AM13" s="22">
        <f ca="1">IF($L13&lt;&gt;0,VLOOKUP($N13,'Allocation Factors'!$B$12:$AU$603,28,FALSE)*$L13,0)+IF($H13&lt;&gt;0,(VLOOKUP($J13,'Allocation Factors'!$B$12:$AU$603,28,FALSE)*$H13),0)</f>
        <v>0</v>
      </c>
      <c r="AN13" s="22">
        <f ca="1">IF($L13&lt;&gt;0,VLOOKUP($N13,'Allocation Factors'!$B$12:$AU$603,29,FALSE)*$L13,0)+IF($H13&lt;&gt;0,(VLOOKUP($J13,'Allocation Factors'!$B$12:$AU$603,29,FALSE)*$H13),0)</f>
        <v>0</v>
      </c>
      <c r="AO13" s="22">
        <f ca="1">IF($L13&lt;&gt;0,VLOOKUP($N13,'Allocation Factors'!$B$12:$AU$603,30,FALSE)*$L13,0)+IF($H13&lt;&gt;0,(VLOOKUP($J13,'Allocation Factors'!$B$12:$AU$603,30,FALSE)*$H13),0)</f>
        <v>0</v>
      </c>
      <c r="AP13" s="22">
        <f ca="1">IF($L13&lt;&gt;0,VLOOKUP($N13,'Allocation Factors'!$B$12:$AU$603,31,FALSE)*$L13,0)+IF($H13&lt;&gt;0,(VLOOKUP($J13,'Allocation Factors'!$B$12:$AU$603,31,FALSE)*$H13),0)</f>
        <v>0</v>
      </c>
      <c r="AQ13" s="22">
        <f ca="1">IF($L13&lt;&gt;0,VLOOKUP($N13,'Allocation Factors'!$B$12:$AU$603,32,FALSE)*$L13,0)+IF($H13&lt;&gt;0,(VLOOKUP($J13,'Allocation Factors'!$B$12:$AU$603,32,FALSE)*$H13),0)</f>
        <v>0</v>
      </c>
      <c r="AR13" s="22">
        <f ca="1">IF($L13&lt;&gt;0,VLOOKUP($N13,'Allocation Factors'!$B$12:$AU$603,33,FALSE)*$L13,0)+IF($H13&lt;&gt;0,(VLOOKUP($J13,'Allocation Factors'!$B$12:$AU$603,33,FALSE)*$H13),0)</f>
        <v>0</v>
      </c>
      <c r="AS13" s="22">
        <f ca="1">IF($L13&lt;&gt;0,VLOOKUP($N13,'Allocation Factors'!$B$12:$AU$603,34,FALSE)*$L13,0)+IF($H13&lt;&gt;0,(VLOOKUP($J13,'Allocation Factors'!$B$12:$AU$603,34,FALSE)*$H13),0)</f>
        <v>0</v>
      </c>
      <c r="AT13" s="22">
        <f ca="1">IF($L13&lt;&gt;0,VLOOKUP($N13,'Allocation Factors'!$B$12:$AU$603,35,FALSE)*$L13,0)+IF($H13&lt;&gt;0,(VLOOKUP($J13,'Allocation Factors'!$B$12:$AU$603,35,FALSE)*$H13),0)</f>
        <v>0</v>
      </c>
      <c r="AU13" s="22">
        <f ca="1">IF($L13&lt;&gt;0,VLOOKUP($N13,'Allocation Factors'!$B$12:$AU$603,36,FALSE)*$L13,0)+IF($H13&lt;&gt;0,(VLOOKUP($J13,'Allocation Factors'!$B$12:$AU$603,36,FALSE)*$H13),0)</f>
        <v>0</v>
      </c>
      <c r="AV13" s="22">
        <f ca="1">IF($L13&lt;&gt;0,VLOOKUP($N13,'Allocation Factors'!$B$12:$AU$603,37,FALSE)*$L13,0)+IF($H13&lt;&gt;0,(VLOOKUP($J13,'Allocation Factors'!$B$12:$AU$603,37,FALSE)*$H13),0)</f>
        <v>0</v>
      </c>
      <c r="AW13" s="22">
        <f ca="1">IF($L13&lt;&gt;0,VLOOKUP($N13,'Allocation Factors'!$B$12:$AU$603,38,FALSE)*$L13,0)+IF($H13&lt;&gt;0,(VLOOKUP($J13,'Allocation Factors'!$B$12:$AU$603,38,FALSE)*$H13),0)</f>
        <v>0</v>
      </c>
      <c r="AX13" s="22">
        <f ca="1">IF($L13&lt;&gt;0,VLOOKUP($N13,'Allocation Factors'!$B$12:$AU$603,39,FALSE)*$L13,0)+IF($H13&lt;&gt;0,(VLOOKUP($J13,'Allocation Factors'!$B$12:$AU$603,39,FALSE)*$H13),0)</f>
        <v>0</v>
      </c>
      <c r="AY13" s="22">
        <f ca="1">IF($L13&lt;&gt;0,VLOOKUP($N13,'Allocation Factors'!$B$12:$AU$603,40,FALSE)*$L13,0)+IF($H13&lt;&gt;0,(VLOOKUP($J13,'Allocation Factors'!$B$12:$AU$603,40,FALSE)*$H13),0)</f>
        <v>0</v>
      </c>
      <c r="AZ13" s="22">
        <f ca="1">IF($L13&lt;&gt;0,VLOOKUP($N13,'Allocation Factors'!$B$12:$AU$603,41,FALSE)*$L13,0)+IF($H13&lt;&gt;0,(VLOOKUP($J13,'Allocation Factors'!$B$12:$AU$603,41,FALSE)*$H13),0)</f>
        <v>0</v>
      </c>
      <c r="BA13" s="22">
        <f ca="1">IF($L13&lt;&gt;0,VLOOKUP($N13,'Allocation Factors'!$B$12:$AU$603,42,FALSE)*$L13,0)+IF($H13&lt;&gt;0,(VLOOKUP($J13,'Allocation Factors'!$B$12:$AU$603,42,FALSE)*$H13),0)</f>
        <v>0</v>
      </c>
      <c r="BB13" s="22">
        <f ca="1">IF($L13&lt;&gt;0,VLOOKUP($N13,'Allocation Factors'!$B$12:$AU$603,43,FALSE)*$L13,0)+IF($H13&lt;&gt;0,(VLOOKUP($J13,'Allocation Factors'!$B$12:$AU$603,43,FALSE)*$H13),0)</f>
        <v>0</v>
      </c>
      <c r="BC13" s="22">
        <f ca="1">IF($L13&lt;&gt;0,VLOOKUP($N13,'Allocation Factors'!$B$12:$AU$603,44,FALSE)*$L13,0)+IF($H13&lt;&gt;0,(VLOOKUP($J13,'Allocation Factors'!$B$12:$AU$603,44,FALSE)*$H13),0)</f>
        <v>0</v>
      </c>
      <c r="BD13" s="22">
        <f ca="1">IF($L13&lt;&gt;0,VLOOKUP($N13,'Allocation Factors'!$B$12:$AU$603,45,FALSE)*$L13,0)+IF($H13&lt;&gt;0,(VLOOKUP($J13,'Allocation Factors'!$B$12:$AU$603,45,FALSE)*$H13),0)</f>
        <v>0</v>
      </c>
      <c r="BE13" s="22">
        <f ca="1">IF($L13&lt;&gt;0,VLOOKUP($N13,'Allocation Factors'!$B$12:$AU$603,46,FALSE)*$L13,0)+IF($H13&lt;&gt;0,(VLOOKUP($J13,'Allocation Factors'!$B$12:$AU$603,46,FALSE)*$H13),0)</f>
        <v>0</v>
      </c>
      <c r="BF13" s="100"/>
    </row>
    <row r="14" spans="1:58" x14ac:dyDescent="0.25">
      <c r="A14" s="2">
        <f t="shared" si="1"/>
        <v>4</v>
      </c>
      <c r="B14" s="73" t="s">
        <v>138</v>
      </c>
      <c r="D14" s="22">
        <f ca="1">'Total ALLOCATION'!D14-'Gas Cost ALLOCATION'!D14</f>
        <v>0</v>
      </c>
      <c r="E14" s="22"/>
      <c r="F14" s="22">
        <f ca="1">'Total ALLOCATION'!F14-'Gas Cost ALLOCATION'!F14</f>
        <v>-7368.5151634722424</v>
      </c>
      <c r="H14" s="23">
        <f ca="1">F14-D14</f>
        <v>-7368.5151634722424</v>
      </c>
      <c r="J14" s="28" t="str">
        <f>+'Total ALLOCATION'!J14</f>
        <v>TRANSPT_DEMAND_OPT</v>
      </c>
      <c r="L14" s="22">
        <f t="shared" ca="1" si="0"/>
        <v>0</v>
      </c>
      <c r="N14" s="28" t="str">
        <f>'Total ALLOCATION'!N14</f>
        <v>TRANS_DEMAND</v>
      </c>
      <c r="P14" s="22">
        <f ca="1">IF($L14&lt;&gt;0,VLOOKUP($N14,'Allocation Factors'!$B$12:$AU$603,5,FALSE)*$L14,0)+IF($H14&lt;&gt;0,(VLOOKUP($J14,'Allocation Factors'!$B$12:$AU$603,5,FALSE)*$H14),0)</f>
        <v>-1886.6577500672288</v>
      </c>
      <c r="Q14" s="22">
        <f ca="1">IF($L14&lt;&gt;0,VLOOKUP($N14,'Allocation Factors'!$B$12:$AU$603,6,FALSE)*$L14,0)+IF($H14&lt;&gt;0,(VLOOKUP($J14,'Allocation Factors'!$B$12:$AU$603,6,FALSE)*$H14),0)</f>
        <v>-1809.1948919779502</v>
      </c>
      <c r="R14" s="22">
        <f ca="1">IF($L14&lt;&gt;0,VLOOKUP($N14,'Allocation Factors'!$B$12:$AU$603,7,FALSE)*$L14,0)+IF($H14&lt;&gt;0,(VLOOKUP($J14,'Allocation Factors'!$B$12:$AU$603,7,FALSE)*$H14),0)</f>
        <v>0</v>
      </c>
      <c r="S14" s="22">
        <f ca="1">IF($L14&lt;&gt;0,VLOOKUP($N14,'Allocation Factors'!$B$12:$AU$603,8,FALSE)*$L14,0)+IF($H14&lt;&gt;0,(VLOOKUP($J14,'Allocation Factors'!$B$12:$AU$603,8,FALSE)*$H14),0)</f>
        <v>-10.347758471711291</v>
      </c>
      <c r="T14" s="22">
        <f ca="1">IF($L14&lt;&gt;0,VLOOKUP($N14,'Allocation Factors'!$B$12:$AU$603,9,FALSE)*$L14,0)+IF($H14&lt;&gt;0,(VLOOKUP($J14,'Allocation Factors'!$B$12:$AU$603,9,FALSE)*$H14),0)</f>
        <v>-403.01342623743017</v>
      </c>
      <c r="U14" s="22">
        <f ca="1">IF($L14&lt;&gt;0,VLOOKUP($N14,'Allocation Factors'!$B$12:$AU$603,10,FALSE)*$L14,0)+IF($H14&lt;&gt;0,(VLOOKUP($J14,'Allocation Factors'!$B$12:$AU$603,10,FALSE)*$H14),0)</f>
        <v>-144.06312934275209</v>
      </c>
      <c r="V14" s="22">
        <f ca="1">IF($L14&lt;&gt;0,VLOOKUP($N14,'Allocation Factors'!$B$12:$AU$603,11,FALSE)*$L14,0)+IF($H14&lt;&gt;0,(VLOOKUP($J14,'Allocation Factors'!$B$12:$AU$603,11,FALSE)*$H14),0)</f>
        <v>0</v>
      </c>
      <c r="W14" s="22">
        <f ca="1">IF($L14&lt;&gt;0,VLOOKUP($N14,'Allocation Factors'!$B$12:$AU$603,12,FALSE)*$L14,0)+IF($H14&lt;&gt;0,(VLOOKUP($J14,'Allocation Factors'!$B$12:$AU$603,12,FALSE)*$H14),0)</f>
        <v>-19.861105920575159</v>
      </c>
      <c r="X14" s="22">
        <f ca="1">IF($L14&lt;&gt;0,VLOOKUP($N14,'Allocation Factors'!$B$12:$AU$603,13,FALSE)*$L14,0)+IF($H14&lt;&gt;0,(VLOOKUP($J14,'Allocation Factors'!$B$12:$AU$603,13,FALSE)*$H14),0)</f>
        <v>-5.9280426586213393</v>
      </c>
      <c r="Y14" s="22">
        <f ca="1">IF($L14&lt;&gt;0,VLOOKUP($N14,'Allocation Factors'!$B$12:$AU$603,14,FALSE)*$L14,0)+IF($H14&lt;&gt;0,(VLOOKUP($J14,'Allocation Factors'!$B$12:$AU$603,14,FALSE)*$H14),0)</f>
        <v>-121.9487924346745</v>
      </c>
      <c r="Z14" s="22">
        <f ca="1">IF($L14&lt;&gt;0,VLOOKUP($N14,'Allocation Factors'!$B$12:$AU$603,15,FALSE)*$L14,0)+IF($H14&lt;&gt;0,(VLOOKUP($J14,'Allocation Factors'!$B$12:$AU$603,15,FALSE)*$H14),0)</f>
        <v>-71.245225544134968</v>
      </c>
      <c r="AA14" s="22">
        <f ca="1">IF($L14&lt;&gt;0,VLOOKUP($N14,'Allocation Factors'!$B$12:$AU$603,16,FALSE)*$L14,0)+IF($H14&lt;&gt;0,(VLOOKUP($J14,'Allocation Factors'!$B$12:$AU$603,16,FALSE)*$H14),0)</f>
        <v>0</v>
      </c>
      <c r="AB14" s="22">
        <f ca="1">IF($L14&lt;&gt;0,VLOOKUP($N14,'Allocation Factors'!$B$12:$AU$603,17,FALSE)*$L14,0)+IF($H14&lt;&gt;0,(VLOOKUP($J14,'Allocation Factors'!$B$12:$AU$603,17,FALSE)*$H14),0)</f>
        <v>-11.260814688494872</v>
      </c>
      <c r="AC14" s="22">
        <f ca="1">IF($L14&lt;&gt;0,VLOOKUP($N14,'Allocation Factors'!$B$12:$AU$603,18,FALSE)*$L14,0)+IF($H14&lt;&gt;0,(VLOOKUP($J14,'Allocation Factors'!$B$12:$AU$603,18,FALSE)*$H14),0)</f>
        <v>-373.10602977418108</v>
      </c>
      <c r="AD14" s="22">
        <f ca="1">IF($L14&lt;&gt;0,VLOOKUP($N14,'Allocation Factors'!$B$12:$AU$603,19,FALSE)*$L14,0)+IF($H14&lt;&gt;0,(VLOOKUP($J14,'Allocation Factors'!$B$12:$AU$603,19,FALSE)*$H14),0)</f>
        <v>-122.26545910295191</v>
      </c>
      <c r="AE14" s="22">
        <f ca="1">IF($L14&lt;&gt;0,VLOOKUP($N14,'Allocation Factors'!$B$12:$AU$603,20,FALSE)*$L14,0)+IF($H14&lt;&gt;0,(VLOOKUP($J14,'Allocation Factors'!$B$12:$AU$603,20,FALSE)*$H14),0)</f>
        <v>-51.051866269954537</v>
      </c>
      <c r="AF14" s="22">
        <f ca="1">IF($L14&lt;&gt;0,VLOOKUP($N14,'Allocation Factors'!$B$12:$AU$603,21,FALSE)*$L14,0)+IF($H14&lt;&gt;0,(VLOOKUP($J14,'Allocation Factors'!$B$12:$AU$603,21,FALSE)*$H14),0)</f>
        <v>-2.1513883321357223</v>
      </c>
      <c r="AG14" s="22">
        <f ca="1">IF($L14&lt;&gt;0,VLOOKUP($N14,'Allocation Factors'!$B$12:$AU$603,22,FALSE)*$L14,0)+IF($H14&lt;&gt;0,(VLOOKUP($J14,'Allocation Factors'!$B$12:$AU$603,22,FALSE)*$H14),0)</f>
        <v>0</v>
      </c>
      <c r="AH14" s="22">
        <f ca="1">IF($L14&lt;&gt;0,VLOOKUP($N14,'Allocation Factors'!$B$12:$AU$603,23,FALSE)*$L14,0)+IF($H14&lt;&gt;0,(VLOOKUP($J14,'Allocation Factors'!$B$12:$AU$603,23,FALSE)*$H14),0)</f>
        <v>-1228.0118803454718</v>
      </c>
      <c r="AI14" s="22">
        <f ca="1">IF($L14&lt;&gt;0,VLOOKUP($N14,'Allocation Factors'!$B$12:$AU$603,24,FALSE)*$L14,0)+IF($H14&lt;&gt;0,(VLOOKUP($J14,'Allocation Factors'!$B$12:$AU$603,24,FALSE)*$H14),0)</f>
        <v>-497.7401318087613</v>
      </c>
      <c r="AJ14" s="22">
        <f ca="1">IF($L14&lt;&gt;0,VLOOKUP($N14,'Allocation Factors'!$B$12:$AU$603,25,FALSE)*$L14,0)+IF($H14&lt;&gt;0,(VLOOKUP($J14,'Allocation Factors'!$B$12:$AU$603,25,FALSE)*$H14),0)</f>
        <v>-223.96117884923157</v>
      </c>
      <c r="AK14" s="22">
        <f ca="1">IF($L14&lt;&gt;0,VLOOKUP($N14,'Allocation Factors'!$B$12:$AU$603,26,FALSE)*$L14,0)+IF($H14&lt;&gt;0,(VLOOKUP($J14,'Allocation Factors'!$B$12:$AU$603,26,FALSE)*$H14),0)</f>
        <v>-8.9790108150655315E-2</v>
      </c>
      <c r="AL14" s="22">
        <f ca="1">IF($L14&lt;&gt;0,VLOOKUP($N14,'Allocation Factors'!$B$12:$AU$603,27,FALSE)*$L14,0)+IF($H14&lt;&gt;0,(VLOOKUP($J14,'Allocation Factors'!$B$12:$AU$603,27,FALSE)*$H14),0)</f>
        <v>-1.6621353076394283</v>
      </c>
      <c r="AM14" s="22">
        <f ca="1">IF($L14&lt;&gt;0,VLOOKUP($N14,'Allocation Factors'!$B$12:$AU$603,28,FALSE)*$L14,0)+IF($H14&lt;&gt;0,(VLOOKUP($J14,'Allocation Factors'!$B$12:$AU$603,28,FALSE)*$H14),0)</f>
        <v>-20.781804439825141</v>
      </c>
      <c r="AN14" s="22">
        <f ca="1">IF($L14&lt;&gt;0,VLOOKUP($N14,'Allocation Factors'!$B$12:$AU$603,29,FALSE)*$L14,0)+IF($H14&lt;&gt;0,(VLOOKUP($J14,'Allocation Factors'!$B$12:$AU$603,29,FALSE)*$H14),0)</f>
        <v>-269.26044053517296</v>
      </c>
      <c r="AO14" s="22">
        <f ca="1">IF($L14&lt;&gt;0,VLOOKUP($N14,'Allocation Factors'!$B$12:$AU$603,30,FALSE)*$L14,0)+IF($H14&lt;&gt;0,(VLOOKUP($J14,'Allocation Factors'!$B$12:$AU$603,30,FALSE)*$H14),0)</f>
        <v>-28.670941809379201</v>
      </c>
      <c r="AP14" s="22">
        <f ca="1">IF($L14&lt;&gt;0,VLOOKUP($N14,'Allocation Factors'!$B$12:$AU$603,31,FALSE)*$L14,0)+IF($H14&lt;&gt;0,(VLOOKUP($J14,'Allocation Factors'!$B$12:$AU$603,31,FALSE)*$H14),0)</f>
        <v>-33.98056752693725</v>
      </c>
      <c r="AQ14" s="22">
        <f ca="1">IF($L14&lt;&gt;0,VLOOKUP($N14,'Allocation Factors'!$B$12:$AU$603,32,FALSE)*$L14,0)+IF($H14&lt;&gt;0,(VLOOKUP($J14,'Allocation Factors'!$B$12:$AU$603,32,FALSE)*$H14),0)</f>
        <v>0</v>
      </c>
      <c r="AR14" s="22">
        <f ca="1">IF($L14&lt;&gt;0,VLOOKUP($N14,'Allocation Factors'!$B$12:$AU$603,33,FALSE)*$L14,0)+IF($H14&lt;&gt;0,(VLOOKUP($J14,'Allocation Factors'!$B$12:$AU$603,33,FALSE)*$H14),0)</f>
        <v>-2.2339865722541838</v>
      </c>
      <c r="AS14" s="22">
        <f ca="1">IF($L14&lt;&gt;0,VLOOKUP($N14,'Allocation Factors'!$B$12:$AU$603,34,FALSE)*$L14,0)+IF($H14&lt;&gt;0,(VLOOKUP($J14,'Allocation Factors'!$B$12:$AU$603,34,FALSE)*$H14),0)</f>
        <v>-0.21295988635624297</v>
      </c>
      <c r="AT14" s="22">
        <f ca="1">IF($L14&lt;&gt;0,VLOOKUP($N14,'Allocation Factors'!$B$12:$AU$603,35,FALSE)*$L14,0)+IF($H14&lt;&gt;0,(VLOOKUP($J14,'Allocation Factors'!$B$12:$AU$603,35,FALSE)*$H14),0)</f>
        <v>-28.162873242183689</v>
      </c>
      <c r="AU14" s="22">
        <f ca="1">IF($L14&lt;&gt;0,VLOOKUP($N14,'Allocation Factors'!$B$12:$AU$603,36,FALSE)*$L14,0)+IF($H14&lt;&gt;0,(VLOOKUP($J14,'Allocation Factors'!$B$12:$AU$603,36,FALSE)*$H14),0)</f>
        <v>-0.23694044266709341</v>
      </c>
      <c r="AV14" s="22">
        <f ca="1">IF($L14&lt;&gt;0,VLOOKUP($N14,'Allocation Factors'!$B$12:$AU$603,37,FALSE)*$L14,0)+IF($H14&lt;&gt;0,(VLOOKUP($J14,'Allocation Factors'!$B$12:$AU$603,37,FALSE)*$H14),0)</f>
        <v>-1.4138517754150399</v>
      </c>
      <c r="AW14" s="22">
        <f ca="1">IF($L14&lt;&gt;0,VLOOKUP($N14,'Allocation Factors'!$B$12:$AU$603,38,FALSE)*$L14,0)+IF($H14&lt;&gt;0,(VLOOKUP($J14,'Allocation Factors'!$B$12:$AU$603,38,FALSE)*$H14),0)</f>
        <v>0</v>
      </c>
      <c r="AX14" s="22">
        <f ca="1">IF($L14&lt;&gt;0,VLOOKUP($N14,'Allocation Factors'!$B$12:$AU$603,39,FALSE)*$L14,0)+IF($H14&lt;&gt;0,(VLOOKUP($J14,'Allocation Factors'!$B$12:$AU$603,39,FALSE)*$H14),0)</f>
        <v>0</v>
      </c>
      <c r="AY14" s="22">
        <f ca="1">IF($L14&lt;&gt;0,VLOOKUP($N14,'Allocation Factors'!$B$12:$AU$603,40,FALSE)*$L14,0)+IF($H14&lt;&gt;0,(VLOOKUP($J14,'Allocation Factors'!$B$12:$AU$603,40,FALSE)*$H14),0)</f>
        <v>0</v>
      </c>
      <c r="AZ14" s="22">
        <f ca="1">IF($L14&lt;&gt;0,VLOOKUP($N14,'Allocation Factors'!$B$12:$AU$603,41,FALSE)*$L14,0)+IF($H14&lt;&gt;0,(VLOOKUP($J14,'Allocation Factors'!$B$12:$AU$603,41,FALSE)*$H14),0)</f>
        <v>0</v>
      </c>
      <c r="BA14" s="22">
        <f ca="1">IF($L14&lt;&gt;0,VLOOKUP($N14,'Allocation Factors'!$B$12:$AU$603,42,FALSE)*$L14,0)+IF($H14&lt;&gt;0,(VLOOKUP($J14,'Allocation Factors'!$B$12:$AU$603,42,FALSE)*$H14),0)</f>
        <v>0</v>
      </c>
      <c r="BB14" s="22">
        <f ca="1">IF($L14&lt;&gt;0,VLOOKUP($N14,'Allocation Factors'!$B$12:$AU$603,43,FALSE)*$L14,0)+IF($H14&lt;&gt;0,(VLOOKUP($J14,'Allocation Factors'!$B$12:$AU$603,43,FALSE)*$H14),0)</f>
        <v>0</v>
      </c>
      <c r="BC14" s="22">
        <f ca="1">IF($L14&lt;&gt;0,VLOOKUP($N14,'Allocation Factors'!$B$12:$AU$603,44,FALSE)*$L14,0)+IF($H14&lt;&gt;0,(VLOOKUP($J14,'Allocation Factors'!$B$12:$AU$603,44,FALSE)*$H14),0)</f>
        <v>0</v>
      </c>
      <c r="BD14" s="22">
        <f ca="1">IF($L14&lt;&gt;0,VLOOKUP($N14,'Allocation Factors'!$B$12:$AU$603,45,FALSE)*$L14,0)+IF($H14&lt;&gt;0,(VLOOKUP($J14,'Allocation Factors'!$B$12:$AU$603,45,FALSE)*$H14),0)</f>
        <v>0</v>
      </c>
      <c r="BE14" s="22">
        <f ca="1">IF($L14&lt;&gt;0,VLOOKUP($N14,'Allocation Factors'!$B$12:$AU$603,46,FALSE)*$L14,0)+IF($H14&lt;&gt;0,(VLOOKUP($J14,'Allocation Factors'!$B$12:$AU$603,46,FALSE)*$H14),0)</f>
        <v>0</v>
      </c>
      <c r="BF14" s="9"/>
    </row>
    <row r="15" spans="1:58" x14ac:dyDescent="0.25">
      <c r="A15" s="2">
        <f t="shared" si="1"/>
        <v>5</v>
      </c>
      <c r="B15" s="73" t="s">
        <v>156</v>
      </c>
      <c r="D15" s="22">
        <f ca="1">'Total ALLOCATION'!D15-'Gas Cost ALLOCATION'!D15</f>
        <v>0</v>
      </c>
      <c r="E15" s="22"/>
      <c r="F15" s="22">
        <f ca="1">'Total ALLOCATION'!F15-'Gas Cost ALLOCATION'!F15</f>
        <v>0</v>
      </c>
      <c r="L15" s="22">
        <f t="shared" ca="1" si="0"/>
        <v>0</v>
      </c>
      <c r="N15" s="28" t="str">
        <f>'Total ALLOCATION'!N15</f>
        <v>TRANS_FUEL</v>
      </c>
      <c r="P15" s="22">
        <f ca="1">IF($L15&lt;&gt;0,VLOOKUP($N15,'Allocation Factors'!$B$12:$AU$603,5,FALSE)*$L15,0)+IF($H15&lt;&gt;0,(VLOOKUP($J15,'Allocation Factors'!$B$12:$AU$603,5,FALSE)*$H15),0)</f>
        <v>0</v>
      </c>
      <c r="Q15" s="22">
        <f ca="1">IF($L15&lt;&gt;0,VLOOKUP($N15,'Allocation Factors'!$B$12:$AU$603,6,FALSE)*$L15,0)+IF($H15&lt;&gt;0,(VLOOKUP($J15,'Allocation Factors'!$B$12:$AU$603,6,FALSE)*$H15),0)</f>
        <v>0</v>
      </c>
      <c r="R15" s="22">
        <f ca="1">IF($L15&lt;&gt;0,VLOOKUP($N15,'Allocation Factors'!$B$12:$AU$603,7,FALSE)*$L15,0)+IF($H15&lt;&gt;0,(VLOOKUP($J15,'Allocation Factors'!$B$12:$AU$603,7,FALSE)*$H15),0)</f>
        <v>0</v>
      </c>
      <c r="S15" s="22">
        <f ca="1">IF($L15&lt;&gt;0,VLOOKUP($N15,'Allocation Factors'!$B$12:$AU$603,8,FALSE)*$L15,0)+IF($H15&lt;&gt;0,(VLOOKUP($J15,'Allocation Factors'!$B$12:$AU$603,8,FALSE)*$H15),0)</f>
        <v>0</v>
      </c>
      <c r="T15" s="22">
        <f ca="1">IF($L15&lt;&gt;0,VLOOKUP($N15,'Allocation Factors'!$B$12:$AU$603,9,FALSE)*$L15,0)+IF($H15&lt;&gt;0,(VLOOKUP($J15,'Allocation Factors'!$B$12:$AU$603,9,FALSE)*$H15),0)</f>
        <v>0</v>
      </c>
      <c r="U15" s="22">
        <f ca="1">IF($L15&lt;&gt;0,VLOOKUP($N15,'Allocation Factors'!$B$12:$AU$603,10,FALSE)*$L15,0)+IF($H15&lt;&gt;0,(VLOOKUP($J15,'Allocation Factors'!$B$12:$AU$603,10,FALSE)*$H15),0)</f>
        <v>0</v>
      </c>
      <c r="V15" s="22">
        <f ca="1">IF($L15&lt;&gt;0,VLOOKUP($N15,'Allocation Factors'!$B$12:$AU$603,11,FALSE)*$L15,0)+IF($H15&lt;&gt;0,(VLOOKUP($J15,'Allocation Factors'!$B$12:$AU$603,11,FALSE)*$H15),0)</f>
        <v>0</v>
      </c>
      <c r="W15" s="22">
        <f ca="1">IF($L15&lt;&gt;0,VLOOKUP($N15,'Allocation Factors'!$B$12:$AU$603,12,FALSE)*$L15,0)+IF($H15&lt;&gt;0,(VLOOKUP($J15,'Allocation Factors'!$B$12:$AU$603,12,FALSE)*$H15),0)</f>
        <v>0</v>
      </c>
      <c r="X15" s="22">
        <f ca="1">IF($L15&lt;&gt;0,VLOOKUP($N15,'Allocation Factors'!$B$12:$AU$603,13,FALSE)*$L15,0)+IF($H15&lt;&gt;0,(VLOOKUP($J15,'Allocation Factors'!$B$12:$AU$603,13,FALSE)*$H15),0)</f>
        <v>0</v>
      </c>
      <c r="Y15" s="22">
        <f ca="1">IF($L15&lt;&gt;0,VLOOKUP($N15,'Allocation Factors'!$B$12:$AU$603,14,FALSE)*$L15,0)+IF($H15&lt;&gt;0,(VLOOKUP($J15,'Allocation Factors'!$B$12:$AU$603,14,FALSE)*$H15),0)</f>
        <v>0</v>
      </c>
      <c r="Z15" s="22">
        <f ca="1">IF($L15&lt;&gt;0,VLOOKUP($N15,'Allocation Factors'!$B$12:$AU$603,15,FALSE)*$L15,0)+IF($H15&lt;&gt;0,(VLOOKUP($J15,'Allocation Factors'!$B$12:$AU$603,15,FALSE)*$H15),0)</f>
        <v>0</v>
      </c>
      <c r="AA15" s="22">
        <f ca="1">IF($L15&lt;&gt;0,VLOOKUP($N15,'Allocation Factors'!$B$12:$AU$603,16,FALSE)*$L15,0)+IF($H15&lt;&gt;0,(VLOOKUP($J15,'Allocation Factors'!$B$12:$AU$603,16,FALSE)*$H15),0)</f>
        <v>0</v>
      </c>
      <c r="AB15" s="22">
        <f ca="1">IF($L15&lt;&gt;0,VLOOKUP($N15,'Allocation Factors'!$B$12:$AU$603,17,FALSE)*$L15,0)+IF($H15&lt;&gt;0,(VLOOKUP($J15,'Allocation Factors'!$B$12:$AU$603,17,FALSE)*$H15),0)</f>
        <v>0</v>
      </c>
      <c r="AC15" s="22">
        <f ca="1">IF($L15&lt;&gt;0,VLOOKUP($N15,'Allocation Factors'!$B$12:$AU$603,18,FALSE)*$L15,0)+IF($H15&lt;&gt;0,(VLOOKUP($J15,'Allocation Factors'!$B$12:$AU$603,18,FALSE)*$H15),0)</f>
        <v>0</v>
      </c>
      <c r="AD15" s="22">
        <f ca="1">IF($L15&lt;&gt;0,VLOOKUP($N15,'Allocation Factors'!$B$12:$AU$603,19,FALSE)*$L15,0)+IF($H15&lt;&gt;0,(VLOOKUP($J15,'Allocation Factors'!$B$12:$AU$603,19,FALSE)*$H15),0)</f>
        <v>0</v>
      </c>
      <c r="AE15" s="22">
        <f ca="1">IF($L15&lt;&gt;0,VLOOKUP($N15,'Allocation Factors'!$B$12:$AU$603,20,FALSE)*$L15,0)+IF($H15&lt;&gt;0,(VLOOKUP($J15,'Allocation Factors'!$B$12:$AU$603,20,FALSE)*$H15),0)</f>
        <v>0</v>
      </c>
      <c r="AF15" s="22">
        <f ca="1">IF($L15&lt;&gt;0,VLOOKUP($N15,'Allocation Factors'!$B$12:$AU$603,21,FALSE)*$L15,0)+IF($H15&lt;&gt;0,(VLOOKUP($J15,'Allocation Factors'!$B$12:$AU$603,21,FALSE)*$H15),0)</f>
        <v>0</v>
      </c>
      <c r="AG15" s="22">
        <f ca="1">IF($L15&lt;&gt;0,VLOOKUP($N15,'Allocation Factors'!$B$12:$AU$603,22,FALSE)*$L15,0)+IF($H15&lt;&gt;0,(VLOOKUP($J15,'Allocation Factors'!$B$12:$AU$603,22,FALSE)*$H15),0)</f>
        <v>0</v>
      </c>
      <c r="AH15" s="22">
        <f ca="1">IF($L15&lt;&gt;0,VLOOKUP($N15,'Allocation Factors'!$B$12:$AU$603,23,FALSE)*$L15,0)+IF($H15&lt;&gt;0,(VLOOKUP($J15,'Allocation Factors'!$B$12:$AU$603,23,FALSE)*$H15),0)</f>
        <v>0</v>
      </c>
      <c r="AI15" s="22">
        <f ca="1">IF($L15&lt;&gt;0,VLOOKUP($N15,'Allocation Factors'!$B$12:$AU$603,24,FALSE)*$L15,0)+IF($H15&lt;&gt;0,(VLOOKUP($J15,'Allocation Factors'!$B$12:$AU$603,24,FALSE)*$H15),0)</f>
        <v>0</v>
      </c>
      <c r="AJ15" s="22">
        <f ca="1">IF($L15&lt;&gt;0,VLOOKUP($N15,'Allocation Factors'!$B$12:$AU$603,25,FALSE)*$L15,0)+IF($H15&lt;&gt;0,(VLOOKUP($J15,'Allocation Factors'!$B$12:$AU$603,25,FALSE)*$H15),0)</f>
        <v>0</v>
      </c>
      <c r="AK15" s="22">
        <f ca="1">IF($L15&lt;&gt;0,VLOOKUP($N15,'Allocation Factors'!$B$12:$AU$603,26,FALSE)*$L15,0)+IF($H15&lt;&gt;0,(VLOOKUP($J15,'Allocation Factors'!$B$12:$AU$603,26,FALSE)*$H15),0)</f>
        <v>0</v>
      </c>
      <c r="AL15" s="22">
        <f ca="1">IF($L15&lt;&gt;0,VLOOKUP($N15,'Allocation Factors'!$B$12:$AU$603,27,FALSE)*$L15,0)+IF($H15&lt;&gt;0,(VLOOKUP($J15,'Allocation Factors'!$B$12:$AU$603,27,FALSE)*$H15),0)</f>
        <v>0</v>
      </c>
      <c r="AM15" s="22">
        <f ca="1">IF($L15&lt;&gt;0,VLOOKUP($N15,'Allocation Factors'!$B$12:$AU$603,28,FALSE)*$L15,0)+IF($H15&lt;&gt;0,(VLOOKUP($J15,'Allocation Factors'!$B$12:$AU$603,28,FALSE)*$H15),0)</f>
        <v>0</v>
      </c>
      <c r="AN15" s="22">
        <f ca="1">IF($L15&lt;&gt;0,VLOOKUP($N15,'Allocation Factors'!$B$12:$AU$603,29,FALSE)*$L15,0)+IF($H15&lt;&gt;0,(VLOOKUP($J15,'Allocation Factors'!$B$12:$AU$603,29,FALSE)*$H15),0)</f>
        <v>0</v>
      </c>
      <c r="AO15" s="22">
        <f ca="1">IF($L15&lt;&gt;0,VLOOKUP($N15,'Allocation Factors'!$B$12:$AU$603,30,FALSE)*$L15,0)+IF($H15&lt;&gt;0,(VLOOKUP($J15,'Allocation Factors'!$B$12:$AU$603,30,FALSE)*$H15),0)</f>
        <v>0</v>
      </c>
      <c r="AP15" s="22">
        <f ca="1">IF($L15&lt;&gt;0,VLOOKUP($N15,'Allocation Factors'!$B$12:$AU$603,31,FALSE)*$L15,0)+IF($H15&lt;&gt;0,(VLOOKUP($J15,'Allocation Factors'!$B$12:$AU$603,31,FALSE)*$H15),0)</f>
        <v>0</v>
      </c>
      <c r="AQ15" s="22">
        <f ca="1">IF($L15&lt;&gt;0,VLOOKUP($N15,'Allocation Factors'!$B$12:$AU$603,32,FALSE)*$L15,0)+IF($H15&lt;&gt;0,(VLOOKUP($J15,'Allocation Factors'!$B$12:$AU$603,32,FALSE)*$H15),0)</f>
        <v>0</v>
      </c>
      <c r="AR15" s="22">
        <f ca="1">IF($L15&lt;&gt;0,VLOOKUP($N15,'Allocation Factors'!$B$12:$AU$603,33,FALSE)*$L15,0)+IF($H15&lt;&gt;0,(VLOOKUP($J15,'Allocation Factors'!$B$12:$AU$603,33,FALSE)*$H15),0)</f>
        <v>0</v>
      </c>
      <c r="AS15" s="22">
        <f ca="1">IF($L15&lt;&gt;0,VLOOKUP($N15,'Allocation Factors'!$B$12:$AU$603,34,FALSE)*$L15,0)+IF($H15&lt;&gt;0,(VLOOKUP($J15,'Allocation Factors'!$B$12:$AU$603,34,FALSE)*$H15),0)</f>
        <v>0</v>
      </c>
      <c r="AT15" s="22">
        <f ca="1">IF($L15&lt;&gt;0,VLOOKUP($N15,'Allocation Factors'!$B$12:$AU$603,35,FALSE)*$L15,0)+IF($H15&lt;&gt;0,(VLOOKUP($J15,'Allocation Factors'!$B$12:$AU$603,35,FALSE)*$H15),0)</f>
        <v>0</v>
      </c>
      <c r="AU15" s="22">
        <f ca="1">IF($L15&lt;&gt;0,VLOOKUP($N15,'Allocation Factors'!$B$12:$AU$603,36,FALSE)*$L15,0)+IF($H15&lt;&gt;0,(VLOOKUP($J15,'Allocation Factors'!$B$12:$AU$603,36,FALSE)*$H15),0)</f>
        <v>0</v>
      </c>
      <c r="AV15" s="22">
        <f ca="1">IF($L15&lt;&gt;0,VLOOKUP($N15,'Allocation Factors'!$B$12:$AU$603,37,FALSE)*$L15,0)+IF($H15&lt;&gt;0,(VLOOKUP($J15,'Allocation Factors'!$B$12:$AU$603,37,FALSE)*$H15),0)</f>
        <v>0</v>
      </c>
      <c r="AW15" s="22">
        <f ca="1">IF($L15&lt;&gt;0,VLOOKUP($N15,'Allocation Factors'!$B$12:$AU$603,38,FALSE)*$L15,0)+IF($H15&lt;&gt;0,(VLOOKUP($J15,'Allocation Factors'!$B$12:$AU$603,38,FALSE)*$H15),0)</f>
        <v>0</v>
      </c>
      <c r="AX15" s="22">
        <f ca="1">IF($L15&lt;&gt;0,VLOOKUP($N15,'Allocation Factors'!$B$12:$AU$603,39,FALSE)*$L15,0)+IF($H15&lt;&gt;0,(VLOOKUP($J15,'Allocation Factors'!$B$12:$AU$603,39,FALSE)*$H15),0)</f>
        <v>0</v>
      </c>
      <c r="AY15" s="22">
        <f ca="1">IF($L15&lt;&gt;0,VLOOKUP($N15,'Allocation Factors'!$B$12:$AU$603,40,FALSE)*$L15,0)+IF($H15&lt;&gt;0,(VLOOKUP($J15,'Allocation Factors'!$B$12:$AU$603,40,FALSE)*$H15),0)</f>
        <v>0</v>
      </c>
      <c r="AZ15" s="22">
        <f ca="1">IF($L15&lt;&gt;0,VLOOKUP($N15,'Allocation Factors'!$B$12:$AU$603,41,FALSE)*$L15,0)+IF($H15&lt;&gt;0,(VLOOKUP($J15,'Allocation Factors'!$B$12:$AU$603,41,FALSE)*$H15),0)</f>
        <v>0</v>
      </c>
      <c r="BA15" s="22">
        <f ca="1">IF($L15&lt;&gt;0,VLOOKUP($N15,'Allocation Factors'!$B$12:$AU$603,42,FALSE)*$L15,0)+IF($H15&lt;&gt;0,(VLOOKUP($J15,'Allocation Factors'!$B$12:$AU$603,42,FALSE)*$H15),0)</f>
        <v>0</v>
      </c>
      <c r="BB15" s="22">
        <f ca="1">IF($L15&lt;&gt;0,VLOOKUP($N15,'Allocation Factors'!$B$12:$AU$603,43,FALSE)*$L15,0)+IF($H15&lt;&gt;0,(VLOOKUP($J15,'Allocation Factors'!$B$12:$AU$603,43,FALSE)*$H15),0)</f>
        <v>0</v>
      </c>
      <c r="BC15" s="22">
        <f ca="1">IF($L15&lt;&gt;0,VLOOKUP($N15,'Allocation Factors'!$B$12:$AU$603,44,FALSE)*$L15,0)+IF($H15&lt;&gt;0,(VLOOKUP($J15,'Allocation Factors'!$B$12:$AU$603,44,FALSE)*$H15),0)</f>
        <v>0</v>
      </c>
      <c r="BD15" s="22">
        <f ca="1">IF($L15&lt;&gt;0,VLOOKUP($N15,'Allocation Factors'!$B$12:$AU$603,45,FALSE)*$L15,0)+IF($H15&lt;&gt;0,(VLOOKUP($J15,'Allocation Factors'!$B$12:$AU$603,45,FALSE)*$H15),0)</f>
        <v>0</v>
      </c>
      <c r="BE15" s="22">
        <f ca="1">IF($L15&lt;&gt;0,VLOOKUP($N15,'Allocation Factors'!$B$12:$AU$603,46,FALSE)*$L15,0)+IF($H15&lt;&gt;0,(VLOOKUP($J15,'Allocation Factors'!$B$12:$AU$603,46,FALSE)*$H15),0)</f>
        <v>0</v>
      </c>
      <c r="BF15" s="9"/>
    </row>
    <row r="16" spans="1:58" x14ac:dyDescent="0.25">
      <c r="A16" s="2">
        <f t="shared" si="1"/>
        <v>6</v>
      </c>
      <c r="B16" s="73" t="s">
        <v>158</v>
      </c>
      <c r="D16" s="22">
        <f ca="1">'Total ALLOCATION'!D16-'Gas Cost ALLOCATION'!D16</f>
        <v>20855.923243351954</v>
      </c>
      <c r="E16" s="22"/>
      <c r="F16" s="22">
        <f ca="1">'Total ALLOCATION'!F16-'Gas Cost ALLOCATION'!F16</f>
        <v>15491.673000000001</v>
      </c>
      <c r="L16" s="22">
        <f t="shared" ca="1" si="0"/>
        <v>15491.673000000001</v>
      </c>
      <c r="N16" s="28" t="str">
        <f>'Total ALLOCATION'!N16</f>
        <v>SUPPLY_VOL</v>
      </c>
      <c r="P16" s="22">
        <f ca="1">IF($L16&lt;&gt;0,VLOOKUP($N16,'Allocation Factors'!$B$12:$AU$603,5,FALSE)*$L16,0)+IF($H16&lt;&gt;0,(VLOOKUP($J16,'Allocation Factors'!$B$12:$AU$603,5,FALSE)*$H16),0)</f>
        <v>5792.196697682868</v>
      </c>
      <c r="Q16" s="22">
        <f ca="1">IF($L16&lt;&gt;0,VLOOKUP($N16,'Allocation Factors'!$B$12:$AU$603,6,FALSE)*$L16,0)+IF($H16&lt;&gt;0,(VLOOKUP($J16,'Allocation Factors'!$B$12:$AU$603,6,FALSE)*$H16),0)</f>
        <v>3500.5325871986133</v>
      </c>
      <c r="R16" s="22">
        <f ca="1">IF($L16&lt;&gt;0,VLOOKUP($N16,'Allocation Factors'!$B$12:$AU$603,7,FALSE)*$L16,0)+IF($H16&lt;&gt;0,(VLOOKUP($J16,'Allocation Factors'!$B$12:$AU$603,7,FALSE)*$H16),0)</f>
        <v>0</v>
      </c>
      <c r="S16" s="22">
        <f ca="1">IF($L16&lt;&gt;0,VLOOKUP($N16,'Allocation Factors'!$B$12:$AU$603,8,FALSE)*$L16,0)+IF($H16&lt;&gt;0,(VLOOKUP($J16,'Allocation Factors'!$B$12:$AU$603,8,FALSE)*$H16),0)</f>
        <v>17.387569098364541</v>
      </c>
      <c r="T16" s="22">
        <f ca="1">IF($L16&lt;&gt;0,VLOOKUP($N16,'Allocation Factors'!$B$12:$AU$603,9,FALSE)*$L16,0)+IF($H16&lt;&gt;0,(VLOOKUP($J16,'Allocation Factors'!$B$12:$AU$603,9,FALSE)*$H16),0)</f>
        <v>120.41737988861283</v>
      </c>
      <c r="U16" s="22">
        <f ca="1">IF($L16&lt;&gt;0,VLOOKUP($N16,'Allocation Factors'!$B$12:$AU$603,10,FALSE)*$L16,0)+IF($H16&lt;&gt;0,(VLOOKUP($J16,'Allocation Factors'!$B$12:$AU$603,10,FALSE)*$H16),0)</f>
        <v>1.9455147761352789</v>
      </c>
      <c r="V16" s="22">
        <f ca="1">IF($L16&lt;&gt;0,VLOOKUP($N16,'Allocation Factors'!$B$12:$AU$603,11,FALSE)*$L16,0)+IF($H16&lt;&gt;0,(VLOOKUP($J16,'Allocation Factors'!$B$12:$AU$603,11,FALSE)*$H16),0)</f>
        <v>0</v>
      </c>
      <c r="W16" s="22">
        <f ca="1">IF($L16&lt;&gt;0,VLOOKUP($N16,'Allocation Factors'!$B$12:$AU$603,12,FALSE)*$L16,0)+IF($H16&lt;&gt;0,(VLOOKUP($J16,'Allocation Factors'!$B$12:$AU$603,12,FALSE)*$H16),0)</f>
        <v>5.1744596480492007</v>
      </c>
      <c r="X16" s="22">
        <f ca="1">IF($L16&lt;&gt;0,VLOOKUP($N16,'Allocation Factors'!$B$12:$AU$603,13,FALSE)*$L16,0)+IF($H16&lt;&gt;0,(VLOOKUP($J16,'Allocation Factors'!$B$12:$AU$603,13,FALSE)*$H16),0)</f>
        <v>0.67589527369546609</v>
      </c>
      <c r="Y16" s="22">
        <f ca="1">IF($L16&lt;&gt;0,VLOOKUP($N16,'Allocation Factors'!$B$12:$AU$603,14,FALSE)*$L16,0)+IF($H16&lt;&gt;0,(VLOOKUP($J16,'Allocation Factors'!$B$12:$AU$603,14,FALSE)*$H16),0)</f>
        <v>6.3158620327133219</v>
      </c>
      <c r="Z16" s="22">
        <f ca="1">IF($L16&lt;&gt;0,VLOOKUP($N16,'Allocation Factors'!$B$12:$AU$603,15,FALSE)*$L16,0)+IF($H16&lt;&gt;0,(VLOOKUP($J16,'Allocation Factors'!$B$12:$AU$603,15,FALSE)*$H16),0)</f>
        <v>165.32037512142145</v>
      </c>
      <c r="AA16" s="22">
        <f ca="1">IF($L16&lt;&gt;0,VLOOKUP($N16,'Allocation Factors'!$B$12:$AU$603,16,FALSE)*$L16,0)+IF($H16&lt;&gt;0,(VLOOKUP($J16,'Allocation Factors'!$B$12:$AU$603,16,FALSE)*$H16),0)</f>
        <v>0</v>
      </c>
      <c r="AB16" s="22">
        <f ca="1">IF($L16&lt;&gt;0,VLOOKUP($N16,'Allocation Factors'!$B$12:$AU$603,17,FALSE)*$L16,0)+IF($H16&lt;&gt;0,(VLOOKUP($J16,'Allocation Factors'!$B$12:$AU$603,17,FALSE)*$H16),0)</f>
        <v>0</v>
      </c>
      <c r="AC16" s="22">
        <f ca="1">IF($L16&lt;&gt;0,VLOOKUP($N16,'Allocation Factors'!$B$12:$AU$603,18,FALSE)*$L16,0)+IF($H16&lt;&gt;0,(VLOOKUP($J16,'Allocation Factors'!$B$12:$AU$603,18,FALSE)*$H16),0)</f>
        <v>1097.2370031330313</v>
      </c>
      <c r="AD16" s="22">
        <f ca="1">IF($L16&lt;&gt;0,VLOOKUP($N16,'Allocation Factors'!$B$12:$AU$603,19,FALSE)*$L16,0)+IF($H16&lt;&gt;0,(VLOOKUP($J16,'Allocation Factors'!$B$12:$AU$603,19,FALSE)*$H16),0)</f>
        <v>193.93460501358385</v>
      </c>
      <c r="AE16" s="22">
        <f ca="1">IF($L16&lt;&gt;0,VLOOKUP($N16,'Allocation Factors'!$B$12:$AU$603,20,FALSE)*$L16,0)+IF($H16&lt;&gt;0,(VLOOKUP($J16,'Allocation Factors'!$B$12:$AU$603,20,FALSE)*$H16),0)</f>
        <v>18.417885892049657</v>
      </c>
      <c r="AF16" s="22">
        <f ca="1">IF($L16&lt;&gt;0,VLOOKUP($N16,'Allocation Factors'!$B$12:$AU$603,21,FALSE)*$L16,0)+IF($H16&lt;&gt;0,(VLOOKUP($J16,'Allocation Factors'!$B$12:$AU$603,21,FALSE)*$H16),0)</f>
        <v>6.7194888629292411</v>
      </c>
      <c r="AG16" s="22">
        <f ca="1">IF($L16&lt;&gt;0,VLOOKUP($N16,'Allocation Factors'!$B$12:$AU$603,22,FALSE)*$L16,0)+IF($H16&lt;&gt;0,(VLOOKUP($J16,'Allocation Factors'!$B$12:$AU$603,22,FALSE)*$H16),0)</f>
        <v>0</v>
      </c>
      <c r="AH16" s="22">
        <f ca="1">IF($L16&lt;&gt;0,VLOOKUP($N16,'Allocation Factors'!$B$12:$AU$603,23,FALSE)*$L16,0)+IF($H16&lt;&gt;0,(VLOOKUP($J16,'Allocation Factors'!$B$12:$AU$603,23,FALSE)*$H16),0)</f>
        <v>3621.2135080982716</v>
      </c>
      <c r="AI16" s="22">
        <f ca="1">IF($L16&lt;&gt;0,VLOOKUP($N16,'Allocation Factors'!$B$12:$AU$603,24,FALSE)*$L16,0)+IF($H16&lt;&gt;0,(VLOOKUP($J16,'Allocation Factors'!$B$12:$AU$603,24,FALSE)*$H16),0)</f>
        <v>811.10889932591101</v>
      </c>
      <c r="AJ16" s="22">
        <f ca="1">IF($L16&lt;&gt;0,VLOOKUP($N16,'Allocation Factors'!$B$12:$AU$603,25,FALSE)*$L16,0)+IF($H16&lt;&gt;0,(VLOOKUP($J16,'Allocation Factors'!$B$12:$AU$603,25,FALSE)*$H16),0)</f>
        <v>69.944996934692512</v>
      </c>
      <c r="AK16" s="22">
        <f ca="1">IF($L16&lt;&gt;0,VLOOKUP($N16,'Allocation Factors'!$B$12:$AU$603,26,FALSE)*$L16,0)+IF($H16&lt;&gt;0,(VLOOKUP($J16,'Allocation Factors'!$B$12:$AU$603,26,FALSE)*$H16),0)</f>
        <v>0</v>
      </c>
      <c r="AL16" s="22">
        <f ca="1">IF($L16&lt;&gt;0,VLOOKUP($N16,'Allocation Factors'!$B$12:$AU$603,27,FALSE)*$L16,0)+IF($H16&lt;&gt;0,(VLOOKUP($J16,'Allocation Factors'!$B$12:$AU$603,27,FALSE)*$H16),0)</f>
        <v>0.35789808165145259</v>
      </c>
      <c r="AM16" s="22">
        <f ca="1">IF($L16&lt;&gt;0,VLOOKUP($N16,'Allocation Factors'!$B$12:$AU$603,28,FALSE)*$L16,0)+IF($H16&lt;&gt;0,(VLOOKUP($J16,'Allocation Factors'!$B$12:$AU$603,28,FALSE)*$H16),0)</f>
        <v>2.1918765127907105</v>
      </c>
      <c r="AN16" s="22">
        <f ca="1">IF($L16&lt;&gt;0,VLOOKUP($N16,'Allocation Factors'!$B$12:$AU$603,29,FALSE)*$L16,0)+IF($H16&lt;&gt;0,(VLOOKUP($J16,'Allocation Factors'!$B$12:$AU$603,29,FALSE)*$H16),0)</f>
        <v>39.407442830386408</v>
      </c>
      <c r="AO16" s="22">
        <f ca="1">IF($L16&lt;&gt;0,VLOOKUP($N16,'Allocation Factors'!$B$12:$AU$603,30,FALSE)*$L16,0)+IF($H16&lt;&gt;0,(VLOOKUP($J16,'Allocation Factors'!$B$12:$AU$603,30,FALSE)*$H16),0)</f>
        <v>2.5616199215787536</v>
      </c>
      <c r="AP16" s="22">
        <f ca="1">IF($L16&lt;&gt;0,VLOOKUP($N16,'Allocation Factors'!$B$12:$AU$603,31,FALSE)*$L16,0)+IF($H16&lt;&gt;0,(VLOOKUP($J16,'Allocation Factors'!$B$12:$AU$603,31,FALSE)*$H16),0)</f>
        <v>18.611434672654038</v>
      </c>
      <c r="AQ16" s="22">
        <f ca="1">IF($L16&lt;&gt;0,VLOOKUP($N16,'Allocation Factors'!$B$12:$AU$603,32,FALSE)*$L16,0)+IF($H16&lt;&gt;0,(VLOOKUP($J16,'Allocation Factors'!$B$12:$AU$603,32,FALSE)*$H16),0)</f>
        <v>0</v>
      </c>
      <c r="AR16" s="22">
        <f ca="1">IF($L16&lt;&gt;0,VLOOKUP($N16,'Allocation Factors'!$B$12:$AU$603,33,FALSE)*$L16,0)+IF($H16&lt;&gt;0,(VLOOKUP($J16,'Allocation Factors'!$B$12:$AU$603,33,FALSE)*$H16),0)</f>
        <v>0</v>
      </c>
      <c r="AS16" s="22">
        <f ca="1">IF($L16&lt;&gt;0,VLOOKUP($N16,'Allocation Factors'!$B$12:$AU$603,34,FALSE)*$L16,0)+IF($H16&lt;&gt;0,(VLOOKUP($J16,'Allocation Factors'!$B$12:$AU$603,34,FALSE)*$H16),0)</f>
        <v>0</v>
      </c>
      <c r="AT16" s="22">
        <f ca="1">IF($L16&lt;&gt;0,VLOOKUP($N16,'Allocation Factors'!$B$12:$AU$603,35,FALSE)*$L16,0)+IF($H16&lt;&gt;0,(VLOOKUP($J16,'Allocation Factors'!$B$12:$AU$603,35,FALSE)*$H16),0)</f>
        <v>0</v>
      </c>
      <c r="AU16" s="22">
        <f ca="1">IF($L16&lt;&gt;0,VLOOKUP($N16,'Allocation Factors'!$B$12:$AU$603,36,FALSE)*$L16,0)+IF($H16&lt;&gt;0,(VLOOKUP($J16,'Allocation Factors'!$B$12:$AU$603,36,FALSE)*$H16),0)</f>
        <v>0</v>
      </c>
      <c r="AV16" s="22">
        <f ca="1">IF($L16&lt;&gt;0,VLOOKUP($N16,'Allocation Factors'!$B$12:$AU$603,37,FALSE)*$L16,0)+IF($H16&lt;&gt;0,(VLOOKUP($J16,'Allocation Factors'!$B$12:$AU$603,37,FALSE)*$H16),0)</f>
        <v>0</v>
      </c>
      <c r="AW16" s="22">
        <f ca="1">IF($L16&lt;&gt;0,VLOOKUP($N16,'Allocation Factors'!$B$12:$AU$603,38,FALSE)*$L16,0)+IF($H16&lt;&gt;0,(VLOOKUP($J16,'Allocation Factors'!$B$12:$AU$603,38,FALSE)*$H16),0)</f>
        <v>0</v>
      </c>
      <c r="AX16" s="22">
        <f ca="1">IF($L16&lt;&gt;0,VLOOKUP($N16,'Allocation Factors'!$B$12:$AU$603,39,FALSE)*$L16,0)+IF($H16&lt;&gt;0,(VLOOKUP($J16,'Allocation Factors'!$B$12:$AU$603,39,FALSE)*$H16),0)</f>
        <v>0</v>
      </c>
      <c r="AY16" s="22">
        <f ca="1">IF($L16&lt;&gt;0,VLOOKUP($N16,'Allocation Factors'!$B$12:$AU$603,40,FALSE)*$L16,0)+IF($H16&lt;&gt;0,(VLOOKUP($J16,'Allocation Factors'!$B$12:$AU$603,40,FALSE)*$H16),0)</f>
        <v>0</v>
      </c>
      <c r="AZ16" s="22">
        <f ca="1">IF($L16&lt;&gt;0,VLOOKUP($N16,'Allocation Factors'!$B$12:$AU$603,41,FALSE)*$L16,0)+IF($H16&lt;&gt;0,(VLOOKUP($J16,'Allocation Factors'!$B$12:$AU$603,41,FALSE)*$H16),0)</f>
        <v>0</v>
      </c>
      <c r="BA16" s="22">
        <f ca="1">IF($L16&lt;&gt;0,VLOOKUP($N16,'Allocation Factors'!$B$12:$AU$603,42,FALSE)*$L16,0)+IF($H16&lt;&gt;0,(VLOOKUP($J16,'Allocation Factors'!$B$12:$AU$603,42,FALSE)*$H16),0)</f>
        <v>0</v>
      </c>
      <c r="BB16" s="22">
        <f ca="1">IF($L16&lt;&gt;0,VLOOKUP($N16,'Allocation Factors'!$B$12:$AU$603,43,FALSE)*$L16,0)+IF($H16&lt;&gt;0,(VLOOKUP($J16,'Allocation Factors'!$B$12:$AU$603,43,FALSE)*$H16),0)</f>
        <v>0</v>
      </c>
      <c r="BC16" s="22">
        <f ca="1">IF($L16&lt;&gt;0,VLOOKUP($N16,'Allocation Factors'!$B$12:$AU$603,44,FALSE)*$L16,0)+IF($H16&lt;&gt;0,(VLOOKUP($J16,'Allocation Factors'!$B$12:$AU$603,44,FALSE)*$H16),0)</f>
        <v>0</v>
      </c>
      <c r="BD16" s="22">
        <f ca="1">IF($L16&lt;&gt;0,VLOOKUP($N16,'Allocation Factors'!$B$12:$AU$603,45,FALSE)*$L16,0)+IF($H16&lt;&gt;0,(VLOOKUP($J16,'Allocation Factors'!$B$12:$AU$603,45,FALSE)*$H16),0)</f>
        <v>0</v>
      </c>
      <c r="BE16" s="22">
        <f ca="1">IF($L16&lt;&gt;0,VLOOKUP($N16,'Allocation Factors'!$B$12:$AU$603,46,FALSE)*$L16,0)+IF($H16&lt;&gt;0,(VLOOKUP($J16,'Allocation Factors'!$B$12:$AU$603,46,FALSE)*$H16),0)</f>
        <v>0</v>
      </c>
      <c r="BF16" s="9"/>
    </row>
    <row r="17" spans="1:58" s="73" customFormat="1" x14ac:dyDescent="0.25">
      <c r="A17" s="2">
        <f t="shared" si="1"/>
        <v>7</v>
      </c>
      <c r="B17" s="73" t="s">
        <v>461</v>
      </c>
      <c r="D17" s="204">
        <f ca="1">SUM(D11:D16)</f>
        <v>20855.923243351954</v>
      </c>
      <c r="E17" s="200"/>
      <c r="F17" s="204">
        <f ca="1">SUM(F11:F16)</f>
        <v>155.08039454820937</v>
      </c>
      <c r="G17" s="94"/>
      <c r="H17" s="204">
        <f ca="1">SUM(H11:H16)</f>
        <v>-7368.5151634722424</v>
      </c>
      <c r="I17" s="94"/>
      <c r="J17" s="91"/>
      <c r="K17" s="94"/>
      <c r="L17" s="79">
        <f ca="1">SUM(L11:L16)</f>
        <v>7523.5955580204518</v>
      </c>
      <c r="M17" s="94"/>
      <c r="N17" s="91"/>
      <c r="O17" s="94"/>
      <c r="P17" s="79">
        <f t="shared" ref="P17:BE17" ca="1" si="2">SUM(P11:P16)</f>
        <v>1392.7727477987355</v>
      </c>
      <c r="Q17" s="79">
        <f t="shared" ca="1" si="2"/>
        <v>-492.55839215549986</v>
      </c>
      <c r="R17" s="79">
        <f t="shared" ca="1" si="2"/>
        <v>0</v>
      </c>
      <c r="S17" s="79">
        <f t="shared" ca="1" si="2"/>
        <v>1.1842849019427568</v>
      </c>
      <c r="T17" s="79">
        <f t="shared" ca="1" si="2"/>
        <v>-442.16549778729188</v>
      </c>
      <c r="U17" s="79">
        <f t="shared" ca="1" si="2"/>
        <v>-148.00271694627861</v>
      </c>
      <c r="V17" s="79">
        <f t="shared" ca="1" si="2"/>
        <v>0</v>
      </c>
      <c r="W17" s="79">
        <f t="shared" ca="1" si="2"/>
        <v>-14.686646272525959</v>
      </c>
      <c r="X17" s="79">
        <f t="shared" ca="1" si="2"/>
        <v>-5.2521473849258733</v>
      </c>
      <c r="Y17" s="79">
        <f t="shared" ca="1" si="2"/>
        <v>-115.63293040196118</v>
      </c>
      <c r="Z17" s="79">
        <f t="shared" ca="1" si="2"/>
        <v>46.736665830402757</v>
      </c>
      <c r="AA17" s="79">
        <f t="shared" ca="1" si="2"/>
        <v>0</v>
      </c>
      <c r="AB17" s="79">
        <f t="shared" ca="1" si="2"/>
        <v>-93.039910887461929</v>
      </c>
      <c r="AC17" s="79">
        <f t="shared" ca="1" si="2"/>
        <v>273.58701045058751</v>
      </c>
      <c r="AD17" s="79">
        <f t="shared" ca="1" si="2"/>
        <v>-55.69575810436811</v>
      </c>
      <c r="AE17" s="79">
        <f t="shared" ca="1" si="2"/>
        <v>-50.645799400215779</v>
      </c>
      <c r="AF17" s="79">
        <f t="shared" ca="1" si="2"/>
        <v>4.5681005307935187</v>
      </c>
      <c r="AG17" s="79">
        <f t="shared" ca="1" si="2"/>
        <v>0</v>
      </c>
      <c r="AH17" s="79">
        <f t="shared" ca="1" si="2"/>
        <v>967.51815619747595</v>
      </c>
      <c r="AI17" s="79">
        <f t="shared" ca="1" si="2"/>
        <v>-194.98884239824008</v>
      </c>
      <c r="AJ17" s="79">
        <f t="shared" ca="1" si="2"/>
        <v>-313.18607463075512</v>
      </c>
      <c r="AK17" s="79">
        <f t="shared" ca="1" si="2"/>
        <v>-8.9790108150655315E-2</v>
      </c>
      <c r="AL17" s="79">
        <f t="shared" ca="1" si="2"/>
        <v>-2.8446985177431947</v>
      </c>
      <c r="AM17" s="79">
        <f t="shared" ca="1" si="2"/>
        <v>-18.589927927034431</v>
      </c>
      <c r="AN17" s="79">
        <f t="shared" ca="1" si="2"/>
        <v>-494.17825783023596</v>
      </c>
      <c r="AO17" s="79">
        <f t="shared" ca="1" si="2"/>
        <v>-26.109321887800448</v>
      </c>
      <c r="AP17" s="79">
        <f t="shared" ca="1" si="2"/>
        <v>-31.359246602359466</v>
      </c>
      <c r="AQ17" s="79">
        <f t="shared" ca="1" si="2"/>
        <v>0</v>
      </c>
      <c r="AR17" s="79">
        <f t="shared" ca="1" si="2"/>
        <v>-2.2339865722541838</v>
      </c>
      <c r="AS17" s="79">
        <f t="shared" ca="1" si="2"/>
        <v>-0.21295988635624297</v>
      </c>
      <c r="AT17" s="79">
        <f t="shared" ca="1" si="2"/>
        <v>-28.162873242183689</v>
      </c>
      <c r="AU17" s="79">
        <f t="shared" ca="1" si="2"/>
        <v>-0.23694044266709341</v>
      </c>
      <c r="AV17" s="79">
        <f t="shared" ca="1" si="2"/>
        <v>-1.4138517754150399</v>
      </c>
      <c r="AW17" s="79">
        <f t="shared" ca="1" si="2"/>
        <v>0</v>
      </c>
      <c r="AX17" s="79">
        <f t="shared" ca="1" si="2"/>
        <v>0</v>
      </c>
      <c r="AY17" s="79">
        <f t="shared" ca="1" si="2"/>
        <v>0</v>
      </c>
      <c r="AZ17" s="79">
        <f t="shared" ca="1" si="2"/>
        <v>0</v>
      </c>
      <c r="BA17" s="79">
        <f t="shared" ca="1" si="2"/>
        <v>0</v>
      </c>
      <c r="BB17" s="79">
        <f t="shared" ca="1" si="2"/>
        <v>0</v>
      </c>
      <c r="BC17" s="79">
        <f t="shared" ca="1" si="2"/>
        <v>0</v>
      </c>
      <c r="BD17" s="79">
        <f t="shared" ca="1" si="2"/>
        <v>0</v>
      </c>
      <c r="BE17" s="79">
        <f t="shared" ca="1" si="2"/>
        <v>0</v>
      </c>
    </row>
    <row r="18" spans="1:58" x14ac:dyDescent="0.25">
      <c r="B18" s="73"/>
      <c r="D18" s="22"/>
      <c r="E18" s="22"/>
      <c r="F18" s="22"/>
      <c r="L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x14ac:dyDescent="0.25">
      <c r="B19" s="197" t="s">
        <v>120</v>
      </c>
      <c r="D19" s="22"/>
      <c r="E19" s="22"/>
      <c r="F19" s="22"/>
      <c r="L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x14ac:dyDescent="0.25">
      <c r="A20" s="2">
        <f>A17+1</f>
        <v>8</v>
      </c>
      <c r="B20" s="73" t="s">
        <v>112</v>
      </c>
      <c r="D20" s="22">
        <f ca="1">'Total ALLOCATION'!D20-'Gas Cost ALLOCATION'!D20</f>
        <v>103457.4996017529</v>
      </c>
      <c r="E20" s="22"/>
      <c r="F20" s="22">
        <f ca="1">'Total ALLOCATION'!F20-'Gas Cost ALLOCATION'!F20</f>
        <v>103457.4996017529</v>
      </c>
      <c r="L20" s="22">
        <f t="shared" ref="L20:L23" ca="1" si="3">F20-H20</f>
        <v>103457.4996017529</v>
      </c>
      <c r="N20" s="28" t="str">
        <f>'Total ALLOCATION'!N20</f>
        <v>NETFROMSTOR</v>
      </c>
      <c r="P20" s="22">
        <f ca="1">IF($L20&lt;&gt;0,VLOOKUP($N20,'Allocation Factors'!$B$12:$AU$603,5,FALSE)*$L20,0)+IF($H20&lt;&gt;0,(VLOOKUP($J20,'Allocation Factors'!$B$12:$AU$603,5,FALSE)*$H20),0)</f>
        <v>30957.291994583265</v>
      </c>
      <c r="Q20" s="22">
        <f ca="1">IF($L20&lt;&gt;0,VLOOKUP($N20,'Allocation Factors'!$B$12:$AU$603,6,FALSE)*$L20,0)+IF($H20&lt;&gt;0,(VLOOKUP($J20,'Allocation Factors'!$B$12:$AU$603,6,FALSE)*$H20),0)</f>
        <v>26905.610584724556</v>
      </c>
      <c r="R20" s="22">
        <f ca="1">IF($L20&lt;&gt;0,VLOOKUP($N20,'Allocation Factors'!$B$12:$AU$603,7,FALSE)*$L20,0)+IF($H20&lt;&gt;0,(VLOOKUP($J20,'Allocation Factors'!$B$12:$AU$603,7,FALSE)*$H20),0)</f>
        <v>0</v>
      </c>
      <c r="S20" s="22">
        <f ca="1">IF($L20&lt;&gt;0,VLOOKUP($N20,'Allocation Factors'!$B$12:$AU$603,8,FALSE)*$L20,0)+IF($H20&lt;&gt;0,(VLOOKUP($J20,'Allocation Factors'!$B$12:$AU$603,8,FALSE)*$H20),0)</f>
        <v>72.14010585420364</v>
      </c>
      <c r="T20" s="22">
        <f ca="1">IF($L20&lt;&gt;0,VLOOKUP($N20,'Allocation Factors'!$B$12:$AU$603,9,FALSE)*$L20,0)+IF($H20&lt;&gt;0,(VLOOKUP($J20,'Allocation Factors'!$B$12:$AU$603,9,FALSE)*$H20),0)</f>
        <v>1965.8964299807435</v>
      </c>
      <c r="U20" s="22">
        <f ca="1">IF($L20&lt;&gt;0,VLOOKUP($N20,'Allocation Factors'!$B$12:$AU$603,10,FALSE)*$L20,0)+IF($H20&lt;&gt;0,(VLOOKUP($J20,'Allocation Factors'!$B$12:$AU$603,10,FALSE)*$H20),0)</f>
        <v>72.504490389309652</v>
      </c>
      <c r="V20" s="22">
        <f ca="1">IF($L20&lt;&gt;0,VLOOKUP($N20,'Allocation Factors'!$B$12:$AU$603,11,FALSE)*$L20,0)+IF($H20&lt;&gt;0,(VLOOKUP($J20,'Allocation Factors'!$B$12:$AU$603,11,FALSE)*$H20),0)</f>
        <v>0</v>
      </c>
      <c r="W20" s="22">
        <f ca="1">IF($L20&lt;&gt;0,VLOOKUP($N20,'Allocation Factors'!$B$12:$AU$603,12,FALSE)*$L20,0)+IF($H20&lt;&gt;0,(VLOOKUP($J20,'Allocation Factors'!$B$12:$AU$603,12,FALSE)*$H20),0)</f>
        <v>0</v>
      </c>
      <c r="X20" s="22">
        <f ca="1">IF($L20&lt;&gt;0,VLOOKUP($N20,'Allocation Factors'!$B$12:$AU$603,13,FALSE)*$L20,0)+IF($H20&lt;&gt;0,(VLOOKUP($J20,'Allocation Factors'!$B$12:$AU$603,13,FALSE)*$H20),0)</f>
        <v>0</v>
      </c>
      <c r="Y20" s="22">
        <f ca="1">IF($L20&lt;&gt;0,VLOOKUP($N20,'Allocation Factors'!$B$12:$AU$603,14,FALSE)*$L20,0)+IF($H20&lt;&gt;0,(VLOOKUP($J20,'Allocation Factors'!$B$12:$AU$603,14,FALSE)*$H20),0)</f>
        <v>0</v>
      </c>
      <c r="Z20" s="22">
        <f ca="1">IF($L20&lt;&gt;0,VLOOKUP($N20,'Allocation Factors'!$B$12:$AU$603,15,FALSE)*$L20,0)+IF($H20&lt;&gt;0,(VLOOKUP($J20,'Allocation Factors'!$B$12:$AU$603,15,FALSE)*$H20),0)</f>
        <v>583.21035360945928</v>
      </c>
      <c r="AA20" s="22">
        <f ca="1">IF($L20&lt;&gt;0,VLOOKUP($N20,'Allocation Factors'!$B$12:$AU$603,16,FALSE)*$L20,0)+IF($H20&lt;&gt;0,(VLOOKUP($J20,'Allocation Factors'!$B$12:$AU$603,16,FALSE)*$H20),0)</f>
        <v>0</v>
      </c>
      <c r="AB20" s="22">
        <f ca="1">IF($L20&lt;&gt;0,VLOOKUP($N20,'Allocation Factors'!$B$12:$AU$603,17,FALSE)*$L20,0)+IF($H20&lt;&gt;0,(VLOOKUP($J20,'Allocation Factors'!$B$12:$AU$603,17,FALSE)*$H20),0)</f>
        <v>239.06447035542328</v>
      </c>
      <c r="AC20" s="22">
        <f ca="1">IF($L20&lt;&gt;0,VLOOKUP($N20,'Allocation Factors'!$B$12:$AU$603,18,FALSE)*$L20,0)+IF($H20&lt;&gt;0,(VLOOKUP($J20,'Allocation Factors'!$B$12:$AU$603,18,FALSE)*$H20),0)</f>
        <v>5550.7038486764468</v>
      </c>
      <c r="AD20" s="22">
        <f ca="1">IF($L20&lt;&gt;0,VLOOKUP($N20,'Allocation Factors'!$B$12:$AU$603,19,FALSE)*$L20,0)+IF($H20&lt;&gt;0,(VLOOKUP($J20,'Allocation Factors'!$B$12:$AU$603,19,FALSE)*$H20),0)</f>
        <v>1569.1362466359703</v>
      </c>
      <c r="AE20" s="22">
        <f ca="1">IF($L20&lt;&gt;0,VLOOKUP($N20,'Allocation Factors'!$B$12:$AU$603,20,FALSE)*$L20,0)+IF($H20&lt;&gt;0,(VLOOKUP($J20,'Allocation Factors'!$B$12:$AU$603,20,FALSE)*$H20),0)</f>
        <v>221.90569933163601</v>
      </c>
      <c r="AF20" s="22">
        <f ca="1">IF($L20&lt;&gt;0,VLOOKUP($N20,'Allocation Factors'!$B$12:$AU$603,21,FALSE)*$L20,0)+IF($H20&lt;&gt;0,(VLOOKUP($J20,'Allocation Factors'!$B$12:$AU$603,21,FALSE)*$H20),0)</f>
        <v>0</v>
      </c>
      <c r="AG20" s="22">
        <f ca="1">IF($L20&lt;&gt;0,VLOOKUP($N20,'Allocation Factors'!$B$12:$AU$603,22,FALSE)*$L20,0)+IF($H20&lt;&gt;0,(VLOOKUP($J20,'Allocation Factors'!$B$12:$AU$603,22,FALSE)*$H20),0)</f>
        <v>0</v>
      </c>
      <c r="AH20" s="22">
        <f ca="1">IF($L20&lt;&gt;0,VLOOKUP($N20,'Allocation Factors'!$B$12:$AU$603,23,FALSE)*$L20,0)+IF($H20&lt;&gt;0,(VLOOKUP($J20,'Allocation Factors'!$B$12:$AU$603,23,FALSE)*$H20),0)</f>
        <v>17564.427412309702</v>
      </c>
      <c r="AI20" s="22">
        <f ca="1">IF($L20&lt;&gt;0,VLOOKUP($N20,'Allocation Factors'!$B$12:$AU$603,24,FALSE)*$L20,0)+IF($H20&lt;&gt;0,(VLOOKUP($J20,'Allocation Factors'!$B$12:$AU$603,24,FALSE)*$H20),0)</f>
        <v>6262.968265398471</v>
      </c>
      <c r="AJ20" s="22">
        <f ca="1">IF($L20&lt;&gt;0,VLOOKUP($N20,'Allocation Factors'!$B$12:$AU$603,25,FALSE)*$L20,0)+IF($H20&lt;&gt;0,(VLOOKUP($J20,'Allocation Factors'!$B$12:$AU$603,25,FALSE)*$H20),0)</f>
        <v>1960.9738645487346</v>
      </c>
      <c r="AK20" s="22">
        <f ca="1">IF($L20&lt;&gt;0,VLOOKUP($N20,'Allocation Factors'!$B$12:$AU$603,26,FALSE)*$L20,0)+IF($H20&lt;&gt;0,(VLOOKUP($J20,'Allocation Factors'!$B$12:$AU$603,26,FALSE)*$H20),0)</f>
        <v>0</v>
      </c>
      <c r="AL20" s="22">
        <f ca="1">IF($L20&lt;&gt;0,VLOOKUP($N20,'Allocation Factors'!$B$12:$AU$603,27,FALSE)*$L20,0)+IF($H20&lt;&gt;0,(VLOOKUP($J20,'Allocation Factors'!$B$12:$AU$603,27,FALSE)*$H20),0)</f>
        <v>18.978490724164523</v>
      </c>
      <c r="AM20" s="22">
        <f ca="1">IF($L20&lt;&gt;0,VLOOKUP($N20,'Allocation Factors'!$B$12:$AU$603,28,FALSE)*$L20,0)+IF($H20&lt;&gt;0,(VLOOKUP($J20,'Allocation Factors'!$B$12:$AU$603,28,FALSE)*$H20),0)</f>
        <v>0</v>
      </c>
      <c r="AN20" s="22">
        <f ca="1">IF($L20&lt;&gt;0,VLOOKUP($N20,'Allocation Factors'!$B$12:$AU$603,29,FALSE)*$L20,0)+IF($H20&lt;&gt;0,(VLOOKUP($J20,'Allocation Factors'!$B$12:$AU$603,29,FALSE)*$H20),0)</f>
        <v>3256.4885104885466</v>
      </c>
      <c r="AO20" s="22">
        <f ca="1">IF($L20&lt;&gt;0,VLOOKUP($N20,'Allocation Factors'!$B$12:$AU$603,30,FALSE)*$L20,0)+IF($H20&lt;&gt;0,(VLOOKUP($J20,'Allocation Factors'!$B$12:$AU$603,30,FALSE)*$H20),0)</f>
        <v>0</v>
      </c>
      <c r="AP20" s="22">
        <f ca="1">IF($L20&lt;&gt;0,VLOOKUP($N20,'Allocation Factors'!$B$12:$AU$603,31,FALSE)*$L20,0)+IF($H20&lt;&gt;0,(VLOOKUP($J20,'Allocation Factors'!$B$12:$AU$603,31,FALSE)*$H20),0)</f>
        <v>196.99828036602312</v>
      </c>
      <c r="AQ20" s="22">
        <f ca="1">IF($L20&lt;&gt;0,VLOOKUP($N20,'Allocation Factors'!$B$12:$AU$603,32,FALSE)*$L20,0)+IF($H20&lt;&gt;0,(VLOOKUP($J20,'Allocation Factors'!$B$12:$AU$603,32,FALSE)*$H20),0)</f>
        <v>0</v>
      </c>
      <c r="AR20" s="22">
        <f ca="1">IF($L20&lt;&gt;0,VLOOKUP($N20,'Allocation Factors'!$B$12:$AU$603,33,FALSE)*$L20,0)+IF($H20&lt;&gt;0,(VLOOKUP($J20,'Allocation Factors'!$B$12:$AU$603,33,FALSE)*$H20),0)</f>
        <v>685.47934810760557</v>
      </c>
      <c r="AS20" s="22">
        <f ca="1">IF($L20&lt;&gt;0,VLOOKUP($N20,'Allocation Factors'!$B$12:$AU$603,34,FALSE)*$L20,0)+IF($H20&lt;&gt;0,(VLOOKUP($J20,'Allocation Factors'!$B$12:$AU$603,34,FALSE)*$H20),0)</f>
        <v>0</v>
      </c>
      <c r="AT20" s="22">
        <f ca="1">IF($L20&lt;&gt;0,VLOOKUP($N20,'Allocation Factors'!$B$12:$AU$603,35,FALSE)*$L20,0)+IF($H20&lt;&gt;0,(VLOOKUP($J20,'Allocation Factors'!$B$12:$AU$603,35,FALSE)*$H20),0)</f>
        <v>4276.1371350638365</v>
      </c>
      <c r="AU20" s="22">
        <f ca="1">IF($L20&lt;&gt;0,VLOOKUP($N20,'Allocation Factors'!$B$12:$AU$603,36,FALSE)*$L20,0)+IF($H20&lt;&gt;0,(VLOOKUP($J20,'Allocation Factors'!$B$12:$AU$603,36,FALSE)*$H20),0)</f>
        <v>0</v>
      </c>
      <c r="AV20" s="22">
        <f ca="1">IF($L20&lt;&gt;0,VLOOKUP($N20,'Allocation Factors'!$B$12:$AU$603,37,FALSE)*$L20,0)+IF($H20&lt;&gt;0,(VLOOKUP($J20,'Allocation Factors'!$B$12:$AU$603,37,FALSE)*$H20),0)</f>
        <v>1097.5840706048389</v>
      </c>
      <c r="AW20" s="22">
        <f ca="1">IF($L20&lt;&gt;0,VLOOKUP($N20,'Allocation Factors'!$B$12:$AU$603,38,FALSE)*$L20,0)+IF($H20&lt;&gt;0,(VLOOKUP($J20,'Allocation Factors'!$B$12:$AU$603,38,FALSE)*$H20),0)</f>
        <v>0</v>
      </c>
      <c r="AX20" s="22">
        <f ca="1">IF($L20&lt;&gt;0,VLOOKUP($N20,'Allocation Factors'!$B$12:$AU$603,39,FALSE)*$L20,0)+IF($H20&lt;&gt;0,(VLOOKUP($J20,'Allocation Factors'!$B$12:$AU$603,39,FALSE)*$H20),0)</f>
        <v>0</v>
      </c>
      <c r="AY20" s="22">
        <f ca="1">IF($L20&lt;&gt;0,VLOOKUP($N20,'Allocation Factors'!$B$12:$AU$603,40,FALSE)*$L20,0)+IF($H20&lt;&gt;0,(VLOOKUP($J20,'Allocation Factors'!$B$12:$AU$603,40,FALSE)*$H20),0)</f>
        <v>0</v>
      </c>
      <c r="AZ20" s="22">
        <f ca="1">IF($L20&lt;&gt;0,VLOOKUP($N20,'Allocation Factors'!$B$12:$AU$603,41,FALSE)*$L20,0)+IF($H20&lt;&gt;0,(VLOOKUP($J20,'Allocation Factors'!$B$12:$AU$603,41,FALSE)*$H20),0)</f>
        <v>0</v>
      </c>
      <c r="BA20" s="22">
        <f ca="1">IF($L20&lt;&gt;0,VLOOKUP($N20,'Allocation Factors'!$B$12:$AU$603,42,FALSE)*$L20,0)+IF($H20&lt;&gt;0,(VLOOKUP($J20,'Allocation Factors'!$B$12:$AU$603,42,FALSE)*$H20),0)</f>
        <v>0</v>
      </c>
      <c r="BB20" s="22">
        <f ca="1">IF($L20&lt;&gt;0,VLOOKUP($N20,'Allocation Factors'!$B$12:$AU$603,43,FALSE)*$L20,0)+IF($H20&lt;&gt;0,(VLOOKUP($J20,'Allocation Factors'!$B$12:$AU$603,43,FALSE)*$H20),0)</f>
        <v>0</v>
      </c>
      <c r="BC20" s="22">
        <f ca="1">IF($L20&lt;&gt;0,VLOOKUP($N20,'Allocation Factors'!$B$12:$AU$603,44,FALSE)*$L20,0)+IF($H20&lt;&gt;0,(VLOOKUP($J20,'Allocation Factors'!$B$12:$AU$603,44,FALSE)*$H20),0)</f>
        <v>0</v>
      </c>
      <c r="BD20" s="22">
        <f ca="1">IF($L20&lt;&gt;0,VLOOKUP($N20,'Allocation Factors'!$B$12:$AU$603,45,FALSE)*$L20,0)+IF($H20&lt;&gt;0,(VLOOKUP($J20,'Allocation Factors'!$B$12:$AU$603,45,FALSE)*$H20),0)</f>
        <v>0</v>
      </c>
      <c r="BE20" s="22">
        <f ca="1">IF($L20&lt;&gt;0,VLOOKUP($N20,'Allocation Factors'!$B$12:$AU$603,46,FALSE)*$L20,0)+IF($H20&lt;&gt;0,(VLOOKUP($J20,'Allocation Factors'!$B$12:$AU$603,46,FALSE)*$H20),0)</f>
        <v>0</v>
      </c>
      <c r="BF20" s="9"/>
    </row>
    <row r="21" spans="1:58" x14ac:dyDescent="0.25">
      <c r="A21" s="2">
        <f>A20+1</f>
        <v>9</v>
      </c>
      <c r="B21" s="73" t="s">
        <v>113</v>
      </c>
      <c r="D21" s="22">
        <f ca="1">'Total ALLOCATION'!D21-'Gas Cost ALLOCATION'!D21</f>
        <v>79076.800922747643</v>
      </c>
      <c r="E21" s="22"/>
      <c r="F21" s="22">
        <f ca="1">'Total ALLOCATION'!F21-'Gas Cost ALLOCATION'!F21</f>
        <v>79076.800922747643</v>
      </c>
      <c r="H21" s="22">
        <f ca="1">'Total ALLOCATION'!H21</f>
        <v>39116.721621913879</v>
      </c>
      <c r="J21" s="28" t="s">
        <v>378</v>
      </c>
      <c r="L21" s="22">
        <f t="shared" ca="1" si="3"/>
        <v>39960.079300833764</v>
      </c>
      <c r="N21" s="28" t="str">
        <f>'Total ALLOCATION'!N21</f>
        <v>STORAGEXCESS</v>
      </c>
      <c r="P21" s="22">
        <f ca="1">IF($L21&lt;&gt;0,VLOOKUP($N21,'Allocation Factors'!$B$12:$AU$603,5,FALSE)*$L21,0)+IF($H21&lt;&gt;0,(VLOOKUP($J21,'Allocation Factors'!$B$12:$AU$603,5,FALSE)*$H21),0)</f>
        <v>24578.184159976834</v>
      </c>
      <c r="Q21" s="22">
        <f ca="1">IF($L21&lt;&gt;0,VLOOKUP($N21,'Allocation Factors'!$B$12:$AU$603,6,FALSE)*$L21,0)+IF($H21&lt;&gt;0,(VLOOKUP($J21,'Allocation Factors'!$B$12:$AU$603,6,FALSE)*$H21),0)</f>
        <v>19886.356663564224</v>
      </c>
      <c r="R21" s="22">
        <f ca="1">IF($L21&lt;&gt;0,VLOOKUP($N21,'Allocation Factors'!$B$12:$AU$603,7,FALSE)*$L21,0)+IF($H21&lt;&gt;0,(VLOOKUP($J21,'Allocation Factors'!$B$12:$AU$603,7,FALSE)*$H21),0)</f>
        <v>0</v>
      </c>
      <c r="S21" s="22">
        <f ca="1">IF($L21&lt;&gt;0,VLOOKUP($N21,'Allocation Factors'!$B$12:$AU$603,8,FALSE)*$L21,0)+IF($H21&lt;&gt;0,(VLOOKUP($J21,'Allocation Factors'!$B$12:$AU$603,8,FALSE)*$H21),0)</f>
        <v>78.664835607159176</v>
      </c>
      <c r="T21" s="22">
        <f ca="1">IF($L21&lt;&gt;0,VLOOKUP($N21,'Allocation Factors'!$B$12:$AU$603,9,FALSE)*$L21,0)+IF($H21&lt;&gt;0,(VLOOKUP($J21,'Allocation Factors'!$B$12:$AU$603,9,FALSE)*$H21),0)</f>
        <v>1678.8458132512242</v>
      </c>
      <c r="U21" s="22">
        <f ca="1">IF($L21&lt;&gt;0,VLOOKUP($N21,'Allocation Factors'!$B$12:$AU$603,10,FALSE)*$L21,0)+IF($H21&lt;&gt;0,(VLOOKUP($J21,'Allocation Factors'!$B$12:$AU$603,10,FALSE)*$H21),0)</f>
        <v>216.22440745169487</v>
      </c>
      <c r="V21" s="22">
        <f ca="1">IF($L21&lt;&gt;0,VLOOKUP($N21,'Allocation Factors'!$B$12:$AU$603,11,FALSE)*$L21,0)+IF($H21&lt;&gt;0,(VLOOKUP($J21,'Allocation Factors'!$B$12:$AU$603,11,FALSE)*$H21),0)</f>
        <v>0</v>
      </c>
      <c r="W21" s="22">
        <f ca="1">IF($L21&lt;&gt;0,VLOOKUP($N21,'Allocation Factors'!$B$12:$AU$603,12,FALSE)*$L21,0)+IF($H21&lt;&gt;0,(VLOOKUP($J21,'Allocation Factors'!$B$12:$AU$603,12,FALSE)*$H21),0)</f>
        <v>0</v>
      </c>
      <c r="X21" s="22">
        <f ca="1">IF($L21&lt;&gt;0,VLOOKUP($N21,'Allocation Factors'!$B$12:$AU$603,13,FALSE)*$L21,0)+IF($H21&lt;&gt;0,(VLOOKUP($J21,'Allocation Factors'!$B$12:$AU$603,13,FALSE)*$H21),0)</f>
        <v>41.043881256197935</v>
      </c>
      <c r="Y21" s="22">
        <f ca="1">IF($L21&lt;&gt;0,VLOOKUP($N21,'Allocation Factors'!$B$12:$AU$603,14,FALSE)*$L21,0)+IF($H21&lt;&gt;0,(VLOOKUP($J21,'Allocation Factors'!$B$12:$AU$603,14,FALSE)*$H21),0)</f>
        <v>185.23179849990811</v>
      </c>
      <c r="Z21" s="22">
        <f ca="1">IF($L21&lt;&gt;0,VLOOKUP($N21,'Allocation Factors'!$B$12:$AU$603,15,FALSE)*$L21,0)+IF($H21&lt;&gt;0,(VLOOKUP($J21,'Allocation Factors'!$B$12:$AU$603,15,FALSE)*$H21),0)</f>
        <v>712.64907556934077</v>
      </c>
      <c r="AA21" s="22">
        <f ca="1">IF($L21&lt;&gt;0,VLOOKUP($N21,'Allocation Factors'!$B$12:$AU$603,16,FALSE)*$L21,0)+IF($H21&lt;&gt;0,(VLOOKUP($J21,'Allocation Factors'!$B$12:$AU$603,16,FALSE)*$H21),0)</f>
        <v>0</v>
      </c>
      <c r="AB21" s="22">
        <f ca="1">IF($L21&lt;&gt;0,VLOOKUP($N21,'Allocation Factors'!$B$12:$AU$603,17,FALSE)*$L21,0)+IF($H21&lt;&gt;0,(VLOOKUP($J21,'Allocation Factors'!$B$12:$AU$603,17,FALSE)*$H21),0)</f>
        <v>180.32195057010577</v>
      </c>
      <c r="AC21" s="22">
        <f ca="1">IF($L21&lt;&gt;0,VLOOKUP($N21,'Allocation Factors'!$B$12:$AU$603,18,FALSE)*$L21,0)+IF($H21&lt;&gt;0,(VLOOKUP($J21,'Allocation Factors'!$B$12:$AU$603,18,FALSE)*$H21),0)</f>
        <v>4886.4615544477765</v>
      </c>
      <c r="AD21" s="22">
        <f ca="1">IF($L21&lt;&gt;0,VLOOKUP($N21,'Allocation Factors'!$B$12:$AU$603,19,FALSE)*$L21,0)+IF($H21&lt;&gt;0,(VLOOKUP($J21,'Allocation Factors'!$B$12:$AU$603,19,FALSE)*$H21),0)</f>
        <v>1213.883337205192</v>
      </c>
      <c r="AE21" s="22">
        <f ca="1">IF($L21&lt;&gt;0,VLOOKUP($N21,'Allocation Factors'!$B$12:$AU$603,20,FALSE)*$L21,0)+IF($H21&lt;&gt;0,(VLOOKUP($J21,'Allocation Factors'!$B$12:$AU$603,20,FALSE)*$H21),0)</f>
        <v>166.04232727334218</v>
      </c>
      <c r="AF21" s="22">
        <f ca="1">IF($L21&lt;&gt;0,VLOOKUP($N21,'Allocation Factors'!$B$12:$AU$603,21,FALSE)*$L21,0)+IF($H21&lt;&gt;0,(VLOOKUP($J21,'Allocation Factors'!$B$12:$AU$603,21,FALSE)*$H21),0)</f>
        <v>0</v>
      </c>
      <c r="AG21" s="22">
        <f ca="1">IF($L21&lt;&gt;0,VLOOKUP($N21,'Allocation Factors'!$B$12:$AU$603,22,FALSE)*$L21,0)+IF($H21&lt;&gt;0,(VLOOKUP($J21,'Allocation Factors'!$B$12:$AU$603,22,FALSE)*$H21),0)</f>
        <v>0</v>
      </c>
      <c r="AH21" s="22">
        <f ca="1">IF($L21&lt;&gt;0,VLOOKUP($N21,'Allocation Factors'!$B$12:$AU$603,23,FALSE)*$L21,0)+IF($H21&lt;&gt;0,(VLOOKUP($J21,'Allocation Factors'!$B$12:$AU$603,23,FALSE)*$H21),0)</f>
        <v>15464.811209885396</v>
      </c>
      <c r="AI21" s="22">
        <f ca="1">IF($L21&lt;&gt;0,VLOOKUP($N21,'Allocation Factors'!$B$12:$AU$603,24,FALSE)*$L21,0)+IF($H21&lt;&gt;0,(VLOOKUP($J21,'Allocation Factors'!$B$12:$AU$603,24,FALSE)*$H21),0)</f>
        <v>4654.5630793714126</v>
      </c>
      <c r="AJ21" s="22">
        <f ca="1">IF($L21&lt;&gt;0,VLOOKUP($N21,'Allocation Factors'!$B$12:$AU$603,25,FALSE)*$L21,0)+IF($H21&lt;&gt;0,(VLOOKUP($J21,'Allocation Factors'!$B$12:$AU$603,25,FALSE)*$H21),0)</f>
        <v>956.82706166990079</v>
      </c>
      <c r="AK21" s="22">
        <f ca="1">IF($L21&lt;&gt;0,VLOOKUP($N21,'Allocation Factors'!$B$12:$AU$603,26,FALSE)*$L21,0)+IF($H21&lt;&gt;0,(VLOOKUP($J21,'Allocation Factors'!$B$12:$AU$603,26,FALSE)*$H21),0)</f>
        <v>2.061047475570184</v>
      </c>
      <c r="AL21" s="22">
        <f ca="1">IF($L21&lt;&gt;0,VLOOKUP($N21,'Allocation Factors'!$B$12:$AU$603,27,FALSE)*$L21,0)+IF($H21&lt;&gt;0,(VLOOKUP($J21,'Allocation Factors'!$B$12:$AU$603,27,FALSE)*$H21),0)</f>
        <v>3.7960990564872992</v>
      </c>
      <c r="AM21" s="22">
        <f ca="1">IF($L21&lt;&gt;0,VLOOKUP($N21,'Allocation Factors'!$B$12:$AU$603,28,FALSE)*$L21,0)+IF($H21&lt;&gt;0,(VLOOKUP($J21,'Allocation Factors'!$B$12:$AU$603,28,FALSE)*$H21),0)</f>
        <v>0</v>
      </c>
      <c r="AN21" s="22">
        <f ca="1">IF($L21&lt;&gt;0,VLOOKUP($N21,'Allocation Factors'!$B$12:$AU$603,29,FALSE)*$L21,0)+IF($H21&lt;&gt;0,(VLOOKUP($J21,'Allocation Factors'!$B$12:$AU$603,29,FALSE)*$H21),0)</f>
        <v>1314.6485754198704</v>
      </c>
      <c r="AO21" s="22">
        <f ca="1">IF($L21&lt;&gt;0,VLOOKUP($N21,'Allocation Factors'!$B$12:$AU$603,30,FALSE)*$L21,0)+IF($H21&lt;&gt;0,(VLOOKUP($J21,'Allocation Factors'!$B$12:$AU$603,30,FALSE)*$H21),0)</f>
        <v>136.59040687099417</v>
      </c>
      <c r="AP21" s="22">
        <f ca="1">IF($L21&lt;&gt;0,VLOOKUP($N21,'Allocation Factors'!$B$12:$AU$603,31,FALSE)*$L21,0)+IF($H21&lt;&gt;0,(VLOOKUP($J21,'Allocation Factors'!$B$12:$AU$603,31,FALSE)*$H21),0)</f>
        <v>133.17091128548418</v>
      </c>
      <c r="AQ21" s="22">
        <f ca="1">IF($L21&lt;&gt;0,VLOOKUP($N21,'Allocation Factors'!$B$12:$AU$603,32,FALSE)*$L21,0)+IF($H21&lt;&gt;0,(VLOOKUP($J21,'Allocation Factors'!$B$12:$AU$603,32,FALSE)*$H21),0)</f>
        <v>0</v>
      </c>
      <c r="AR21" s="22">
        <f ca="1">IF($L21&lt;&gt;0,VLOOKUP($N21,'Allocation Factors'!$B$12:$AU$603,33,FALSE)*$L21,0)+IF($H21&lt;&gt;0,(VLOOKUP($J21,'Allocation Factors'!$B$12:$AU$603,33,FALSE)*$H21),0)</f>
        <v>272.44560800990564</v>
      </c>
      <c r="AS21" s="22">
        <f ca="1">IF($L21&lt;&gt;0,VLOOKUP($N21,'Allocation Factors'!$B$12:$AU$603,34,FALSE)*$L21,0)+IF($H21&lt;&gt;0,(VLOOKUP($J21,'Allocation Factors'!$B$12:$AU$603,34,FALSE)*$H21),0)</f>
        <v>0</v>
      </c>
      <c r="AT21" s="22">
        <f ca="1">IF($L21&lt;&gt;0,VLOOKUP($N21,'Allocation Factors'!$B$12:$AU$603,35,FALSE)*$L21,0)+IF($H21&lt;&gt;0,(VLOOKUP($J21,'Allocation Factors'!$B$12:$AU$603,35,FALSE)*$H21),0)</f>
        <v>1725.6274037940896</v>
      </c>
      <c r="AU21" s="22">
        <f ca="1">IF($L21&lt;&gt;0,VLOOKUP($N21,'Allocation Factors'!$B$12:$AU$603,36,FALSE)*$L21,0)+IF($H21&lt;&gt;0,(VLOOKUP($J21,'Allocation Factors'!$B$12:$AU$603,36,FALSE)*$H21),0)</f>
        <v>0</v>
      </c>
      <c r="AV21" s="22">
        <f ca="1">IF($L21&lt;&gt;0,VLOOKUP($N21,'Allocation Factors'!$B$12:$AU$603,37,FALSE)*$L21,0)+IF($H21&lt;&gt;0,(VLOOKUP($J21,'Allocation Factors'!$B$12:$AU$603,37,FALSE)*$H21),0)</f>
        <v>588.34971523552792</v>
      </c>
      <c r="AW21" s="22">
        <f ca="1">IF($L21&lt;&gt;0,VLOOKUP($N21,'Allocation Factors'!$B$12:$AU$603,38,FALSE)*$L21,0)+IF($H21&lt;&gt;0,(VLOOKUP($J21,'Allocation Factors'!$B$12:$AU$603,38,FALSE)*$H21),0)</f>
        <v>0</v>
      </c>
      <c r="AX21" s="22">
        <f ca="1">IF($L21&lt;&gt;0,VLOOKUP($N21,'Allocation Factors'!$B$12:$AU$603,39,FALSE)*$L21,0)+IF($H21&lt;&gt;0,(VLOOKUP($J21,'Allocation Factors'!$B$12:$AU$603,39,FALSE)*$H21),0)</f>
        <v>0</v>
      </c>
      <c r="AY21" s="22">
        <f ca="1">IF($L21&lt;&gt;0,VLOOKUP($N21,'Allocation Factors'!$B$12:$AU$603,40,FALSE)*$L21,0)+IF($H21&lt;&gt;0,(VLOOKUP($J21,'Allocation Factors'!$B$12:$AU$603,40,FALSE)*$H21),0)</f>
        <v>0</v>
      </c>
      <c r="AZ21" s="22">
        <f ca="1">IF($L21&lt;&gt;0,VLOOKUP($N21,'Allocation Factors'!$B$12:$AU$603,41,FALSE)*$L21,0)+IF($H21&lt;&gt;0,(VLOOKUP($J21,'Allocation Factors'!$B$12:$AU$603,41,FALSE)*$H21),0)</f>
        <v>0</v>
      </c>
      <c r="BA21" s="22">
        <f ca="1">IF($L21&lt;&gt;0,VLOOKUP($N21,'Allocation Factors'!$B$12:$AU$603,42,FALSE)*$L21,0)+IF($H21&lt;&gt;0,(VLOOKUP($J21,'Allocation Factors'!$B$12:$AU$603,42,FALSE)*$H21),0)</f>
        <v>0</v>
      </c>
      <c r="BB21" s="22">
        <f ca="1">IF($L21&lt;&gt;0,VLOOKUP($N21,'Allocation Factors'!$B$12:$AU$603,43,FALSE)*$L21,0)+IF($H21&lt;&gt;0,(VLOOKUP($J21,'Allocation Factors'!$B$12:$AU$603,43,FALSE)*$H21),0)</f>
        <v>0</v>
      </c>
      <c r="BC21" s="22">
        <f ca="1">IF($L21&lt;&gt;0,VLOOKUP($N21,'Allocation Factors'!$B$12:$AU$603,44,FALSE)*$L21,0)+IF($H21&lt;&gt;0,(VLOOKUP($J21,'Allocation Factors'!$B$12:$AU$603,44,FALSE)*$H21),0)</f>
        <v>0</v>
      </c>
      <c r="BD21" s="22">
        <f ca="1">IF($L21&lt;&gt;0,VLOOKUP($N21,'Allocation Factors'!$B$12:$AU$603,45,FALSE)*$L21,0)+IF($H21&lt;&gt;0,(VLOOKUP($J21,'Allocation Factors'!$B$12:$AU$603,45,FALSE)*$H21),0)</f>
        <v>0</v>
      </c>
      <c r="BE21" s="22">
        <f ca="1">IF($L21&lt;&gt;0,VLOOKUP($N21,'Allocation Factors'!$B$12:$AU$603,46,FALSE)*$L21,0)+IF($H21&lt;&gt;0,(VLOOKUP($J21,'Allocation Factors'!$B$12:$AU$603,46,FALSE)*$H21),0)</f>
        <v>0</v>
      </c>
      <c r="BF21" s="9"/>
    </row>
    <row r="22" spans="1:58" x14ac:dyDescent="0.25">
      <c r="A22" s="2">
        <f t="shared" ref="A22:A24" si="4">A21+1</f>
        <v>10</v>
      </c>
      <c r="B22" s="73" t="s">
        <v>393</v>
      </c>
      <c r="D22" s="22">
        <f ca="1">'Total ALLOCATION'!D22-'Gas Cost ALLOCATION'!D22</f>
        <v>7187.0902823989782</v>
      </c>
      <c r="E22" s="22"/>
      <c r="F22" s="22">
        <f ca="1">'Total ALLOCATION'!F22-'Gas Cost ALLOCATION'!F22</f>
        <v>7187.0902823989782</v>
      </c>
      <c r="L22" s="22">
        <f t="shared" ca="1" si="3"/>
        <v>7187.0902823989782</v>
      </c>
      <c r="N22" s="28" t="str">
        <f>'Total ALLOCATION'!N22</f>
        <v>OP_CONTINGENCY</v>
      </c>
      <c r="P22" s="22">
        <f ca="1">IF($L22&lt;&gt;0,VLOOKUP($N22,'Allocation Factors'!$B$12:$AU$603,5,FALSE)*$L22,0)+IF($H22&lt;&gt;0,(VLOOKUP($J22,'Allocation Factors'!$B$12:$AU$603,5,FALSE)*$H22),0)</f>
        <v>2045.5370771922462</v>
      </c>
      <c r="Q22" s="22">
        <f ca="1">IF($L22&lt;&gt;0,VLOOKUP($N22,'Allocation Factors'!$B$12:$AU$603,6,FALSE)*$L22,0)+IF($H22&lt;&gt;0,(VLOOKUP($J22,'Allocation Factors'!$B$12:$AU$603,6,FALSE)*$H22),0)</f>
        <v>1807.0584001049335</v>
      </c>
      <c r="R22" s="22">
        <f ca="1">IF($L22&lt;&gt;0,VLOOKUP($N22,'Allocation Factors'!$B$12:$AU$603,7,FALSE)*$L22,0)+IF($H22&lt;&gt;0,(VLOOKUP($J22,'Allocation Factors'!$B$12:$AU$603,7,FALSE)*$H22),0)</f>
        <v>0</v>
      </c>
      <c r="S22" s="22">
        <f ca="1">IF($L22&lt;&gt;0,VLOOKUP($N22,'Allocation Factors'!$B$12:$AU$603,8,FALSE)*$L22,0)+IF($H22&lt;&gt;0,(VLOOKUP($J22,'Allocation Factors'!$B$12:$AU$603,8,FALSE)*$H22),0)</f>
        <v>1.9279566980881546</v>
      </c>
      <c r="T22" s="22">
        <f ca="1">IF($L22&lt;&gt;0,VLOOKUP($N22,'Allocation Factors'!$B$12:$AU$603,9,FALSE)*$L22,0)+IF($H22&lt;&gt;0,(VLOOKUP($J22,'Allocation Factors'!$B$12:$AU$603,9,FALSE)*$H22),0)</f>
        <v>55.449573073136953</v>
      </c>
      <c r="U22" s="22">
        <f ca="1">IF($L22&lt;&gt;0,VLOOKUP($N22,'Allocation Factors'!$B$12:$AU$603,10,FALSE)*$L22,0)+IF($H22&lt;&gt;0,(VLOOKUP($J22,'Allocation Factors'!$B$12:$AU$603,10,FALSE)*$H22),0)</f>
        <v>13.00617631606552</v>
      </c>
      <c r="V22" s="22">
        <f ca="1">IF($L22&lt;&gt;0,VLOOKUP($N22,'Allocation Factors'!$B$12:$AU$603,11,FALSE)*$L22,0)+IF($H22&lt;&gt;0,(VLOOKUP($J22,'Allocation Factors'!$B$12:$AU$603,11,FALSE)*$H22),0)</f>
        <v>15.73806982884358</v>
      </c>
      <c r="W22" s="22">
        <f ca="1">IF($L22&lt;&gt;0,VLOOKUP($N22,'Allocation Factors'!$B$12:$AU$603,12,FALSE)*$L22,0)+IF($H22&lt;&gt;0,(VLOOKUP($J22,'Allocation Factors'!$B$12:$AU$603,12,FALSE)*$H22),0)</f>
        <v>1.0559209442238249</v>
      </c>
      <c r="X22" s="22">
        <f ca="1">IF($L22&lt;&gt;0,VLOOKUP($N22,'Allocation Factors'!$B$12:$AU$603,13,FALSE)*$L22,0)+IF($H22&lt;&gt;0,(VLOOKUP($J22,'Allocation Factors'!$B$12:$AU$603,13,FALSE)*$H22),0)</f>
        <v>0.79527573672556007</v>
      </c>
      <c r="Y22" s="22">
        <f ca="1">IF($L22&lt;&gt;0,VLOOKUP($N22,'Allocation Factors'!$B$12:$AU$603,14,FALSE)*$L22,0)+IF($H22&lt;&gt;0,(VLOOKUP($J22,'Allocation Factors'!$B$12:$AU$603,14,FALSE)*$H22),0)</f>
        <v>8.4029720637552998</v>
      </c>
      <c r="Z22" s="22">
        <f ca="1">IF($L22&lt;&gt;0,VLOOKUP($N22,'Allocation Factors'!$B$12:$AU$603,15,FALSE)*$L22,0)+IF($H22&lt;&gt;0,(VLOOKUP($J22,'Allocation Factors'!$B$12:$AU$603,15,FALSE)*$H22),0)</f>
        <v>15.638304583538943</v>
      </c>
      <c r="AA22" s="22">
        <f ca="1">IF($L22&lt;&gt;0,VLOOKUP($N22,'Allocation Factors'!$B$12:$AU$603,16,FALSE)*$L22,0)+IF($H22&lt;&gt;0,(VLOOKUP($J22,'Allocation Factors'!$B$12:$AU$603,16,FALSE)*$H22),0)</f>
        <v>0</v>
      </c>
      <c r="AB22" s="22">
        <f ca="1">IF($L22&lt;&gt;0,VLOOKUP($N22,'Allocation Factors'!$B$12:$AU$603,17,FALSE)*$L22,0)+IF($H22&lt;&gt;0,(VLOOKUP($J22,'Allocation Factors'!$B$12:$AU$603,17,FALSE)*$H22),0)</f>
        <v>5.4200675596146111</v>
      </c>
      <c r="AC22" s="22">
        <f ca="1">IF($L22&lt;&gt;0,VLOOKUP($N22,'Allocation Factors'!$B$12:$AU$603,18,FALSE)*$L22,0)+IF($H22&lt;&gt;0,(VLOOKUP($J22,'Allocation Factors'!$B$12:$AU$603,18,FALSE)*$H22),0)</f>
        <v>403.56691353774812</v>
      </c>
      <c r="AD22" s="22">
        <f ca="1">IF($L22&lt;&gt;0,VLOOKUP($N22,'Allocation Factors'!$B$12:$AU$603,19,FALSE)*$L22,0)+IF($H22&lt;&gt;0,(VLOOKUP($J22,'Allocation Factors'!$B$12:$AU$603,19,FALSE)*$H22),0)</f>
        <v>117.06626312521448</v>
      </c>
      <c r="AE22" s="22">
        <f ca="1">IF($L22&lt;&gt;0,VLOOKUP($N22,'Allocation Factors'!$B$12:$AU$603,20,FALSE)*$L22,0)+IF($H22&lt;&gt;0,(VLOOKUP($J22,'Allocation Factors'!$B$12:$AU$603,20,FALSE)*$H22),0)</f>
        <v>21.51032420304966</v>
      </c>
      <c r="AF22" s="22">
        <f ca="1">IF($L22&lt;&gt;0,VLOOKUP($N22,'Allocation Factors'!$B$12:$AU$603,21,FALSE)*$L22,0)+IF($H22&lt;&gt;0,(VLOOKUP($J22,'Allocation Factors'!$B$12:$AU$603,21,FALSE)*$H22),0)</f>
        <v>2.4195662547411994</v>
      </c>
      <c r="AG22" s="22">
        <f ca="1">IF($L22&lt;&gt;0,VLOOKUP($N22,'Allocation Factors'!$B$12:$AU$603,22,FALSE)*$L22,0)+IF($H22&lt;&gt;0,(VLOOKUP($J22,'Allocation Factors'!$B$12:$AU$603,22,FALSE)*$H22),0)</f>
        <v>20.534197556870101</v>
      </c>
      <c r="AH22" s="22">
        <f ca="1">IF($L22&lt;&gt;0,VLOOKUP($N22,'Allocation Factors'!$B$12:$AU$603,23,FALSE)*$L22,0)+IF($H22&lt;&gt;0,(VLOOKUP($J22,'Allocation Factors'!$B$12:$AU$603,23,FALSE)*$H22),0)</f>
        <v>1301.514870047165</v>
      </c>
      <c r="AI22" s="22">
        <f ca="1">IF($L22&lt;&gt;0,VLOOKUP($N22,'Allocation Factors'!$B$12:$AU$603,24,FALSE)*$L22,0)+IF($H22&lt;&gt;0,(VLOOKUP($J22,'Allocation Factors'!$B$12:$AU$603,24,FALSE)*$H22),0)</f>
        <v>461.09053078959897</v>
      </c>
      <c r="AJ22" s="22">
        <f ca="1">IF($L22&lt;&gt;0,VLOOKUP($N22,'Allocation Factors'!$B$12:$AU$603,25,FALSE)*$L22,0)+IF($H22&lt;&gt;0,(VLOOKUP($J22,'Allocation Factors'!$B$12:$AU$603,25,FALSE)*$H22),0)</f>
        <v>34.107039426795161</v>
      </c>
      <c r="AK22" s="22">
        <f ca="1">IF($L22&lt;&gt;0,VLOOKUP($N22,'Allocation Factors'!$B$12:$AU$603,26,FALSE)*$L22,0)+IF($H22&lt;&gt;0,(VLOOKUP($J22,'Allocation Factors'!$B$12:$AU$603,26,FALSE)*$H22),0)</f>
        <v>2.9422635959175575E-2</v>
      </c>
      <c r="AL22" s="22">
        <f ca="1">IF($L22&lt;&gt;0,VLOOKUP($N22,'Allocation Factors'!$B$12:$AU$603,27,FALSE)*$L22,0)+IF($H22&lt;&gt;0,(VLOOKUP($J22,'Allocation Factors'!$B$12:$AU$603,27,FALSE)*$H22),0)</f>
        <v>0.22853565329289349</v>
      </c>
      <c r="AM22" s="22">
        <f ca="1">IF($L22&lt;&gt;0,VLOOKUP($N22,'Allocation Factors'!$B$12:$AU$603,28,FALSE)*$L22,0)+IF($H22&lt;&gt;0,(VLOOKUP($J22,'Allocation Factors'!$B$12:$AU$603,28,FALSE)*$H22),0)</f>
        <v>1.0509020585585727</v>
      </c>
      <c r="AN22" s="22">
        <f ca="1">IF($L22&lt;&gt;0,VLOOKUP($N22,'Allocation Factors'!$B$12:$AU$603,29,FALSE)*$L22,0)+IF($H22&lt;&gt;0,(VLOOKUP($J22,'Allocation Factors'!$B$12:$AU$603,29,FALSE)*$H22),0)</f>
        <v>46.098882252396052</v>
      </c>
      <c r="AO22" s="22">
        <f ca="1">IF($L22&lt;&gt;0,VLOOKUP($N22,'Allocation Factors'!$B$12:$AU$603,30,FALSE)*$L22,0)+IF($H22&lt;&gt;0,(VLOOKUP($J22,'Allocation Factors'!$B$12:$AU$603,30,FALSE)*$H22),0)</f>
        <v>3.0988372574920531</v>
      </c>
      <c r="AP22" s="22">
        <f ca="1">IF($L22&lt;&gt;0,VLOOKUP($N22,'Allocation Factors'!$B$12:$AU$603,31,FALSE)*$L22,0)+IF($H22&lt;&gt;0,(VLOOKUP($J22,'Allocation Factors'!$B$12:$AU$603,31,FALSE)*$H22),0)</f>
        <v>4.6821782774057921</v>
      </c>
      <c r="AQ22" s="22">
        <f ca="1">IF($L22&lt;&gt;0,VLOOKUP($N22,'Allocation Factors'!$B$12:$AU$603,32,FALSE)*$L22,0)+IF($H22&lt;&gt;0,(VLOOKUP($J22,'Allocation Factors'!$B$12:$AU$603,32,FALSE)*$H22),0)</f>
        <v>0</v>
      </c>
      <c r="AR22" s="22">
        <f ca="1">IF($L22&lt;&gt;0,VLOOKUP($N22,'Allocation Factors'!$B$12:$AU$603,33,FALSE)*$L22,0)+IF($H22&lt;&gt;0,(VLOOKUP($J22,'Allocation Factors'!$B$12:$AU$603,33,FALSE)*$H22),0)</f>
        <v>18.617576508642358</v>
      </c>
      <c r="AS22" s="22">
        <f ca="1">IF($L22&lt;&gt;0,VLOOKUP($N22,'Allocation Factors'!$B$12:$AU$603,34,FALSE)*$L22,0)+IF($H22&lt;&gt;0,(VLOOKUP($J22,'Allocation Factors'!$B$12:$AU$603,34,FALSE)*$H22),0)</f>
        <v>0</v>
      </c>
      <c r="AT22" s="22">
        <f ca="1">IF($L22&lt;&gt;0,VLOOKUP($N22,'Allocation Factors'!$B$12:$AU$603,35,FALSE)*$L22,0)+IF($H22&lt;&gt;0,(VLOOKUP($J22,'Allocation Factors'!$B$12:$AU$603,35,FALSE)*$H22),0)</f>
        <v>184.23130022607631</v>
      </c>
      <c r="AU22" s="22">
        <f ca="1">IF($L22&lt;&gt;0,VLOOKUP($N22,'Allocation Factors'!$B$12:$AU$603,36,FALSE)*$L22,0)+IF($H22&lt;&gt;0,(VLOOKUP($J22,'Allocation Factors'!$B$12:$AU$603,36,FALSE)*$H22),0)</f>
        <v>0</v>
      </c>
      <c r="AV22" s="22">
        <f ca="1">IF($L22&lt;&gt;0,VLOOKUP($N22,'Allocation Factors'!$B$12:$AU$603,37,FALSE)*$L22,0)+IF($H22&lt;&gt;0,(VLOOKUP($J22,'Allocation Factors'!$B$12:$AU$603,37,FALSE)*$H22),0)</f>
        <v>23.888810164229408</v>
      </c>
      <c r="AW22" s="22">
        <f ca="1">IF($L22&lt;&gt;0,VLOOKUP($N22,'Allocation Factors'!$B$12:$AU$603,38,FALSE)*$L22,0)+IF($H22&lt;&gt;0,(VLOOKUP($J22,'Allocation Factors'!$B$12:$AU$603,38,FALSE)*$H22),0)</f>
        <v>5.5984842465225819</v>
      </c>
      <c r="AX22" s="22">
        <f ca="1">IF($L22&lt;&gt;0,VLOOKUP($N22,'Allocation Factors'!$B$12:$AU$603,39,FALSE)*$L22,0)+IF($H22&lt;&gt;0,(VLOOKUP($J22,'Allocation Factors'!$B$12:$AU$603,39,FALSE)*$H22),0)</f>
        <v>46.969377162757951</v>
      </c>
      <c r="AY22" s="22">
        <f ca="1">IF($L22&lt;&gt;0,VLOOKUP($N22,'Allocation Factors'!$B$12:$AU$603,40,FALSE)*$L22,0)+IF($H22&lt;&gt;0,(VLOOKUP($J22,'Allocation Factors'!$B$12:$AU$603,40,FALSE)*$H22),0)</f>
        <v>0</v>
      </c>
      <c r="AZ22" s="22">
        <f ca="1">IF($L22&lt;&gt;0,VLOOKUP($N22,'Allocation Factors'!$B$12:$AU$603,41,FALSE)*$L22,0)+IF($H22&lt;&gt;0,(VLOOKUP($J22,'Allocation Factors'!$B$12:$AU$603,41,FALSE)*$H22),0)</f>
        <v>121.46239388566299</v>
      </c>
      <c r="BA22" s="22">
        <f ca="1">IF($L22&lt;&gt;0,VLOOKUP($N22,'Allocation Factors'!$B$12:$AU$603,42,FALSE)*$L22,0)+IF($H22&lt;&gt;0,(VLOOKUP($J22,'Allocation Factors'!$B$12:$AU$603,42,FALSE)*$H22),0)</f>
        <v>21.024242032685336</v>
      </c>
      <c r="BB22" s="22">
        <f ca="1">IF($L22&lt;&gt;0,VLOOKUP($N22,'Allocation Factors'!$B$12:$AU$603,43,FALSE)*$L22,0)+IF($H22&lt;&gt;0,(VLOOKUP($J22,'Allocation Factors'!$B$12:$AU$603,43,FALSE)*$H22),0)</f>
        <v>369.83127006899406</v>
      </c>
      <c r="BC22" s="22">
        <f ca="1">IF($L22&lt;&gt;0,VLOOKUP($N22,'Allocation Factors'!$B$12:$AU$603,44,FALSE)*$L22,0)+IF($H22&lt;&gt;0,(VLOOKUP($J22,'Allocation Factors'!$B$12:$AU$603,44,FALSE)*$H22),0)</f>
        <v>2.2058360187833879</v>
      </c>
      <c r="BD22" s="22">
        <f ca="1">IF($L22&lt;&gt;0,VLOOKUP($N22,'Allocation Factors'!$B$12:$AU$603,45,FALSE)*$L22,0)+IF($H22&lt;&gt;0,(VLOOKUP($J22,'Allocation Factors'!$B$12:$AU$603,45,FALSE)*$H22),0)</f>
        <v>5.0133959794646312</v>
      </c>
      <c r="BE22" s="22">
        <f ca="1">IF($L22&lt;&gt;0,VLOOKUP($N22,'Allocation Factors'!$B$12:$AU$603,46,FALSE)*$L22,0)+IF($H22&lt;&gt;0,(VLOOKUP($J22,'Allocation Factors'!$B$12:$AU$603,46,FALSE)*$H22),0)</f>
        <v>1.2193389276999911</v>
      </c>
      <c r="BF22" s="9"/>
    </row>
    <row r="23" spans="1:58" x14ac:dyDescent="0.25">
      <c r="A23" s="2">
        <f t="shared" si="4"/>
        <v>11</v>
      </c>
      <c r="B23" s="73" t="s">
        <v>114</v>
      </c>
      <c r="D23" s="22">
        <f ca="1">'Total ALLOCATION'!D23-'Gas Cost ALLOCATION'!D23</f>
        <v>0</v>
      </c>
      <c r="E23" s="22"/>
      <c r="F23" s="22">
        <f ca="1">'Total ALLOCATION'!F23-'Gas Cost ALLOCATION'!F23</f>
        <v>0</v>
      </c>
      <c r="L23" s="22">
        <f t="shared" ca="1" si="3"/>
        <v>0</v>
      </c>
      <c r="N23" s="28" t="str">
        <f>'Total ALLOCATION'!N23</f>
        <v>STORCOMM</v>
      </c>
      <c r="P23" s="22">
        <f ca="1">IF($L23&lt;&gt;0,VLOOKUP($N23,'Allocation Factors'!$B$12:$AU$603,5,FALSE)*$L23,0)+IF($H23&lt;&gt;0,(VLOOKUP($J23,'Allocation Factors'!$B$12:$AU$603,5,FALSE)*$H23),0)</f>
        <v>0</v>
      </c>
      <c r="Q23" s="22">
        <f ca="1">IF($L23&lt;&gt;0,VLOOKUP($N23,'Allocation Factors'!$B$12:$AU$603,6,FALSE)*$L23,0)+IF($H23&lt;&gt;0,(VLOOKUP($J23,'Allocation Factors'!$B$12:$AU$603,6,FALSE)*$H23),0)</f>
        <v>0</v>
      </c>
      <c r="R23" s="22">
        <f ca="1">IF($L23&lt;&gt;0,VLOOKUP($N23,'Allocation Factors'!$B$12:$AU$603,7,FALSE)*$L23,0)+IF($H23&lt;&gt;0,(VLOOKUP($J23,'Allocation Factors'!$B$12:$AU$603,7,FALSE)*$H23),0)</f>
        <v>0</v>
      </c>
      <c r="S23" s="22">
        <f ca="1">IF($L23&lt;&gt;0,VLOOKUP($N23,'Allocation Factors'!$B$12:$AU$603,8,FALSE)*$L23,0)+IF($H23&lt;&gt;0,(VLOOKUP($J23,'Allocation Factors'!$B$12:$AU$603,8,FALSE)*$H23),0)</f>
        <v>0</v>
      </c>
      <c r="T23" s="22">
        <f ca="1">IF($L23&lt;&gt;0,VLOOKUP($N23,'Allocation Factors'!$B$12:$AU$603,9,FALSE)*$L23,0)+IF($H23&lt;&gt;0,(VLOOKUP($J23,'Allocation Factors'!$B$12:$AU$603,9,FALSE)*$H23),0)</f>
        <v>0</v>
      </c>
      <c r="U23" s="22">
        <f ca="1">IF($L23&lt;&gt;0,VLOOKUP($N23,'Allocation Factors'!$B$12:$AU$603,10,FALSE)*$L23,0)+IF($H23&lt;&gt;0,(VLOOKUP($J23,'Allocation Factors'!$B$12:$AU$603,10,FALSE)*$H23),0)</f>
        <v>0</v>
      </c>
      <c r="V23" s="22">
        <f ca="1">IF($L23&lt;&gt;0,VLOOKUP($N23,'Allocation Factors'!$B$12:$AU$603,11,FALSE)*$L23,0)+IF($H23&lt;&gt;0,(VLOOKUP($J23,'Allocation Factors'!$B$12:$AU$603,11,FALSE)*$H23),0)</f>
        <v>0</v>
      </c>
      <c r="W23" s="22">
        <f ca="1">IF($L23&lt;&gt;0,VLOOKUP($N23,'Allocation Factors'!$B$12:$AU$603,12,FALSE)*$L23,0)+IF($H23&lt;&gt;0,(VLOOKUP($J23,'Allocation Factors'!$B$12:$AU$603,12,FALSE)*$H23),0)</f>
        <v>0</v>
      </c>
      <c r="X23" s="22">
        <f ca="1">IF($L23&lt;&gt;0,VLOOKUP($N23,'Allocation Factors'!$B$12:$AU$603,13,FALSE)*$L23,0)+IF($H23&lt;&gt;0,(VLOOKUP($J23,'Allocation Factors'!$B$12:$AU$603,13,FALSE)*$H23),0)</f>
        <v>0</v>
      </c>
      <c r="Y23" s="22">
        <f ca="1">IF($L23&lt;&gt;0,VLOOKUP($N23,'Allocation Factors'!$B$12:$AU$603,14,FALSE)*$L23,0)+IF($H23&lt;&gt;0,(VLOOKUP($J23,'Allocation Factors'!$B$12:$AU$603,14,FALSE)*$H23),0)</f>
        <v>0</v>
      </c>
      <c r="Z23" s="22">
        <f ca="1">IF($L23&lt;&gt;0,VLOOKUP($N23,'Allocation Factors'!$B$12:$AU$603,15,FALSE)*$L23,0)+IF($H23&lt;&gt;0,(VLOOKUP($J23,'Allocation Factors'!$B$12:$AU$603,15,FALSE)*$H23),0)</f>
        <v>0</v>
      </c>
      <c r="AA23" s="22">
        <f ca="1">IF($L23&lt;&gt;0,VLOOKUP($N23,'Allocation Factors'!$B$12:$AU$603,16,FALSE)*$L23,0)+IF($H23&lt;&gt;0,(VLOOKUP($J23,'Allocation Factors'!$B$12:$AU$603,16,FALSE)*$H23),0)</f>
        <v>0</v>
      </c>
      <c r="AB23" s="22">
        <f ca="1">IF($L23&lt;&gt;0,VLOOKUP($N23,'Allocation Factors'!$B$12:$AU$603,17,FALSE)*$L23,0)+IF($H23&lt;&gt;0,(VLOOKUP($J23,'Allocation Factors'!$B$12:$AU$603,17,FALSE)*$H23),0)</f>
        <v>0</v>
      </c>
      <c r="AC23" s="22">
        <f ca="1">IF($L23&lt;&gt;0,VLOOKUP($N23,'Allocation Factors'!$B$12:$AU$603,18,FALSE)*$L23,0)+IF($H23&lt;&gt;0,(VLOOKUP($J23,'Allocation Factors'!$B$12:$AU$603,18,FALSE)*$H23),0)</f>
        <v>0</v>
      </c>
      <c r="AD23" s="22">
        <f ca="1">IF($L23&lt;&gt;0,VLOOKUP($N23,'Allocation Factors'!$B$12:$AU$603,19,FALSE)*$L23,0)+IF($H23&lt;&gt;0,(VLOOKUP($J23,'Allocation Factors'!$B$12:$AU$603,19,FALSE)*$H23),0)</f>
        <v>0</v>
      </c>
      <c r="AE23" s="22">
        <f ca="1">IF($L23&lt;&gt;0,VLOOKUP($N23,'Allocation Factors'!$B$12:$AU$603,20,FALSE)*$L23,0)+IF($H23&lt;&gt;0,(VLOOKUP($J23,'Allocation Factors'!$B$12:$AU$603,20,FALSE)*$H23),0)</f>
        <v>0</v>
      </c>
      <c r="AF23" s="22">
        <f ca="1">IF($L23&lt;&gt;0,VLOOKUP($N23,'Allocation Factors'!$B$12:$AU$603,21,FALSE)*$L23,0)+IF($H23&lt;&gt;0,(VLOOKUP($J23,'Allocation Factors'!$B$12:$AU$603,21,FALSE)*$H23),0)</f>
        <v>0</v>
      </c>
      <c r="AG23" s="22">
        <f ca="1">IF($L23&lt;&gt;0,VLOOKUP($N23,'Allocation Factors'!$B$12:$AU$603,22,FALSE)*$L23,0)+IF($H23&lt;&gt;0,(VLOOKUP($J23,'Allocation Factors'!$B$12:$AU$603,22,FALSE)*$H23),0)</f>
        <v>0</v>
      </c>
      <c r="AH23" s="22">
        <f ca="1">IF($L23&lt;&gt;0,VLOOKUP($N23,'Allocation Factors'!$B$12:$AU$603,23,FALSE)*$L23,0)+IF($H23&lt;&gt;0,(VLOOKUP($J23,'Allocation Factors'!$B$12:$AU$603,23,FALSE)*$H23),0)</f>
        <v>0</v>
      </c>
      <c r="AI23" s="22">
        <f ca="1">IF($L23&lt;&gt;0,VLOOKUP($N23,'Allocation Factors'!$B$12:$AU$603,24,FALSE)*$L23,0)+IF($H23&lt;&gt;0,(VLOOKUP($J23,'Allocation Factors'!$B$12:$AU$603,24,FALSE)*$H23),0)</f>
        <v>0</v>
      </c>
      <c r="AJ23" s="22">
        <f ca="1">IF($L23&lt;&gt;0,VLOOKUP($N23,'Allocation Factors'!$B$12:$AU$603,25,FALSE)*$L23,0)+IF($H23&lt;&gt;0,(VLOOKUP($J23,'Allocation Factors'!$B$12:$AU$603,25,FALSE)*$H23),0)</f>
        <v>0</v>
      </c>
      <c r="AK23" s="22">
        <f ca="1">IF($L23&lt;&gt;0,VLOOKUP($N23,'Allocation Factors'!$B$12:$AU$603,26,FALSE)*$L23,0)+IF($H23&lt;&gt;0,(VLOOKUP($J23,'Allocation Factors'!$B$12:$AU$603,26,FALSE)*$H23),0)</f>
        <v>0</v>
      </c>
      <c r="AL23" s="22">
        <f ca="1">IF($L23&lt;&gt;0,VLOOKUP($N23,'Allocation Factors'!$B$12:$AU$603,27,FALSE)*$L23,0)+IF($H23&lt;&gt;0,(VLOOKUP($J23,'Allocation Factors'!$B$12:$AU$603,27,FALSE)*$H23),0)</f>
        <v>0</v>
      </c>
      <c r="AM23" s="22">
        <f ca="1">IF($L23&lt;&gt;0,VLOOKUP($N23,'Allocation Factors'!$B$12:$AU$603,28,FALSE)*$L23,0)+IF($H23&lt;&gt;0,(VLOOKUP($J23,'Allocation Factors'!$B$12:$AU$603,28,FALSE)*$H23),0)</f>
        <v>0</v>
      </c>
      <c r="AN23" s="22">
        <f ca="1">IF($L23&lt;&gt;0,VLOOKUP($N23,'Allocation Factors'!$B$12:$AU$603,29,FALSE)*$L23,0)+IF($H23&lt;&gt;0,(VLOOKUP($J23,'Allocation Factors'!$B$12:$AU$603,29,FALSE)*$H23),0)</f>
        <v>0</v>
      </c>
      <c r="AO23" s="22">
        <f ca="1">IF($L23&lt;&gt;0,VLOOKUP($N23,'Allocation Factors'!$B$12:$AU$603,30,FALSE)*$L23,0)+IF($H23&lt;&gt;0,(VLOOKUP($J23,'Allocation Factors'!$B$12:$AU$603,30,FALSE)*$H23),0)</f>
        <v>0</v>
      </c>
      <c r="AP23" s="22">
        <f ca="1">IF($L23&lt;&gt;0,VLOOKUP($N23,'Allocation Factors'!$B$12:$AU$603,31,FALSE)*$L23,0)+IF($H23&lt;&gt;0,(VLOOKUP($J23,'Allocation Factors'!$B$12:$AU$603,31,FALSE)*$H23),0)</f>
        <v>0</v>
      </c>
      <c r="AQ23" s="22">
        <f ca="1">IF($L23&lt;&gt;0,VLOOKUP($N23,'Allocation Factors'!$B$12:$AU$603,32,FALSE)*$L23,0)+IF($H23&lt;&gt;0,(VLOOKUP($J23,'Allocation Factors'!$B$12:$AU$603,32,FALSE)*$H23),0)</f>
        <v>0</v>
      </c>
      <c r="AR23" s="22">
        <f ca="1">IF($L23&lt;&gt;0,VLOOKUP($N23,'Allocation Factors'!$B$12:$AU$603,33,FALSE)*$L23,0)+IF($H23&lt;&gt;0,(VLOOKUP($J23,'Allocation Factors'!$B$12:$AU$603,33,FALSE)*$H23),0)</f>
        <v>0</v>
      </c>
      <c r="AS23" s="22">
        <f ca="1">IF($L23&lt;&gt;0,VLOOKUP($N23,'Allocation Factors'!$B$12:$AU$603,34,FALSE)*$L23,0)+IF($H23&lt;&gt;0,(VLOOKUP($J23,'Allocation Factors'!$B$12:$AU$603,34,FALSE)*$H23),0)</f>
        <v>0</v>
      </c>
      <c r="AT23" s="22">
        <f ca="1">IF($L23&lt;&gt;0,VLOOKUP($N23,'Allocation Factors'!$B$12:$AU$603,35,FALSE)*$L23,0)+IF($H23&lt;&gt;0,(VLOOKUP($J23,'Allocation Factors'!$B$12:$AU$603,35,FALSE)*$H23),0)</f>
        <v>0</v>
      </c>
      <c r="AU23" s="22">
        <f ca="1">IF($L23&lt;&gt;0,VLOOKUP($N23,'Allocation Factors'!$B$12:$AU$603,36,FALSE)*$L23,0)+IF($H23&lt;&gt;0,(VLOOKUP($J23,'Allocation Factors'!$B$12:$AU$603,36,FALSE)*$H23),0)</f>
        <v>0</v>
      </c>
      <c r="AV23" s="22">
        <f ca="1">IF($L23&lt;&gt;0,VLOOKUP($N23,'Allocation Factors'!$B$12:$AU$603,37,FALSE)*$L23,0)+IF($H23&lt;&gt;0,(VLOOKUP($J23,'Allocation Factors'!$B$12:$AU$603,37,FALSE)*$H23),0)</f>
        <v>0</v>
      </c>
      <c r="AW23" s="22">
        <f ca="1">IF($L23&lt;&gt;0,VLOOKUP($N23,'Allocation Factors'!$B$12:$AU$603,38,FALSE)*$L23,0)+IF($H23&lt;&gt;0,(VLOOKUP($J23,'Allocation Factors'!$B$12:$AU$603,38,FALSE)*$H23),0)</f>
        <v>0</v>
      </c>
      <c r="AX23" s="22">
        <f ca="1">IF($L23&lt;&gt;0,VLOOKUP($N23,'Allocation Factors'!$B$12:$AU$603,39,FALSE)*$L23,0)+IF($H23&lt;&gt;0,(VLOOKUP($J23,'Allocation Factors'!$B$12:$AU$603,39,FALSE)*$H23),0)</f>
        <v>0</v>
      </c>
      <c r="AY23" s="22">
        <f ca="1">IF($L23&lt;&gt;0,VLOOKUP($N23,'Allocation Factors'!$B$12:$AU$603,40,FALSE)*$L23,0)+IF($H23&lt;&gt;0,(VLOOKUP($J23,'Allocation Factors'!$B$12:$AU$603,40,FALSE)*$H23),0)</f>
        <v>0</v>
      </c>
      <c r="AZ23" s="22">
        <f ca="1">IF($L23&lt;&gt;0,VLOOKUP($N23,'Allocation Factors'!$B$12:$AU$603,41,FALSE)*$L23,0)+IF($H23&lt;&gt;0,(VLOOKUP($J23,'Allocation Factors'!$B$12:$AU$603,41,FALSE)*$H23),0)</f>
        <v>0</v>
      </c>
      <c r="BA23" s="22">
        <f ca="1">IF($L23&lt;&gt;0,VLOOKUP($N23,'Allocation Factors'!$B$12:$AU$603,42,FALSE)*$L23,0)+IF($H23&lt;&gt;0,(VLOOKUP($J23,'Allocation Factors'!$B$12:$AU$603,42,FALSE)*$H23),0)</f>
        <v>0</v>
      </c>
      <c r="BB23" s="22">
        <f ca="1">IF($L23&lt;&gt;0,VLOOKUP($N23,'Allocation Factors'!$B$12:$AU$603,43,FALSE)*$L23,0)+IF($H23&lt;&gt;0,(VLOOKUP($J23,'Allocation Factors'!$B$12:$AU$603,43,FALSE)*$H23),0)</f>
        <v>0</v>
      </c>
      <c r="BC23" s="22">
        <f ca="1">IF($L23&lt;&gt;0,VLOOKUP($N23,'Allocation Factors'!$B$12:$AU$603,44,FALSE)*$L23,0)+IF($H23&lt;&gt;0,(VLOOKUP($J23,'Allocation Factors'!$B$12:$AU$603,44,FALSE)*$H23),0)</f>
        <v>0</v>
      </c>
      <c r="BD23" s="22">
        <f ca="1">IF($L23&lt;&gt;0,VLOOKUP($N23,'Allocation Factors'!$B$12:$AU$603,45,FALSE)*$L23,0)+IF($H23&lt;&gt;0,(VLOOKUP($J23,'Allocation Factors'!$B$12:$AU$603,45,FALSE)*$H23),0)</f>
        <v>0</v>
      </c>
      <c r="BE23" s="22">
        <f ca="1">IF($L23&lt;&gt;0,VLOOKUP($N23,'Allocation Factors'!$B$12:$AU$603,46,FALSE)*$L23,0)+IF($H23&lt;&gt;0,(VLOOKUP($J23,'Allocation Factors'!$B$12:$AU$603,46,FALSE)*$H23),0)</f>
        <v>0</v>
      </c>
      <c r="BF23" s="9"/>
    </row>
    <row r="24" spans="1:58" s="73" customFormat="1" x14ac:dyDescent="0.25">
      <c r="A24" s="2">
        <f t="shared" si="4"/>
        <v>12</v>
      </c>
      <c r="B24" s="73" t="s">
        <v>119</v>
      </c>
      <c r="D24" s="79">
        <f ca="1">SUM(D20:D23)</f>
        <v>189721.39080689952</v>
      </c>
      <c r="E24" s="94"/>
      <c r="F24" s="79">
        <f ca="1">SUM(F20:F23)</f>
        <v>189721.39080689952</v>
      </c>
      <c r="G24" s="94"/>
      <c r="H24" s="79">
        <f ca="1">SUM(H20:H23)</f>
        <v>39116.721621913879</v>
      </c>
      <c r="I24" s="94"/>
      <c r="J24" s="212"/>
      <c r="K24" s="94"/>
      <c r="L24" s="79">
        <f ca="1">SUM(L20:L23)</f>
        <v>150604.66918498563</v>
      </c>
      <c r="M24" s="94"/>
      <c r="N24" s="91"/>
      <c r="O24" s="94"/>
      <c r="P24" s="79">
        <f t="shared" ref="P24:BE24" ca="1" si="5">SUM(P20:P23)</f>
        <v>57581.013231752346</v>
      </c>
      <c r="Q24" s="79">
        <f t="shared" ca="1" si="5"/>
        <v>48599.025648393719</v>
      </c>
      <c r="R24" s="79">
        <f t="shared" ca="1" si="5"/>
        <v>0</v>
      </c>
      <c r="S24" s="79">
        <f t="shared" ca="1" si="5"/>
        <v>152.732898159451</v>
      </c>
      <c r="T24" s="79">
        <f t="shared" ca="1" si="5"/>
        <v>3700.1918163051046</v>
      </c>
      <c r="U24" s="79">
        <f t="shared" ca="1" si="5"/>
        <v>301.73507415707007</v>
      </c>
      <c r="V24" s="79">
        <f t="shared" ca="1" si="5"/>
        <v>15.73806982884358</v>
      </c>
      <c r="W24" s="79">
        <f t="shared" ca="1" si="5"/>
        <v>1.0559209442238249</v>
      </c>
      <c r="X24" s="79">
        <f t="shared" ca="1" si="5"/>
        <v>41.839156992923492</v>
      </c>
      <c r="Y24" s="79">
        <f t="shared" ca="1" si="5"/>
        <v>193.63477056366341</v>
      </c>
      <c r="Z24" s="79">
        <f t="shared" ca="1" si="5"/>
        <v>1311.4977337623388</v>
      </c>
      <c r="AA24" s="79">
        <f t="shared" ca="1" si="5"/>
        <v>0</v>
      </c>
      <c r="AB24" s="79">
        <f t="shared" ca="1" si="5"/>
        <v>424.80648848514363</v>
      </c>
      <c r="AC24" s="79">
        <f t="shared" ca="1" si="5"/>
        <v>10840.732316661972</v>
      </c>
      <c r="AD24" s="79">
        <f t="shared" ca="1" si="5"/>
        <v>2900.0858469663767</v>
      </c>
      <c r="AE24" s="79">
        <f t="shared" ca="1" si="5"/>
        <v>409.45835080802783</v>
      </c>
      <c r="AF24" s="79">
        <f t="shared" ca="1" si="5"/>
        <v>2.4195662547411994</v>
      </c>
      <c r="AG24" s="79">
        <f t="shared" ca="1" si="5"/>
        <v>20.534197556870101</v>
      </c>
      <c r="AH24" s="79">
        <f t="shared" ca="1" si="5"/>
        <v>34330.753492242264</v>
      </c>
      <c r="AI24" s="79">
        <f t="shared" ca="1" si="5"/>
        <v>11378.621875559482</v>
      </c>
      <c r="AJ24" s="79">
        <f t="shared" ca="1" si="5"/>
        <v>2951.9079656454305</v>
      </c>
      <c r="AK24" s="79">
        <f t="shared" ca="1" si="5"/>
        <v>2.0904701115293594</v>
      </c>
      <c r="AL24" s="79">
        <f t="shared" ca="1" si="5"/>
        <v>23.003125433944717</v>
      </c>
      <c r="AM24" s="79">
        <f t="shared" ca="1" si="5"/>
        <v>1.0509020585585727</v>
      </c>
      <c r="AN24" s="79">
        <f t="shared" ca="1" si="5"/>
        <v>4617.2359681608132</v>
      </c>
      <c r="AO24" s="79">
        <f t="shared" ca="1" si="5"/>
        <v>139.68924412848622</v>
      </c>
      <c r="AP24" s="79">
        <f t="shared" ca="1" si="5"/>
        <v>334.85136992891307</v>
      </c>
      <c r="AQ24" s="79">
        <f t="shared" ca="1" si="5"/>
        <v>0</v>
      </c>
      <c r="AR24" s="79">
        <f t="shared" ca="1" si="5"/>
        <v>976.54253262615362</v>
      </c>
      <c r="AS24" s="79">
        <f t="shared" ca="1" si="5"/>
        <v>0</v>
      </c>
      <c r="AT24" s="79">
        <f t="shared" ca="1" si="5"/>
        <v>6185.995839084002</v>
      </c>
      <c r="AU24" s="79">
        <f t="shared" ca="1" si="5"/>
        <v>0</v>
      </c>
      <c r="AV24" s="79">
        <f t="shared" ca="1" si="5"/>
        <v>1709.8225960045963</v>
      </c>
      <c r="AW24" s="79">
        <f t="shared" ca="1" si="5"/>
        <v>5.5984842465225819</v>
      </c>
      <c r="AX24" s="79">
        <f t="shared" ca="1" si="5"/>
        <v>46.969377162757951</v>
      </c>
      <c r="AY24" s="79">
        <f t="shared" ca="1" si="5"/>
        <v>0</v>
      </c>
      <c r="AZ24" s="79">
        <f t="shared" ca="1" si="5"/>
        <v>121.46239388566299</v>
      </c>
      <c r="BA24" s="79">
        <f t="shared" ca="1" si="5"/>
        <v>21.024242032685336</v>
      </c>
      <c r="BB24" s="79">
        <f t="shared" ca="1" si="5"/>
        <v>369.83127006899406</v>
      </c>
      <c r="BC24" s="79">
        <f t="shared" ca="1" si="5"/>
        <v>2.2058360187833879</v>
      </c>
      <c r="BD24" s="79">
        <f t="shared" ca="1" si="5"/>
        <v>5.0133959794646312</v>
      </c>
      <c r="BE24" s="79">
        <f t="shared" ca="1" si="5"/>
        <v>1.2193389276999911</v>
      </c>
    </row>
    <row r="25" spans="1:58" x14ac:dyDescent="0.25">
      <c r="B25" s="73"/>
      <c r="D25" s="23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x14ac:dyDescent="0.25">
      <c r="B26" s="197" t="s">
        <v>121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x14ac:dyDescent="0.25">
      <c r="A27" s="2">
        <f>A24+1</f>
        <v>13</v>
      </c>
      <c r="B27" s="73" t="s">
        <v>115</v>
      </c>
      <c r="D27" s="22">
        <f ca="1">'Total ALLOCATION'!D27-'Gas Cost ALLOCATION'!D27</f>
        <v>12523.671291923149</v>
      </c>
      <c r="E27" s="22"/>
      <c r="F27" s="22">
        <f ca="1">'Total ALLOCATION'!F27-'Gas Cost ALLOCATION'!F27</f>
        <v>12523.671291923149</v>
      </c>
      <c r="L27" s="22">
        <f t="shared" ref="L27:L33" ca="1" si="6">F27-H27</f>
        <v>12523.671291923149</v>
      </c>
      <c r="N27" s="28" t="str">
        <f>'Total ALLOCATION'!N27</f>
        <v>DAWNCOMP</v>
      </c>
      <c r="P27" s="22">
        <f ca="1">IF($L27&lt;&gt;0,VLOOKUP($N27,'Allocation Factors'!$B$12:$AU$603,5,FALSE)*$L27,0)+IF($H27&lt;&gt;0,(VLOOKUP($J27,'Allocation Factors'!$B$12:$AU$603,5,FALSE)*$H27),0)</f>
        <v>2106.7470893259174</v>
      </c>
      <c r="Q27" s="22">
        <f ca="1">IF($L27&lt;&gt;0,VLOOKUP($N27,'Allocation Factors'!$B$12:$AU$603,6,FALSE)*$L27,0)+IF($H27&lt;&gt;0,(VLOOKUP($J27,'Allocation Factors'!$B$12:$AU$603,6,FALSE)*$H27),0)</f>
        <v>1880.0455366087137</v>
      </c>
      <c r="R27" s="22">
        <f ca="1">IF($L27&lt;&gt;0,VLOOKUP($N27,'Allocation Factors'!$B$12:$AU$603,7,FALSE)*$L27,0)+IF($H27&lt;&gt;0,(VLOOKUP($J27,'Allocation Factors'!$B$12:$AU$603,7,FALSE)*$H27),0)</f>
        <v>0</v>
      </c>
      <c r="S27" s="22">
        <f ca="1">IF($L27&lt;&gt;0,VLOOKUP($N27,'Allocation Factors'!$B$12:$AU$603,8,FALSE)*$L27,0)+IF($H27&lt;&gt;0,(VLOOKUP($J27,'Allocation Factors'!$B$12:$AU$603,8,FALSE)*$H27),0)</f>
        <v>6.6311952043151869</v>
      </c>
      <c r="T27" s="22">
        <f ca="1">IF($L27&lt;&gt;0,VLOOKUP($N27,'Allocation Factors'!$B$12:$AU$603,9,FALSE)*$L27,0)+IF($H27&lt;&gt;0,(VLOOKUP($J27,'Allocation Factors'!$B$12:$AU$603,9,FALSE)*$H27),0)</f>
        <v>215.72248937026356</v>
      </c>
      <c r="U27" s="22">
        <f ca="1">IF($L27&lt;&gt;0,VLOOKUP($N27,'Allocation Factors'!$B$12:$AU$603,10,FALSE)*$L27,0)+IF($H27&lt;&gt;0,(VLOOKUP($J27,'Allocation Factors'!$B$12:$AU$603,10,FALSE)*$H27),0)</f>
        <v>45.336134953058426</v>
      </c>
      <c r="V27" s="22">
        <f ca="1">IF($L27&lt;&gt;0,VLOOKUP($N27,'Allocation Factors'!$B$12:$AU$603,11,FALSE)*$L27,0)+IF($H27&lt;&gt;0,(VLOOKUP($J27,'Allocation Factors'!$B$12:$AU$603,11,FALSE)*$H27),0)</f>
        <v>0</v>
      </c>
      <c r="W27" s="22">
        <f ca="1">IF($L27&lt;&gt;0,VLOOKUP($N27,'Allocation Factors'!$B$12:$AU$603,12,FALSE)*$L27,0)+IF($H27&lt;&gt;0,(VLOOKUP($J27,'Allocation Factors'!$B$12:$AU$603,12,FALSE)*$H27),0)</f>
        <v>0.75168387683802063</v>
      </c>
      <c r="X27" s="22">
        <f ca="1">IF($L27&lt;&gt;0,VLOOKUP($N27,'Allocation Factors'!$B$12:$AU$603,13,FALSE)*$L27,0)+IF($H27&lt;&gt;0,(VLOOKUP($J27,'Allocation Factors'!$B$12:$AU$603,13,FALSE)*$H27),0)</f>
        <v>0</v>
      </c>
      <c r="Y27" s="22">
        <f ca="1">IF($L27&lt;&gt;0,VLOOKUP($N27,'Allocation Factors'!$B$12:$AU$603,14,FALSE)*$L27,0)+IF($H27&lt;&gt;0,(VLOOKUP($J27,'Allocation Factors'!$B$12:$AU$603,14,FALSE)*$H27),0)</f>
        <v>0</v>
      </c>
      <c r="Z27" s="22">
        <f ca="1">IF($L27&lt;&gt;0,VLOOKUP($N27,'Allocation Factors'!$B$12:$AU$603,15,FALSE)*$L27,0)+IF($H27&lt;&gt;0,(VLOOKUP($J27,'Allocation Factors'!$B$12:$AU$603,15,FALSE)*$H27),0)</f>
        <v>50.018758580098122</v>
      </c>
      <c r="AA27" s="22">
        <f ca="1">IF($L27&lt;&gt;0,VLOOKUP($N27,'Allocation Factors'!$B$12:$AU$603,16,FALSE)*$L27,0)+IF($H27&lt;&gt;0,(VLOOKUP($J27,'Allocation Factors'!$B$12:$AU$603,16,FALSE)*$H27),0)</f>
        <v>0</v>
      </c>
      <c r="AB27" s="22">
        <f ca="1">IF($L27&lt;&gt;0,VLOOKUP($N27,'Allocation Factors'!$B$12:$AU$603,17,FALSE)*$L27,0)+IF($H27&lt;&gt;0,(VLOOKUP($J27,'Allocation Factors'!$B$12:$AU$603,17,FALSE)*$H27),0)</f>
        <v>12.957109203178225</v>
      </c>
      <c r="AC27" s="22">
        <f ca="1">IF($L27&lt;&gt;0,VLOOKUP($N27,'Allocation Factors'!$B$12:$AU$603,18,FALSE)*$L27,0)+IF($H27&lt;&gt;0,(VLOOKUP($J27,'Allocation Factors'!$B$12:$AU$603,18,FALSE)*$H27),0)</f>
        <v>387.81938040857733</v>
      </c>
      <c r="AD27" s="22">
        <f ca="1">IF($L27&lt;&gt;0,VLOOKUP($N27,'Allocation Factors'!$B$12:$AU$603,19,FALSE)*$L27,0)+IF($H27&lt;&gt;0,(VLOOKUP($J27,'Allocation Factors'!$B$12:$AU$603,19,FALSE)*$H27),0)</f>
        <v>114.49135209521377</v>
      </c>
      <c r="AE27" s="22">
        <f ca="1">IF($L27&lt;&gt;0,VLOOKUP($N27,'Allocation Factors'!$B$12:$AU$603,20,FALSE)*$L27,0)+IF($H27&lt;&gt;0,(VLOOKUP($J27,'Allocation Factors'!$B$12:$AU$603,20,FALSE)*$H27),0)</f>
        <v>25.959055142714686</v>
      </c>
      <c r="AF27" s="22">
        <f ca="1">IF($L27&lt;&gt;0,VLOOKUP($N27,'Allocation Factors'!$B$12:$AU$603,21,FALSE)*$L27,0)+IF($H27&lt;&gt;0,(VLOOKUP($J27,'Allocation Factors'!$B$12:$AU$603,21,FALSE)*$H27),0)</f>
        <v>0</v>
      </c>
      <c r="AG27" s="22">
        <f ca="1">IF($L27&lt;&gt;0,VLOOKUP($N27,'Allocation Factors'!$B$12:$AU$603,22,FALSE)*$L27,0)+IF($H27&lt;&gt;0,(VLOOKUP($J27,'Allocation Factors'!$B$12:$AU$603,22,FALSE)*$H27),0)</f>
        <v>0</v>
      </c>
      <c r="AH27" s="22">
        <f ca="1">IF($L27&lt;&gt;0,VLOOKUP($N27,'Allocation Factors'!$B$12:$AU$603,23,FALSE)*$L27,0)+IF($H27&lt;&gt;0,(VLOOKUP($J27,'Allocation Factors'!$B$12:$AU$603,23,FALSE)*$H27),0)</f>
        <v>1240.9053700420229</v>
      </c>
      <c r="AI27" s="22">
        <f ca="1">IF($L27&lt;&gt;0,VLOOKUP($N27,'Allocation Factors'!$B$12:$AU$603,24,FALSE)*$L27,0)+IF($H27&lt;&gt;0,(VLOOKUP($J27,'Allocation Factors'!$B$12:$AU$603,24,FALSE)*$H27),0)</f>
        <v>459.79166278422559</v>
      </c>
      <c r="AJ27" s="22">
        <f ca="1">IF($L27&lt;&gt;0,VLOOKUP($N27,'Allocation Factors'!$B$12:$AU$603,25,FALSE)*$L27,0)+IF($H27&lt;&gt;0,(VLOOKUP($J27,'Allocation Factors'!$B$12:$AU$603,25,FALSE)*$H27),0)</f>
        <v>163.67084409375906</v>
      </c>
      <c r="AK27" s="22">
        <f ca="1">IF($L27&lt;&gt;0,VLOOKUP($N27,'Allocation Factors'!$B$12:$AU$603,26,FALSE)*$L27,0)+IF($H27&lt;&gt;0,(VLOOKUP($J27,'Allocation Factors'!$B$12:$AU$603,26,FALSE)*$H27),0)</f>
        <v>0</v>
      </c>
      <c r="AL27" s="22">
        <f ca="1">IF($L27&lt;&gt;0,VLOOKUP($N27,'Allocation Factors'!$B$12:$AU$603,27,FALSE)*$L27,0)+IF($H27&lt;&gt;0,(VLOOKUP($J27,'Allocation Factors'!$B$12:$AU$603,27,FALSE)*$H27),0)</f>
        <v>1.4378046152982122</v>
      </c>
      <c r="AM27" s="22">
        <f ca="1">IF($L27&lt;&gt;0,VLOOKUP($N27,'Allocation Factors'!$B$12:$AU$603,28,FALSE)*$L27,0)+IF($H27&lt;&gt;0,(VLOOKUP($J27,'Allocation Factors'!$B$12:$AU$603,28,FALSE)*$H27),0)</f>
        <v>0</v>
      </c>
      <c r="AN27" s="22">
        <f ca="1">IF($L27&lt;&gt;0,VLOOKUP($N27,'Allocation Factors'!$B$12:$AU$603,29,FALSE)*$L27,0)+IF($H27&lt;&gt;0,(VLOOKUP($J27,'Allocation Factors'!$B$12:$AU$603,29,FALSE)*$H27),0)</f>
        <v>242.09803041193001</v>
      </c>
      <c r="AO27" s="22">
        <f ca="1">IF($L27&lt;&gt;0,VLOOKUP($N27,'Allocation Factors'!$B$12:$AU$603,30,FALSE)*$L27,0)+IF($H27&lt;&gt;0,(VLOOKUP($J27,'Allocation Factors'!$B$12:$AU$603,30,FALSE)*$H27),0)</f>
        <v>0</v>
      </c>
      <c r="AP27" s="22">
        <f ca="1">IF($L27&lt;&gt;0,VLOOKUP($N27,'Allocation Factors'!$B$12:$AU$603,31,FALSE)*$L27,0)+IF($H27&lt;&gt;0,(VLOOKUP($J27,'Allocation Factors'!$B$12:$AU$603,31,FALSE)*$H27),0)</f>
        <v>19.764124503975093</v>
      </c>
      <c r="AQ27" s="22">
        <f ca="1">IF($L27&lt;&gt;0,VLOOKUP($N27,'Allocation Factors'!$B$12:$AU$603,32,FALSE)*$L27,0)+IF($H27&lt;&gt;0,(VLOOKUP($J27,'Allocation Factors'!$B$12:$AU$603,32,FALSE)*$H27),0)</f>
        <v>0</v>
      </c>
      <c r="AR27" s="22">
        <f ca="1">IF($L27&lt;&gt;0,VLOOKUP($N27,'Allocation Factors'!$B$12:$AU$603,33,FALSE)*$L27,0)+IF($H27&lt;&gt;0,(VLOOKUP($J27,'Allocation Factors'!$B$12:$AU$603,33,FALSE)*$H27),0)</f>
        <v>67.14549260284025</v>
      </c>
      <c r="AS27" s="22">
        <f ca="1">IF($L27&lt;&gt;0,VLOOKUP($N27,'Allocation Factors'!$B$12:$AU$603,34,FALSE)*$L27,0)+IF($H27&lt;&gt;0,(VLOOKUP($J27,'Allocation Factors'!$B$12:$AU$603,34,FALSE)*$H27),0)</f>
        <v>0</v>
      </c>
      <c r="AT27" s="22">
        <f ca="1">IF($L27&lt;&gt;0,VLOOKUP($N27,'Allocation Factors'!$B$12:$AU$603,35,FALSE)*$L27,0)+IF($H27&lt;&gt;0,(VLOOKUP($J27,'Allocation Factors'!$B$12:$AU$603,35,FALSE)*$H27),0)</f>
        <v>848.10558620420977</v>
      </c>
      <c r="AU27" s="22">
        <f ca="1">IF($L27&lt;&gt;0,VLOOKUP($N27,'Allocation Factors'!$B$12:$AU$603,36,FALSE)*$L27,0)+IF($H27&lt;&gt;0,(VLOOKUP($J27,'Allocation Factors'!$B$12:$AU$603,36,FALSE)*$H27),0)</f>
        <v>0</v>
      </c>
      <c r="AV27" s="22">
        <f ca="1">IF($L27&lt;&gt;0,VLOOKUP($N27,'Allocation Factors'!$B$12:$AU$603,37,FALSE)*$L27,0)+IF($H27&lt;&gt;0,(VLOOKUP($J27,'Allocation Factors'!$B$12:$AU$603,37,FALSE)*$H27),0)</f>
        <v>84.113363969171758</v>
      </c>
      <c r="AW27" s="22">
        <f ca="1">IF($L27&lt;&gt;0,VLOOKUP($N27,'Allocation Factors'!$B$12:$AU$603,38,FALSE)*$L27,0)+IF($H27&lt;&gt;0,(VLOOKUP($J27,'Allocation Factors'!$B$12:$AU$603,38,FALSE)*$H27),0)</f>
        <v>0</v>
      </c>
      <c r="AX27" s="22">
        <f ca="1">IF($L27&lt;&gt;0,VLOOKUP($N27,'Allocation Factors'!$B$12:$AU$603,39,FALSE)*$L27,0)+IF($H27&lt;&gt;0,(VLOOKUP($J27,'Allocation Factors'!$B$12:$AU$603,39,FALSE)*$H27),0)</f>
        <v>0</v>
      </c>
      <c r="AY27" s="22">
        <f ca="1">IF($L27&lt;&gt;0,VLOOKUP($N27,'Allocation Factors'!$B$12:$AU$603,40,FALSE)*$L27,0)+IF($H27&lt;&gt;0,(VLOOKUP($J27,'Allocation Factors'!$B$12:$AU$603,40,FALSE)*$H27),0)</f>
        <v>0</v>
      </c>
      <c r="AZ27" s="22">
        <f ca="1">IF($L27&lt;&gt;0,VLOOKUP($N27,'Allocation Factors'!$B$12:$AU$603,41,FALSE)*$L27,0)+IF($H27&lt;&gt;0,(VLOOKUP($J27,'Allocation Factors'!$B$12:$AU$603,41,FALSE)*$H27),0)</f>
        <v>47.989789495683873</v>
      </c>
      <c r="BA27" s="22">
        <f ca="1">IF($L27&lt;&gt;0,VLOOKUP($N27,'Allocation Factors'!$B$12:$AU$603,42,FALSE)*$L27,0)+IF($H27&lt;&gt;0,(VLOOKUP($J27,'Allocation Factors'!$B$12:$AU$603,42,FALSE)*$H27),0)</f>
        <v>0</v>
      </c>
      <c r="BB27" s="22">
        <f ca="1">IF($L27&lt;&gt;0,VLOOKUP($N27,'Allocation Factors'!$B$12:$AU$603,43,FALSE)*$L27,0)+IF($H27&lt;&gt;0,(VLOOKUP($J27,'Allocation Factors'!$B$12:$AU$603,43,FALSE)*$H27),0)</f>
        <v>4489.3562586058597</v>
      </c>
      <c r="BC27" s="22">
        <f ca="1">IF($L27&lt;&gt;0,VLOOKUP($N27,'Allocation Factors'!$B$12:$AU$603,44,FALSE)*$L27,0)+IF($H27&lt;&gt;0,(VLOOKUP($J27,'Allocation Factors'!$B$12:$AU$603,44,FALSE)*$H27),0)</f>
        <v>0</v>
      </c>
      <c r="BD27" s="22">
        <f ca="1">IF($L27&lt;&gt;0,VLOOKUP($N27,'Allocation Factors'!$B$12:$AU$603,45,FALSE)*$L27,0)+IF($H27&lt;&gt;0,(VLOOKUP($J27,'Allocation Factors'!$B$12:$AU$603,45,FALSE)*$H27),0)</f>
        <v>0</v>
      </c>
      <c r="BE27" s="22">
        <f ca="1">IF($L27&lt;&gt;0,VLOOKUP($N27,'Allocation Factors'!$B$12:$AU$603,46,FALSE)*$L27,0)+IF($H27&lt;&gt;0,(VLOOKUP($J27,'Allocation Factors'!$B$12:$AU$603,46,FALSE)*$H27),0)</f>
        <v>12.813179825282305</v>
      </c>
      <c r="BF27" s="9"/>
    </row>
    <row r="28" spans="1:58" x14ac:dyDescent="0.25">
      <c r="A28" s="2">
        <f>A27+1</f>
        <v>14</v>
      </c>
      <c r="B28" s="73" t="s">
        <v>116</v>
      </c>
      <c r="D28" s="22">
        <f ca="1">'Total ALLOCATION'!D28-'Gas Cost ALLOCATION'!D28</f>
        <v>1452.0154432174706</v>
      </c>
      <c r="E28" s="22"/>
      <c r="F28" s="22">
        <f ca="1">'Total ALLOCATION'!F28-'Gas Cost ALLOCATION'!F28</f>
        <v>1452.0154432174706</v>
      </c>
      <c r="L28" s="22">
        <f t="shared" ca="1" si="6"/>
        <v>1452.0154432174706</v>
      </c>
      <c r="N28" s="28" t="str">
        <f>'Total ALLOCATION'!N28</f>
        <v>KIRKWALL_DEMAND</v>
      </c>
      <c r="P28" s="22">
        <f ca="1">IF($L28&lt;&gt;0,VLOOKUP($N28,'Allocation Factors'!$B$12:$AU$603,5,FALSE)*$L28,0)+IF($H28&lt;&gt;0,(VLOOKUP($J28,'Allocation Factors'!$B$12:$AU$603,5,FALSE)*$H28),0)</f>
        <v>60.450246771300435</v>
      </c>
      <c r="Q28" s="22">
        <f ca="1">IF($L28&lt;&gt;0,VLOOKUP($N28,'Allocation Factors'!$B$12:$AU$603,6,FALSE)*$L28,0)+IF($H28&lt;&gt;0,(VLOOKUP($J28,'Allocation Factors'!$B$12:$AU$603,6,FALSE)*$H28),0)</f>
        <v>53.945353576181894</v>
      </c>
      <c r="R28" s="22">
        <f ca="1">IF($L28&lt;&gt;0,VLOOKUP($N28,'Allocation Factors'!$B$12:$AU$603,7,FALSE)*$L28,0)+IF($H28&lt;&gt;0,(VLOOKUP($J28,'Allocation Factors'!$B$12:$AU$603,7,FALSE)*$H28),0)</f>
        <v>0</v>
      </c>
      <c r="S28" s="22">
        <f ca="1">IF($L28&lt;&gt;0,VLOOKUP($N28,'Allocation Factors'!$B$12:$AU$603,8,FALSE)*$L28,0)+IF($H28&lt;&gt;0,(VLOOKUP($J28,'Allocation Factors'!$B$12:$AU$603,8,FALSE)*$H28),0)</f>
        <v>0.19027314124249095</v>
      </c>
      <c r="T28" s="22">
        <f ca="1">IF($L28&lt;&gt;0,VLOOKUP($N28,'Allocation Factors'!$B$12:$AU$603,9,FALSE)*$L28,0)+IF($H28&lt;&gt;0,(VLOOKUP($J28,'Allocation Factors'!$B$12:$AU$603,9,FALSE)*$H28),0)</f>
        <v>6.1898638819167155</v>
      </c>
      <c r="U28" s="22">
        <f ca="1">IF($L28&lt;&gt;0,VLOOKUP($N28,'Allocation Factors'!$B$12:$AU$603,10,FALSE)*$L28,0)+IF($H28&lt;&gt;0,(VLOOKUP($J28,'Allocation Factors'!$B$12:$AU$603,10,FALSE)*$H28),0)</f>
        <v>1.3008588261281269</v>
      </c>
      <c r="V28" s="22">
        <f ca="1">IF($L28&lt;&gt;0,VLOOKUP($N28,'Allocation Factors'!$B$12:$AU$603,11,FALSE)*$L28,0)+IF($H28&lt;&gt;0,(VLOOKUP($J28,'Allocation Factors'!$B$12:$AU$603,11,FALSE)*$H28),0)</f>
        <v>0</v>
      </c>
      <c r="W28" s="22">
        <f ca="1">IF($L28&lt;&gt;0,VLOOKUP($N28,'Allocation Factors'!$B$12:$AU$603,12,FALSE)*$L28,0)+IF($H28&lt;&gt;0,(VLOOKUP($J28,'Allocation Factors'!$B$12:$AU$603,12,FALSE)*$H28),0)</f>
        <v>2.1568548061174791E-2</v>
      </c>
      <c r="X28" s="22">
        <f ca="1">IF($L28&lt;&gt;0,VLOOKUP($N28,'Allocation Factors'!$B$12:$AU$603,13,FALSE)*$L28,0)+IF($H28&lt;&gt;0,(VLOOKUP($J28,'Allocation Factors'!$B$12:$AU$603,13,FALSE)*$H28),0)</f>
        <v>0</v>
      </c>
      <c r="Y28" s="22">
        <f ca="1">IF($L28&lt;&gt;0,VLOOKUP($N28,'Allocation Factors'!$B$12:$AU$603,14,FALSE)*$L28,0)+IF($H28&lt;&gt;0,(VLOOKUP($J28,'Allocation Factors'!$B$12:$AU$603,14,FALSE)*$H28),0)</f>
        <v>0</v>
      </c>
      <c r="Z28" s="22">
        <f ca="1">IF($L28&lt;&gt;0,VLOOKUP($N28,'Allocation Factors'!$B$12:$AU$603,15,FALSE)*$L28,0)+IF($H28&lt;&gt;0,(VLOOKUP($J28,'Allocation Factors'!$B$12:$AU$603,15,FALSE)*$H28),0)</f>
        <v>1.4352203521156826</v>
      </c>
      <c r="AA28" s="22">
        <f ca="1">IF($L28&lt;&gt;0,VLOOKUP($N28,'Allocation Factors'!$B$12:$AU$603,16,FALSE)*$L28,0)+IF($H28&lt;&gt;0,(VLOOKUP($J28,'Allocation Factors'!$B$12:$AU$603,16,FALSE)*$H28),0)</f>
        <v>0</v>
      </c>
      <c r="AB28" s="22">
        <f ca="1">IF($L28&lt;&gt;0,VLOOKUP($N28,'Allocation Factors'!$B$12:$AU$603,17,FALSE)*$L28,0)+IF($H28&lt;&gt;0,(VLOOKUP($J28,'Allocation Factors'!$B$12:$AU$603,17,FALSE)*$H28),0)</f>
        <v>0</v>
      </c>
      <c r="AC28" s="22">
        <f ca="1">IF($L28&lt;&gt;0,VLOOKUP($N28,'Allocation Factors'!$B$12:$AU$603,18,FALSE)*$L28,0)+IF($H28&lt;&gt;0,(VLOOKUP($J28,'Allocation Factors'!$B$12:$AU$603,18,FALSE)*$H28),0)</f>
        <v>11.127950463143867</v>
      </c>
      <c r="AD28" s="22">
        <f ca="1">IF($L28&lt;&gt;0,VLOOKUP($N28,'Allocation Factors'!$B$12:$AU$603,19,FALSE)*$L28,0)+IF($H28&lt;&gt;0,(VLOOKUP($J28,'Allocation Factors'!$B$12:$AU$603,19,FALSE)*$H28),0)</f>
        <v>3.285173869422549</v>
      </c>
      <c r="AE28" s="22">
        <f ca="1">IF($L28&lt;&gt;0,VLOOKUP($N28,'Allocation Factors'!$B$12:$AU$603,20,FALSE)*$L28,0)+IF($H28&lt;&gt;0,(VLOOKUP($J28,'Allocation Factors'!$B$12:$AU$603,20,FALSE)*$H28),0)</f>
        <v>0.74485983499281605</v>
      </c>
      <c r="AF28" s="22">
        <f ca="1">IF($L28&lt;&gt;0,VLOOKUP($N28,'Allocation Factors'!$B$12:$AU$603,21,FALSE)*$L28,0)+IF($H28&lt;&gt;0,(VLOOKUP($J28,'Allocation Factors'!$B$12:$AU$603,21,FALSE)*$H28),0)</f>
        <v>0</v>
      </c>
      <c r="AG28" s="22">
        <f ca="1">IF($L28&lt;&gt;0,VLOOKUP($N28,'Allocation Factors'!$B$12:$AU$603,22,FALSE)*$L28,0)+IF($H28&lt;&gt;0,(VLOOKUP($J28,'Allocation Factors'!$B$12:$AU$603,22,FALSE)*$H28),0)</f>
        <v>0</v>
      </c>
      <c r="AH28" s="22">
        <f ca="1">IF($L28&lt;&gt;0,VLOOKUP($N28,'Allocation Factors'!$B$12:$AU$603,23,FALSE)*$L28,0)+IF($H28&lt;&gt;0,(VLOOKUP($J28,'Allocation Factors'!$B$12:$AU$603,23,FALSE)*$H28),0)</f>
        <v>35.60609444718569</v>
      </c>
      <c r="AI28" s="22">
        <f ca="1">IF($L28&lt;&gt;0,VLOOKUP($N28,'Allocation Factors'!$B$12:$AU$603,24,FALSE)*$L28,0)+IF($H28&lt;&gt;0,(VLOOKUP($J28,'Allocation Factors'!$B$12:$AU$603,24,FALSE)*$H28),0)</f>
        <v>13.193097367746322</v>
      </c>
      <c r="AJ28" s="22">
        <f ca="1">IF($L28&lt;&gt;0,VLOOKUP($N28,'Allocation Factors'!$B$12:$AU$603,25,FALSE)*$L28,0)+IF($H28&lt;&gt;0,(VLOOKUP($J28,'Allocation Factors'!$B$12:$AU$603,25,FALSE)*$H28),0)</f>
        <v>4.6963126067023442</v>
      </c>
      <c r="AK28" s="22">
        <f ca="1">IF($L28&lt;&gt;0,VLOOKUP($N28,'Allocation Factors'!$B$12:$AU$603,26,FALSE)*$L28,0)+IF($H28&lt;&gt;0,(VLOOKUP($J28,'Allocation Factors'!$B$12:$AU$603,26,FALSE)*$H28),0)</f>
        <v>0</v>
      </c>
      <c r="AL28" s="22">
        <f ca="1">IF($L28&lt;&gt;0,VLOOKUP($N28,'Allocation Factors'!$B$12:$AU$603,27,FALSE)*$L28,0)+IF($H28&lt;&gt;0,(VLOOKUP($J28,'Allocation Factors'!$B$12:$AU$603,27,FALSE)*$H28),0)</f>
        <v>4.1255850901164154E-2</v>
      </c>
      <c r="AM28" s="22">
        <f ca="1">IF($L28&lt;&gt;0,VLOOKUP($N28,'Allocation Factors'!$B$12:$AU$603,28,FALSE)*$L28,0)+IF($H28&lt;&gt;0,(VLOOKUP($J28,'Allocation Factors'!$B$12:$AU$603,28,FALSE)*$H28),0)</f>
        <v>0</v>
      </c>
      <c r="AN28" s="22">
        <f ca="1">IF($L28&lt;&gt;0,VLOOKUP($N28,'Allocation Factors'!$B$12:$AU$603,29,FALSE)*$L28,0)+IF($H28&lt;&gt;0,(VLOOKUP($J28,'Allocation Factors'!$B$12:$AU$603,29,FALSE)*$H28),0)</f>
        <v>6.9466742141932158</v>
      </c>
      <c r="AO28" s="22">
        <f ca="1">IF($L28&lt;&gt;0,VLOOKUP($N28,'Allocation Factors'!$B$12:$AU$603,30,FALSE)*$L28,0)+IF($H28&lt;&gt;0,(VLOOKUP($J28,'Allocation Factors'!$B$12:$AU$603,30,FALSE)*$H28),0)</f>
        <v>0</v>
      </c>
      <c r="AP28" s="22">
        <f ca="1">IF($L28&lt;&gt;0,VLOOKUP($N28,'Allocation Factors'!$B$12:$AU$603,31,FALSE)*$L28,0)+IF($H28&lt;&gt;0,(VLOOKUP($J28,'Allocation Factors'!$B$12:$AU$603,31,FALSE)*$H28),0)</f>
        <v>0.5671047130134047</v>
      </c>
      <c r="AQ28" s="22">
        <f ca="1">IF($L28&lt;&gt;0,VLOOKUP($N28,'Allocation Factors'!$B$12:$AU$603,32,FALSE)*$L28,0)+IF($H28&lt;&gt;0,(VLOOKUP($J28,'Allocation Factors'!$B$12:$AU$603,32,FALSE)*$H28),0)</f>
        <v>0</v>
      </c>
      <c r="AR28" s="22">
        <f ca="1">IF($L28&lt;&gt;0,VLOOKUP($N28,'Allocation Factors'!$B$12:$AU$603,33,FALSE)*$L28,0)+IF($H28&lt;&gt;0,(VLOOKUP($J28,'Allocation Factors'!$B$12:$AU$603,33,FALSE)*$H28),0)</f>
        <v>1.2342741275496165</v>
      </c>
      <c r="AS28" s="22">
        <f ca="1">IF($L28&lt;&gt;0,VLOOKUP($N28,'Allocation Factors'!$B$12:$AU$603,34,FALSE)*$L28,0)+IF($H28&lt;&gt;0,(VLOOKUP($J28,'Allocation Factors'!$B$12:$AU$603,34,FALSE)*$H28),0)</f>
        <v>0</v>
      </c>
      <c r="AT28" s="22">
        <f ca="1">IF($L28&lt;&gt;0,VLOOKUP($N28,'Allocation Factors'!$B$12:$AU$603,35,FALSE)*$L28,0)+IF($H28&lt;&gt;0,(VLOOKUP($J28,'Allocation Factors'!$B$12:$AU$603,35,FALSE)*$H28),0)</f>
        <v>15.589948660796299</v>
      </c>
      <c r="AU28" s="22">
        <f ca="1">IF($L28&lt;&gt;0,VLOOKUP($N28,'Allocation Factors'!$B$12:$AU$603,36,FALSE)*$L28,0)+IF($H28&lt;&gt;0,(VLOOKUP($J28,'Allocation Factors'!$B$12:$AU$603,36,FALSE)*$H28),0)</f>
        <v>0</v>
      </c>
      <c r="AV28" s="22">
        <f ca="1">IF($L28&lt;&gt;0,VLOOKUP($N28,'Allocation Factors'!$B$12:$AU$603,37,FALSE)*$L28,0)+IF($H28&lt;&gt;0,(VLOOKUP($J28,'Allocation Factors'!$B$12:$AU$603,37,FALSE)*$H28),0)</f>
        <v>1.5461789749967711</v>
      </c>
      <c r="AW28" s="22">
        <f ca="1">IF($L28&lt;&gt;0,VLOOKUP($N28,'Allocation Factors'!$B$12:$AU$603,38,FALSE)*$L28,0)+IF($H28&lt;&gt;0,(VLOOKUP($J28,'Allocation Factors'!$B$12:$AU$603,38,FALSE)*$H28),0)</f>
        <v>0</v>
      </c>
      <c r="AX28" s="22">
        <f ca="1">IF($L28&lt;&gt;0,VLOOKUP($N28,'Allocation Factors'!$B$12:$AU$603,39,FALSE)*$L28,0)+IF($H28&lt;&gt;0,(VLOOKUP($J28,'Allocation Factors'!$B$12:$AU$603,39,FALSE)*$H28),0)</f>
        <v>0</v>
      </c>
      <c r="AY28" s="22">
        <f ca="1">IF($L28&lt;&gt;0,VLOOKUP($N28,'Allocation Factors'!$B$12:$AU$603,40,FALSE)*$L28,0)+IF($H28&lt;&gt;0,(VLOOKUP($J28,'Allocation Factors'!$B$12:$AU$603,40,FALSE)*$H28),0)</f>
        <v>0</v>
      </c>
      <c r="AZ28" s="22">
        <f ca="1">IF($L28&lt;&gt;0,VLOOKUP($N28,'Allocation Factors'!$B$12:$AU$603,41,FALSE)*$L28,0)+IF($H28&lt;&gt;0,(VLOOKUP($J28,'Allocation Factors'!$B$12:$AU$603,41,FALSE)*$H28),0)</f>
        <v>0</v>
      </c>
      <c r="BA28" s="22">
        <f ca="1">IF($L28&lt;&gt;0,VLOOKUP($N28,'Allocation Factors'!$B$12:$AU$603,42,FALSE)*$L28,0)+IF($H28&lt;&gt;0,(VLOOKUP($J28,'Allocation Factors'!$B$12:$AU$603,42,FALSE)*$H28),0)</f>
        <v>0</v>
      </c>
      <c r="BB28" s="22">
        <f ca="1">IF($L28&lt;&gt;0,VLOOKUP($N28,'Allocation Factors'!$B$12:$AU$603,43,FALSE)*$L28,0)+IF($H28&lt;&gt;0,(VLOOKUP($J28,'Allocation Factors'!$B$12:$AU$603,43,FALSE)*$H28),0)</f>
        <v>1233.9031329898801</v>
      </c>
      <c r="BC28" s="22">
        <f ca="1">IF($L28&lt;&gt;0,VLOOKUP($N28,'Allocation Factors'!$B$12:$AU$603,44,FALSE)*$L28,0)+IF($H28&lt;&gt;0,(VLOOKUP($J28,'Allocation Factors'!$B$12:$AU$603,44,FALSE)*$H28),0)</f>
        <v>0</v>
      </c>
      <c r="BD28" s="22">
        <f ca="1">IF($L28&lt;&gt;0,VLOOKUP($N28,'Allocation Factors'!$B$12:$AU$603,45,FALSE)*$L28,0)+IF($H28&lt;&gt;0,(VLOOKUP($J28,'Allocation Factors'!$B$12:$AU$603,45,FALSE)*$H28),0)</f>
        <v>0</v>
      </c>
      <c r="BE28" s="22">
        <f ca="1">IF($L28&lt;&gt;0,VLOOKUP($N28,'Allocation Factors'!$B$12:$AU$603,46,FALSE)*$L28,0)+IF($H28&lt;&gt;0,(VLOOKUP($J28,'Allocation Factors'!$B$12:$AU$603,46,FALSE)*$H28),0)</f>
        <v>0</v>
      </c>
      <c r="BF28" s="9"/>
    </row>
    <row r="29" spans="1:58" x14ac:dyDescent="0.25">
      <c r="A29" s="2">
        <f t="shared" ref="A29:A34" si="7">A28+1</f>
        <v>15</v>
      </c>
      <c r="B29" s="73" t="s">
        <v>117</v>
      </c>
      <c r="D29" s="22">
        <f ca="1">'Total ALLOCATION'!D29-'Gas Cost ALLOCATION'!D29</f>
        <v>47264.710948384934</v>
      </c>
      <c r="E29" s="22"/>
      <c r="F29" s="22">
        <f ca="1">'Total ALLOCATION'!F29-'Gas Cost ALLOCATION'!F29</f>
        <v>47264.710948384934</v>
      </c>
      <c r="L29" s="22">
        <f t="shared" ca="1" si="6"/>
        <v>47264.710948384934</v>
      </c>
      <c r="N29" s="28" t="str">
        <f>'Total ALLOCATION'!N29</f>
        <v>PKWY_DEMAND</v>
      </c>
      <c r="P29" s="22">
        <f ca="1">IF($L29&lt;&gt;0,VLOOKUP($N29,'Allocation Factors'!$B$12:$AU$603,5,FALSE)*$L29,0)+IF($H29&lt;&gt;0,(VLOOKUP($J29,'Allocation Factors'!$B$12:$AU$603,5,FALSE)*$H29),0)</f>
        <v>6927.9477819022068</v>
      </c>
      <c r="Q29" s="22">
        <f ca="1">IF($L29&lt;&gt;0,VLOOKUP($N29,'Allocation Factors'!$B$12:$AU$603,6,FALSE)*$L29,0)+IF($H29&lt;&gt;0,(VLOOKUP($J29,'Allocation Factors'!$B$12:$AU$603,6,FALSE)*$H29),0)</f>
        <v>6182.4494127536509</v>
      </c>
      <c r="R29" s="22">
        <f ca="1">IF($L29&lt;&gt;0,VLOOKUP($N29,'Allocation Factors'!$B$12:$AU$603,7,FALSE)*$L29,0)+IF($H29&lt;&gt;0,(VLOOKUP($J29,'Allocation Factors'!$B$12:$AU$603,7,FALSE)*$H29),0)</f>
        <v>0</v>
      </c>
      <c r="S29" s="22">
        <f ca="1">IF($L29&lt;&gt;0,VLOOKUP($N29,'Allocation Factors'!$B$12:$AU$603,8,FALSE)*$L29,0)+IF($H29&lt;&gt;0,(VLOOKUP($J29,'Allocation Factors'!$B$12:$AU$603,8,FALSE)*$H29),0)</f>
        <v>21.806402078284236</v>
      </c>
      <c r="T29" s="22">
        <f ca="1">IF($L29&lt;&gt;0,VLOOKUP($N29,'Allocation Factors'!$B$12:$AU$603,9,FALSE)*$L29,0)+IF($H29&lt;&gt;0,(VLOOKUP($J29,'Allocation Factors'!$B$12:$AU$603,9,FALSE)*$H29),0)</f>
        <v>709.39418846774333</v>
      </c>
      <c r="U29" s="22">
        <f ca="1">IF($L29&lt;&gt;0,VLOOKUP($N29,'Allocation Factors'!$B$12:$AU$603,10,FALSE)*$L29,0)+IF($H29&lt;&gt;0,(VLOOKUP($J29,'Allocation Factors'!$B$12:$AU$603,10,FALSE)*$H29),0)</f>
        <v>149.08594257916192</v>
      </c>
      <c r="V29" s="22">
        <f ca="1">IF($L29&lt;&gt;0,VLOOKUP($N29,'Allocation Factors'!$B$12:$AU$603,11,FALSE)*$L29,0)+IF($H29&lt;&gt;0,(VLOOKUP($J29,'Allocation Factors'!$B$12:$AU$603,11,FALSE)*$H29),0)</f>
        <v>0</v>
      </c>
      <c r="W29" s="22">
        <f ca="1">IF($L29&lt;&gt;0,VLOOKUP($N29,'Allocation Factors'!$B$12:$AU$603,12,FALSE)*$L29,0)+IF($H29&lt;&gt;0,(VLOOKUP($J29,'Allocation Factors'!$B$12:$AU$603,12,FALSE)*$H29),0)</f>
        <v>2.471880309514451</v>
      </c>
      <c r="X29" s="22">
        <f ca="1">IF($L29&lt;&gt;0,VLOOKUP($N29,'Allocation Factors'!$B$12:$AU$603,13,FALSE)*$L29,0)+IF($H29&lt;&gt;0,(VLOOKUP($J29,'Allocation Factors'!$B$12:$AU$603,13,FALSE)*$H29),0)</f>
        <v>0</v>
      </c>
      <c r="Y29" s="22">
        <f ca="1">IF($L29&lt;&gt;0,VLOOKUP($N29,'Allocation Factors'!$B$12:$AU$603,14,FALSE)*$L29,0)+IF($H29&lt;&gt;0,(VLOOKUP($J29,'Allocation Factors'!$B$12:$AU$603,14,FALSE)*$H29),0)</f>
        <v>0</v>
      </c>
      <c r="Z29" s="22">
        <f ca="1">IF($L29&lt;&gt;0,VLOOKUP($N29,'Allocation Factors'!$B$12:$AU$603,15,FALSE)*$L29,0)+IF($H29&lt;&gt;0,(VLOOKUP($J29,'Allocation Factors'!$B$12:$AU$603,15,FALSE)*$H29),0)</f>
        <v>164.48455028807896</v>
      </c>
      <c r="AA29" s="22">
        <f ca="1">IF($L29&lt;&gt;0,VLOOKUP($N29,'Allocation Factors'!$B$12:$AU$603,16,FALSE)*$L29,0)+IF($H29&lt;&gt;0,(VLOOKUP($J29,'Allocation Factors'!$B$12:$AU$603,16,FALSE)*$H29),0)</f>
        <v>0</v>
      </c>
      <c r="AB29" s="22">
        <f ca="1">IF($L29&lt;&gt;0,VLOOKUP($N29,'Allocation Factors'!$B$12:$AU$603,17,FALSE)*$L29,0)+IF($H29&lt;&gt;0,(VLOOKUP($J29,'Allocation Factors'!$B$12:$AU$603,17,FALSE)*$H29),0)</f>
        <v>88.760595432766721</v>
      </c>
      <c r="AC29" s="22">
        <f ca="1">IF($L29&lt;&gt;0,VLOOKUP($N29,'Allocation Factors'!$B$12:$AU$603,18,FALSE)*$L29,0)+IF($H29&lt;&gt;0,(VLOOKUP($J29,'Allocation Factors'!$B$12:$AU$603,18,FALSE)*$H29),0)</f>
        <v>1275.3274609435757</v>
      </c>
      <c r="AD29" s="22">
        <f ca="1">IF($L29&lt;&gt;0,VLOOKUP($N29,'Allocation Factors'!$B$12:$AU$603,19,FALSE)*$L29,0)+IF($H29&lt;&gt;0,(VLOOKUP($J29,'Allocation Factors'!$B$12:$AU$603,19,FALSE)*$H29),0)</f>
        <v>376.49991914730157</v>
      </c>
      <c r="AE29" s="22">
        <f ca="1">IF($L29&lt;&gt;0,VLOOKUP($N29,'Allocation Factors'!$B$12:$AU$603,20,FALSE)*$L29,0)+IF($H29&lt;&gt;0,(VLOOKUP($J29,'Allocation Factors'!$B$12:$AU$603,20,FALSE)*$H29),0)</f>
        <v>85.365243605861821</v>
      </c>
      <c r="AF29" s="22">
        <f ca="1">IF($L29&lt;&gt;0,VLOOKUP($N29,'Allocation Factors'!$B$12:$AU$603,21,FALSE)*$L29,0)+IF($H29&lt;&gt;0,(VLOOKUP($J29,'Allocation Factors'!$B$12:$AU$603,21,FALSE)*$H29),0)</f>
        <v>0</v>
      </c>
      <c r="AG29" s="22">
        <f ca="1">IF($L29&lt;&gt;0,VLOOKUP($N29,'Allocation Factors'!$B$12:$AU$603,22,FALSE)*$L29,0)+IF($H29&lt;&gt;0,(VLOOKUP($J29,'Allocation Factors'!$B$12:$AU$603,22,FALSE)*$H29),0)</f>
        <v>0</v>
      </c>
      <c r="AH29" s="22">
        <f ca="1">IF($L29&lt;&gt;0,VLOOKUP($N29,'Allocation Factors'!$B$12:$AU$603,23,FALSE)*$L29,0)+IF($H29&lt;&gt;0,(VLOOKUP($J29,'Allocation Factors'!$B$12:$AU$603,23,FALSE)*$H29),0)</f>
        <v>4080.6642854714346</v>
      </c>
      <c r="AI29" s="22">
        <f ca="1">IF($L29&lt;&gt;0,VLOOKUP($N29,'Allocation Factors'!$B$12:$AU$603,24,FALSE)*$L29,0)+IF($H29&lt;&gt;0,(VLOOKUP($J29,'Allocation Factors'!$B$12:$AU$603,24,FALSE)*$H29),0)</f>
        <v>1512.0052361588023</v>
      </c>
      <c r="AJ29" s="22">
        <f ca="1">IF($L29&lt;&gt;0,VLOOKUP($N29,'Allocation Factors'!$B$12:$AU$603,25,FALSE)*$L29,0)+IF($H29&lt;&gt;0,(VLOOKUP($J29,'Allocation Factors'!$B$12:$AU$603,25,FALSE)*$H29),0)</f>
        <v>538.22457714382222</v>
      </c>
      <c r="AK29" s="22">
        <f ca="1">IF($L29&lt;&gt;0,VLOOKUP($N29,'Allocation Factors'!$B$12:$AU$603,26,FALSE)*$L29,0)+IF($H29&lt;&gt;0,(VLOOKUP($J29,'Allocation Factors'!$B$12:$AU$603,26,FALSE)*$H29),0)</f>
        <v>0</v>
      </c>
      <c r="AL29" s="22">
        <f ca="1">IF($L29&lt;&gt;0,VLOOKUP($N29,'Allocation Factors'!$B$12:$AU$603,27,FALSE)*$L29,0)+IF($H29&lt;&gt;0,(VLOOKUP($J29,'Allocation Factors'!$B$12:$AU$603,27,FALSE)*$H29),0)</f>
        <v>4.7281590399876503</v>
      </c>
      <c r="AM29" s="22">
        <f ca="1">IF($L29&lt;&gt;0,VLOOKUP($N29,'Allocation Factors'!$B$12:$AU$603,28,FALSE)*$L29,0)+IF($H29&lt;&gt;0,(VLOOKUP($J29,'Allocation Factors'!$B$12:$AU$603,28,FALSE)*$H29),0)</f>
        <v>0</v>
      </c>
      <c r="AN29" s="22">
        <f ca="1">IF($L29&lt;&gt;0,VLOOKUP($N29,'Allocation Factors'!$B$12:$AU$603,29,FALSE)*$L29,0)+IF($H29&lt;&gt;0,(VLOOKUP($J29,'Allocation Factors'!$B$12:$AU$603,29,FALSE)*$H29),0)</f>
        <v>796.12902815585721</v>
      </c>
      <c r="AO29" s="22">
        <f ca="1">IF($L29&lt;&gt;0,VLOOKUP($N29,'Allocation Factors'!$B$12:$AU$603,30,FALSE)*$L29,0)+IF($H29&lt;&gt;0,(VLOOKUP($J29,'Allocation Factors'!$B$12:$AU$603,30,FALSE)*$H29),0)</f>
        <v>0</v>
      </c>
      <c r="AP29" s="22">
        <f ca="1">IF($L29&lt;&gt;0,VLOOKUP($N29,'Allocation Factors'!$B$12:$AU$603,31,FALSE)*$L29,0)+IF($H29&lt;&gt;0,(VLOOKUP($J29,'Allocation Factors'!$B$12:$AU$603,31,FALSE)*$H29),0)</f>
        <v>64.993478909879144</v>
      </c>
      <c r="AQ29" s="22">
        <f ca="1">IF($L29&lt;&gt;0,VLOOKUP($N29,'Allocation Factors'!$B$12:$AU$603,32,FALSE)*$L29,0)+IF($H29&lt;&gt;0,(VLOOKUP($J29,'Allocation Factors'!$B$12:$AU$603,32,FALSE)*$H29),0)</f>
        <v>0</v>
      </c>
      <c r="AR29" s="22">
        <f ca="1">IF($L29&lt;&gt;0,VLOOKUP($N29,'Allocation Factors'!$B$12:$AU$603,33,FALSE)*$L29,0)+IF($H29&lt;&gt;0,(VLOOKUP($J29,'Allocation Factors'!$B$12:$AU$603,33,FALSE)*$H29),0)</f>
        <v>0</v>
      </c>
      <c r="AS29" s="22">
        <f ca="1">IF($L29&lt;&gt;0,VLOOKUP($N29,'Allocation Factors'!$B$12:$AU$603,34,FALSE)*$L29,0)+IF($H29&lt;&gt;0,(VLOOKUP($J29,'Allocation Factors'!$B$12:$AU$603,34,FALSE)*$H29),0)</f>
        <v>0</v>
      </c>
      <c r="AT29" s="22">
        <f ca="1">IF($L29&lt;&gt;0,VLOOKUP($N29,'Allocation Factors'!$B$12:$AU$603,35,FALSE)*$L29,0)+IF($H29&lt;&gt;0,(VLOOKUP($J29,'Allocation Factors'!$B$12:$AU$603,35,FALSE)*$H29),0)</f>
        <v>0</v>
      </c>
      <c r="AU29" s="22">
        <f ca="1">IF($L29&lt;&gt;0,VLOOKUP($N29,'Allocation Factors'!$B$12:$AU$603,36,FALSE)*$L29,0)+IF($H29&lt;&gt;0,(VLOOKUP($J29,'Allocation Factors'!$B$12:$AU$603,36,FALSE)*$H29),0)</f>
        <v>0</v>
      </c>
      <c r="AV29" s="22">
        <f ca="1">IF($L29&lt;&gt;0,VLOOKUP($N29,'Allocation Factors'!$B$12:$AU$603,37,FALSE)*$L29,0)+IF($H29&lt;&gt;0,(VLOOKUP($J29,'Allocation Factors'!$B$12:$AU$603,37,FALSE)*$H29),0)</f>
        <v>0</v>
      </c>
      <c r="AW29" s="22">
        <f ca="1">IF($L29&lt;&gt;0,VLOOKUP($N29,'Allocation Factors'!$B$12:$AU$603,38,FALSE)*$L29,0)+IF($H29&lt;&gt;0,(VLOOKUP($J29,'Allocation Factors'!$B$12:$AU$603,38,FALSE)*$H29),0)</f>
        <v>0</v>
      </c>
      <c r="AX29" s="22">
        <f ca="1">IF($L29&lt;&gt;0,VLOOKUP($N29,'Allocation Factors'!$B$12:$AU$603,39,FALSE)*$L29,0)+IF($H29&lt;&gt;0,(VLOOKUP($J29,'Allocation Factors'!$B$12:$AU$603,39,FALSE)*$H29),0)</f>
        <v>0</v>
      </c>
      <c r="AY29" s="22">
        <f ca="1">IF($L29&lt;&gt;0,VLOOKUP($N29,'Allocation Factors'!$B$12:$AU$603,40,FALSE)*$L29,0)+IF($H29&lt;&gt;0,(VLOOKUP($J29,'Allocation Factors'!$B$12:$AU$603,40,FALSE)*$H29),0)</f>
        <v>0</v>
      </c>
      <c r="AZ29" s="22">
        <f ca="1">IF($L29&lt;&gt;0,VLOOKUP($N29,'Allocation Factors'!$B$12:$AU$603,41,FALSE)*$L29,0)+IF($H29&lt;&gt;0,(VLOOKUP($J29,'Allocation Factors'!$B$12:$AU$603,41,FALSE)*$H29),0)</f>
        <v>328.74634484713641</v>
      </c>
      <c r="BA29" s="22">
        <f ca="1">IF($L29&lt;&gt;0,VLOOKUP($N29,'Allocation Factors'!$B$12:$AU$603,42,FALSE)*$L29,0)+IF($H29&lt;&gt;0,(VLOOKUP($J29,'Allocation Factors'!$B$12:$AU$603,42,FALSE)*$H29),0)</f>
        <v>0</v>
      </c>
      <c r="BB29" s="22">
        <f ca="1">IF($L29&lt;&gt;0,VLOOKUP($N29,'Allocation Factors'!$B$12:$AU$603,43,FALSE)*$L29,0)+IF($H29&lt;&gt;0,(VLOOKUP($J29,'Allocation Factors'!$B$12:$AU$603,43,FALSE)*$H29),0)</f>
        <v>23955.626461149863</v>
      </c>
      <c r="BC29" s="22">
        <f ca="1">IF($L29&lt;&gt;0,VLOOKUP($N29,'Allocation Factors'!$B$12:$AU$603,44,FALSE)*$L29,0)+IF($H29&lt;&gt;0,(VLOOKUP($J29,'Allocation Factors'!$B$12:$AU$603,44,FALSE)*$H29),0)</f>
        <v>0</v>
      </c>
      <c r="BD29" s="22">
        <f ca="1">IF($L29&lt;&gt;0,VLOOKUP($N29,'Allocation Factors'!$B$12:$AU$603,45,FALSE)*$L29,0)+IF($H29&lt;&gt;0,(VLOOKUP($J29,'Allocation Factors'!$B$12:$AU$603,45,FALSE)*$H29),0)</f>
        <v>0</v>
      </c>
      <c r="BE29" s="22">
        <f ca="1">IF($L29&lt;&gt;0,VLOOKUP($N29,'Allocation Factors'!$B$12:$AU$603,46,FALSE)*$L29,0)+IF($H29&lt;&gt;0,(VLOOKUP($J29,'Allocation Factors'!$B$12:$AU$603,46,FALSE)*$H29),0)</f>
        <v>0</v>
      </c>
      <c r="BF29" s="9"/>
    </row>
    <row r="30" spans="1:58" x14ac:dyDescent="0.25">
      <c r="A30" s="2">
        <f t="shared" si="7"/>
        <v>16</v>
      </c>
      <c r="B30" s="73" t="s">
        <v>375</v>
      </c>
      <c r="D30" s="22">
        <f ca="1">'Total ALLOCATION'!D30-'Gas Cost ALLOCATION'!D30</f>
        <v>243137.02190119354</v>
      </c>
      <c r="E30" s="22"/>
      <c r="F30" s="22">
        <f ca="1">'Total ALLOCATION'!F30-'Gas Cost ALLOCATION'!F30</f>
        <v>243137.02190119354</v>
      </c>
      <c r="L30" s="22">
        <f t="shared" ca="1" si="6"/>
        <v>243137.02190119354</v>
      </c>
      <c r="N30" s="28" t="str">
        <f>'Total ALLOCATION'!N30</f>
        <v>D-PTRANS</v>
      </c>
      <c r="P30" s="22">
        <f ca="1">IF($L30&lt;&gt;0,VLOOKUP($N30,'Allocation Factors'!$B$12:$AU$603,5,FALSE)*$L30,0)+IF($H30&lt;&gt;0,(VLOOKUP($J30,'Allocation Factors'!$B$12:$AU$603,5,FALSE)*$H30),0)</f>
        <v>46854.112776776812</v>
      </c>
      <c r="Q30" s="22">
        <f ca="1">IF($L30&lt;&gt;0,VLOOKUP($N30,'Allocation Factors'!$B$12:$AU$603,6,FALSE)*$L30,0)+IF($H30&lt;&gt;0,(VLOOKUP($J30,'Allocation Factors'!$B$12:$AU$603,6,FALSE)*$H30),0)</f>
        <v>41812.26405582716</v>
      </c>
      <c r="R30" s="22">
        <f ca="1">IF($L30&lt;&gt;0,VLOOKUP($N30,'Allocation Factors'!$B$12:$AU$603,7,FALSE)*$L30,0)+IF($H30&lt;&gt;0,(VLOOKUP($J30,'Allocation Factors'!$B$12:$AU$603,7,FALSE)*$H30),0)</f>
        <v>0</v>
      </c>
      <c r="S30" s="22">
        <f ca="1">IF($L30&lt;&gt;0,VLOOKUP($N30,'Allocation Factors'!$B$12:$AU$603,8,FALSE)*$L30,0)+IF($H30&lt;&gt;0,(VLOOKUP($J30,'Allocation Factors'!$B$12:$AU$603,8,FALSE)*$H30),0)</f>
        <v>147.47796236292302</v>
      </c>
      <c r="T30" s="22">
        <f ca="1">IF($L30&lt;&gt;0,VLOOKUP($N30,'Allocation Factors'!$B$12:$AU$603,9,FALSE)*$L30,0)+IF($H30&lt;&gt;0,(VLOOKUP($J30,'Allocation Factors'!$B$12:$AU$603,9,FALSE)*$H30),0)</f>
        <v>4797.6740524062589</v>
      </c>
      <c r="U30" s="22">
        <f ca="1">IF($L30&lt;&gt;0,VLOOKUP($N30,'Allocation Factors'!$B$12:$AU$603,10,FALSE)*$L30,0)+IF($H30&lt;&gt;0,(VLOOKUP($J30,'Allocation Factors'!$B$12:$AU$603,10,FALSE)*$H30),0)</f>
        <v>1008.2768789458416</v>
      </c>
      <c r="V30" s="22">
        <f ca="1">IF($L30&lt;&gt;0,VLOOKUP($N30,'Allocation Factors'!$B$12:$AU$603,11,FALSE)*$L30,0)+IF($H30&lt;&gt;0,(VLOOKUP($J30,'Allocation Factors'!$B$12:$AU$603,11,FALSE)*$H30),0)</f>
        <v>0</v>
      </c>
      <c r="W30" s="22">
        <f ca="1">IF($L30&lt;&gt;0,VLOOKUP($N30,'Allocation Factors'!$B$12:$AU$603,12,FALSE)*$L30,0)+IF($H30&lt;&gt;0,(VLOOKUP($J30,'Allocation Factors'!$B$12:$AU$603,12,FALSE)*$H30),0)</f>
        <v>16.717469940410545</v>
      </c>
      <c r="X30" s="22">
        <f ca="1">IF($L30&lt;&gt;0,VLOOKUP($N30,'Allocation Factors'!$B$12:$AU$603,13,FALSE)*$L30,0)+IF($H30&lt;&gt;0,(VLOOKUP($J30,'Allocation Factors'!$B$12:$AU$603,13,FALSE)*$H30),0)</f>
        <v>0</v>
      </c>
      <c r="Y30" s="22">
        <f ca="1">IF($L30&lt;&gt;0,VLOOKUP($N30,'Allocation Factors'!$B$12:$AU$603,14,FALSE)*$L30,0)+IF($H30&lt;&gt;0,(VLOOKUP($J30,'Allocation Factors'!$B$12:$AU$603,14,FALSE)*$H30),0)</f>
        <v>0</v>
      </c>
      <c r="Z30" s="22">
        <f ca="1">IF($L30&lt;&gt;0,VLOOKUP($N30,'Allocation Factors'!$B$12:$AU$603,15,FALSE)*$L30,0)+IF($H30&lt;&gt;0,(VLOOKUP($J30,'Allocation Factors'!$B$12:$AU$603,15,FALSE)*$H30),0)</f>
        <v>1112.4185562378786</v>
      </c>
      <c r="AA30" s="22">
        <f ca="1">IF($L30&lt;&gt;0,VLOOKUP($N30,'Allocation Factors'!$B$12:$AU$603,16,FALSE)*$L30,0)+IF($H30&lt;&gt;0,(VLOOKUP($J30,'Allocation Factors'!$B$12:$AU$603,16,FALSE)*$H30),0)</f>
        <v>0</v>
      </c>
      <c r="AB30" s="22">
        <f ca="1">IF($L30&lt;&gt;0,VLOOKUP($N30,'Allocation Factors'!$B$12:$AU$603,17,FALSE)*$L30,0)+IF($H30&lt;&gt;0,(VLOOKUP($J30,'Allocation Factors'!$B$12:$AU$603,17,FALSE)*$H30),0)</f>
        <v>309.08618207111925</v>
      </c>
      <c r="AC30" s="22">
        <f ca="1">IF($L30&lt;&gt;0,VLOOKUP($N30,'Allocation Factors'!$B$12:$AU$603,18,FALSE)*$L30,0)+IF($H30&lt;&gt;0,(VLOOKUP($J30,'Allocation Factors'!$B$12:$AU$603,18,FALSE)*$H30),0)</f>
        <v>8625.113607014513</v>
      </c>
      <c r="AD30" s="22">
        <f ca="1">IF($L30&lt;&gt;0,VLOOKUP($N30,'Allocation Factors'!$B$12:$AU$603,19,FALSE)*$L30,0)+IF($H30&lt;&gt;0,(VLOOKUP($J30,'Allocation Factors'!$B$12:$AU$603,19,FALSE)*$H30),0)</f>
        <v>2546.290795992611</v>
      </c>
      <c r="AE30" s="22">
        <f ca="1">IF($L30&lt;&gt;0,VLOOKUP($N30,'Allocation Factors'!$B$12:$AU$603,20,FALSE)*$L30,0)+IF($H30&lt;&gt;0,(VLOOKUP($J30,'Allocation Factors'!$B$12:$AU$603,20,FALSE)*$H30),0)</f>
        <v>577.33009500655817</v>
      </c>
      <c r="AF30" s="22">
        <f ca="1">IF($L30&lt;&gt;0,VLOOKUP($N30,'Allocation Factors'!$B$12:$AU$603,21,FALSE)*$L30,0)+IF($H30&lt;&gt;0,(VLOOKUP($J30,'Allocation Factors'!$B$12:$AU$603,21,FALSE)*$H30),0)</f>
        <v>0</v>
      </c>
      <c r="AG30" s="22">
        <f ca="1">IF($L30&lt;&gt;0,VLOOKUP($N30,'Allocation Factors'!$B$12:$AU$603,22,FALSE)*$L30,0)+IF($H30&lt;&gt;0,(VLOOKUP($J30,'Allocation Factors'!$B$12:$AU$603,22,FALSE)*$H30),0)</f>
        <v>0</v>
      </c>
      <c r="AH30" s="22">
        <f ca="1">IF($L30&lt;&gt;0,VLOOKUP($N30,'Allocation Factors'!$B$12:$AU$603,23,FALSE)*$L30,0)+IF($H30&lt;&gt;0,(VLOOKUP($J30,'Allocation Factors'!$B$12:$AU$603,23,FALSE)*$H30),0)</f>
        <v>27597.769304079146</v>
      </c>
      <c r="AI30" s="22">
        <f ca="1">IF($L30&lt;&gt;0,VLOOKUP($N30,'Allocation Factors'!$B$12:$AU$603,24,FALSE)*$L30,0)+IF($H30&lt;&gt;0,(VLOOKUP($J30,'Allocation Factors'!$B$12:$AU$603,24,FALSE)*$H30),0)</f>
        <v>10225.77913175466</v>
      </c>
      <c r="AJ30" s="22">
        <f ca="1">IF($L30&lt;&gt;0,VLOOKUP($N30,'Allocation Factors'!$B$12:$AU$603,25,FALSE)*$L30,0)+IF($H30&lt;&gt;0,(VLOOKUP($J30,'Allocation Factors'!$B$12:$AU$603,25,FALSE)*$H30),0)</f>
        <v>3640.0440405463814</v>
      </c>
      <c r="AK30" s="22">
        <f ca="1">IF($L30&lt;&gt;0,VLOOKUP($N30,'Allocation Factors'!$B$12:$AU$603,26,FALSE)*$L30,0)+IF($H30&lt;&gt;0,(VLOOKUP($J30,'Allocation Factors'!$B$12:$AU$603,26,FALSE)*$H30),0)</f>
        <v>0</v>
      </c>
      <c r="AL30" s="22">
        <f ca="1">IF($L30&lt;&gt;0,VLOOKUP($N30,'Allocation Factors'!$B$12:$AU$603,27,FALSE)*$L30,0)+IF($H30&lt;&gt;0,(VLOOKUP($J30,'Allocation Factors'!$B$12:$AU$603,27,FALSE)*$H30),0)</f>
        <v>31.976813893549817</v>
      </c>
      <c r="AM30" s="22">
        <f ca="1">IF($L30&lt;&gt;0,VLOOKUP($N30,'Allocation Factors'!$B$12:$AU$603,28,FALSE)*$L30,0)+IF($H30&lt;&gt;0,(VLOOKUP($J30,'Allocation Factors'!$B$12:$AU$603,28,FALSE)*$H30),0)</f>
        <v>0</v>
      </c>
      <c r="AN30" s="22">
        <f ca="1">IF($L30&lt;&gt;0,VLOOKUP($N30,'Allocation Factors'!$B$12:$AU$603,29,FALSE)*$L30,0)+IF($H30&lt;&gt;0,(VLOOKUP($J30,'Allocation Factors'!$B$12:$AU$603,29,FALSE)*$H30),0)</f>
        <v>5384.2668051747733</v>
      </c>
      <c r="AO30" s="22">
        <f ca="1">IF($L30&lt;&gt;0,VLOOKUP($N30,'Allocation Factors'!$B$12:$AU$603,30,FALSE)*$L30,0)+IF($H30&lt;&gt;0,(VLOOKUP($J30,'Allocation Factors'!$B$12:$AU$603,30,FALSE)*$H30),0)</f>
        <v>0</v>
      </c>
      <c r="AP30" s="22">
        <f ca="1">IF($L30&lt;&gt;0,VLOOKUP($N30,'Allocation Factors'!$B$12:$AU$603,31,FALSE)*$L30,0)+IF($H30&lt;&gt;0,(VLOOKUP($J30,'Allocation Factors'!$B$12:$AU$603,31,FALSE)*$H30),0)</f>
        <v>439.55466849122502</v>
      </c>
      <c r="AQ30" s="22">
        <f ca="1">IF($L30&lt;&gt;0,VLOOKUP($N30,'Allocation Factors'!$B$12:$AU$603,32,FALSE)*$L30,0)+IF($H30&lt;&gt;0,(VLOOKUP($J30,'Allocation Factors'!$B$12:$AU$603,32,FALSE)*$H30),0)</f>
        <v>0</v>
      </c>
      <c r="AR30" s="22">
        <f ca="1">IF($L30&lt;&gt;0,VLOOKUP($N30,'Allocation Factors'!$B$12:$AU$603,33,FALSE)*$L30,0)+IF($H30&lt;&gt;0,(VLOOKUP($J30,'Allocation Factors'!$B$12:$AU$603,33,FALSE)*$H30),0)</f>
        <v>1180.3027119536505</v>
      </c>
      <c r="AS30" s="22">
        <f ca="1">IF($L30&lt;&gt;0,VLOOKUP($N30,'Allocation Factors'!$B$12:$AU$603,34,FALSE)*$L30,0)+IF($H30&lt;&gt;0,(VLOOKUP($J30,'Allocation Factors'!$B$12:$AU$603,34,FALSE)*$H30),0)</f>
        <v>0</v>
      </c>
      <c r="AT30" s="22">
        <f ca="1">IF($L30&lt;&gt;0,VLOOKUP($N30,'Allocation Factors'!$B$12:$AU$603,35,FALSE)*$L30,0)+IF($H30&lt;&gt;0,(VLOOKUP($J30,'Allocation Factors'!$B$12:$AU$603,35,FALSE)*$H30),0)</f>
        <v>14908.243049772875</v>
      </c>
      <c r="AU30" s="22">
        <f ca="1">IF($L30&lt;&gt;0,VLOOKUP($N30,'Allocation Factors'!$B$12:$AU$603,36,FALSE)*$L30,0)+IF($H30&lt;&gt;0,(VLOOKUP($J30,'Allocation Factors'!$B$12:$AU$603,36,FALSE)*$H30),0)</f>
        <v>0</v>
      </c>
      <c r="AV30" s="22">
        <f ca="1">IF($L30&lt;&gt;0,VLOOKUP($N30,'Allocation Factors'!$B$12:$AU$603,37,FALSE)*$L30,0)+IF($H30&lt;&gt;0,(VLOOKUP($J30,'Allocation Factors'!$B$12:$AU$603,37,FALSE)*$H30),0)</f>
        <v>1478.568817591166</v>
      </c>
      <c r="AW30" s="22">
        <f ca="1">IF($L30&lt;&gt;0,VLOOKUP($N30,'Allocation Factors'!$B$12:$AU$603,38,FALSE)*$L30,0)+IF($H30&lt;&gt;0,(VLOOKUP($J30,'Allocation Factors'!$B$12:$AU$603,38,FALSE)*$H30),0)</f>
        <v>0</v>
      </c>
      <c r="AX30" s="22">
        <f ca="1">IF($L30&lt;&gt;0,VLOOKUP($N30,'Allocation Factors'!$B$12:$AU$603,39,FALSE)*$L30,0)+IF($H30&lt;&gt;0,(VLOOKUP($J30,'Allocation Factors'!$B$12:$AU$603,39,FALSE)*$H30),0)</f>
        <v>0</v>
      </c>
      <c r="AY30" s="22">
        <f ca="1">IF($L30&lt;&gt;0,VLOOKUP($N30,'Allocation Factors'!$B$12:$AU$603,40,FALSE)*$L30,0)+IF($H30&lt;&gt;0,(VLOOKUP($J30,'Allocation Factors'!$B$12:$AU$603,40,FALSE)*$H30),0)</f>
        <v>0</v>
      </c>
      <c r="AZ30" s="22">
        <f ca="1">IF($L30&lt;&gt;0,VLOOKUP($N30,'Allocation Factors'!$B$12:$AU$603,41,FALSE)*$L30,0)+IF($H30&lt;&gt;0,(VLOOKUP($J30,'Allocation Factors'!$B$12:$AU$603,41,FALSE)*$H30),0)</f>
        <v>1144.7754727558581</v>
      </c>
      <c r="BA30" s="22">
        <f ca="1">IF($L30&lt;&gt;0,VLOOKUP($N30,'Allocation Factors'!$B$12:$AU$603,42,FALSE)*$L30,0)+IF($H30&lt;&gt;0,(VLOOKUP($J30,'Allocation Factors'!$B$12:$AU$603,42,FALSE)*$H30),0)</f>
        <v>0</v>
      </c>
      <c r="BB30" s="22">
        <f ca="1">IF($L30&lt;&gt;0,VLOOKUP($N30,'Allocation Factors'!$B$12:$AU$603,43,FALSE)*$L30,0)+IF($H30&lt;&gt;0,(VLOOKUP($J30,'Allocation Factors'!$B$12:$AU$603,43,FALSE)*$H30),0)</f>
        <v>69086.180533772742</v>
      </c>
      <c r="BC30" s="22">
        <f ca="1">IF($L30&lt;&gt;0,VLOOKUP($N30,'Allocation Factors'!$B$12:$AU$603,44,FALSE)*$L30,0)+IF($H30&lt;&gt;0,(VLOOKUP($J30,'Allocation Factors'!$B$12:$AU$603,44,FALSE)*$H30),0)</f>
        <v>0</v>
      </c>
      <c r="BD30" s="22">
        <f ca="1">IF($L30&lt;&gt;0,VLOOKUP($N30,'Allocation Factors'!$B$12:$AU$603,45,FALSE)*$L30,0)+IF($H30&lt;&gt;0,(VLOOKUP($J30,'Allocation Factors'!$B$12:$AU$603,45,FALSE)*$H30),0)</f>
        <v>0</v>
      </c>
      <c r="BE30" s="22">
        <f ca="1">IF($L30&lt;&gt;0,VLOOKUP($N30,'Allocation Factors'!$B$12:$AU$603,46,FALSE)*$L30,0)+IF($H30&lt;&gt;0,(VLOOKUP($J30,'Allocation Factors'!$B$12:$AU$603,46,FALSE)*$H30),0)</f>
        <v>212.79811882540318</v>
      </c>
      <c r="BF30" s="9"/>
    </row>
    <row r="31" spans="1:58" x14ac:dyDescent="0.25">
      <c r="A31" s="2">
        <f t="shared" si="7"/>
        <v>17</v>
      </c>
      <c r="B31" s="73" t="s">
        <v>376</v>
      </c>
      <c r="D31" s="22">
        <f ca="1">'Total ALLOCATION'!D31-'Gas Cost ALLOCATION'!D31</f>
        <v>36183.519639537146</v>
      </c>
      <c r="E31" s="22"/>
      <c r="F31" s="22">
        <f ca="1">'Total ALLOCATION'!F31-'Gas Cost ALLOCATION'!F31</f>
        <v>36183.519639537146</v>
      </c>
      <c r="L31" s="22">
        <f t="shared" ca="1" si="6"/>
        <v>36183.519639537146</v>
      </c>
      <c r="N31" s="28" t="str">
        <f>'Total ALLOCATION'!N31</f>
        <v>ALBIONTRANS</v>
      </c>
      <c r="P31" s="22">
        <f ca="1">IF($L31&lt;&gt;0,VLOOKUP($N31,'Allocation Factors'!$B$12:$AU$603,5,FALSE)*$L31,0)+IF($H31&lt;&gt;0,(VLOOKUP($J31,'Allocation Factors'!$B$12:$AU$603,5,FALSE)*$H31),0)</f>
        <v>4380.2579199962438</v>
      </c>
      <c r="Q31" s="22">
        <f ca="1">IF($L31&lt;&gt;0,VLOOKUP($N31,'Allocation Factors'!$B$12:$AU$603,6,FALSE)*$L31,0)+IF($H31&lt;&gt;0,(VLOOKUP($J31,'Allocation Factors'!$B$12:$AU$603,6,FALSE)*$H31),0)</f>
        <v>3908.9098038430579</v>
      </c>
      <c r="R31" s="22">
        <f ca="1">IF($L31&lt;&gt;0,VLOOKUP($N31,'Allocation Factors'!$B$12:$AU$603,7,FALSE)*$L31,0)+IF($H31&lt;&gt;0,(VLOOKUP($J31,'Allocation Factors'!$B$12:$AU$603,7,FALSE)*$H31),0)</f>
        <v>0</v>
      </c>
      <c r="S31" s="22">
        <f ca="1">IF($L31&lt;&gt;0,VLOOKUP($N31,'Allocation Factors'!$B$12:$AU$603,8,FALSE)*$L31,0)+IF($H31&lt;&gt;0,(VLOOKUP($J31,'Allocation Factors'!$B$12:$AU$603,8,FALSE)*$H31),0)</f>
        <v>13.787295807792706</v>
      </c>
      <c r="T31" s="22">
        <f ca="1">IF($L31&lt;&gt;0,VLOOKUP($N31,'Allocation Factors'!$B$12:$AU$603,9,FALSE)*$L31,0)+IF($H31&lt;&gt;0,(VLOOKUP($J31,'Allocation Factors'!$B$12:$AU$603,9,FALSE)*$H31),0)</f>
        <v>448.52091994001165</v>
      </c>
      <c r="U31" s="22">
        <f ca="1">IF($L31&lt;&gt;0,VLOOKUP($N31,'Allocation Factors'!$B$12:$AU$603,10,FALSE)*$L31,0)+IF($H31&lt;&gt;0,(VLOOKUP($J31,'Allocation Factors'!$B$12:$AU$603,10,FALSE)*$H31),0)</f>
        <v>94.260941522739842</v>
      </c>
      <c r="V31" s="22">
        <f ca="1">IF($L31&lt;&gt;0,VLOOKUP($N31,'Allocation Factors'!$B$12:$AU$603,11,FALSE)*$L31,0)+IF($H31&lt;&gt;0,(VLOOKUP($J31,'Allocation Factors'!$B$12:$AU$603,11,FALSE)*$H31),0)</f>
        <v>0</v>
      </c>
      <c r="W31" s="22">
        <f ca="1">IF($L31&lt;&gt;0,VLOOKUP($N31,'Allocation Factors'!$B$12:$AU$603,12,FALSE)*$L31,0)+IF($H31&lt;&gt;0,(VLOOKUP($J31,'Allocation Factors'!$B$12:$AU$603,12,FALSE)*$H31),0)</f>
        <v>1.5628687807546577</v>
      </c>
      <c r="X31" s="22">
        <f ca="1">IF($L31&lt;&gt;0,VLOOKUP($N31,'Allocation Factors'!$B$12:$AU$603,13,FALSE)*$L31,0)+IF($H31&lt;&gt;0,(VLOOKUP($J31,'Allocation Factors'!$B$12:$AU$603,13,FALSE)*$H31),0)</f>
        <v>0</v>
      </c>
      <c r="Y31" s="22">
        <f ca="1">IF($L31&lt;&gt;0,VLOOKUP($N31,'Allocation Factors'!$B$12:$AU$603,14,FALSE)*$L31,0)+IF($H31&lt;&gt;0,(VLOOKUP($J31,'Allocation Factors'!$B$12:$AU$603,14,FALSE)*$H31),0)</f>
        <v>0</v>
      </c>
      <c r="Z31" s="22">
        <f ca="1">IF($L31&lt;&gt;0,VLOOKUP($N31,'Allocation Factors'!$B$12:$AU$603,15,FALSE)*$L31,0)+IF($H31&lt;&gt;0,(VLOOKUP($J31,'Allocation Factors'!$B$12:$AU$603,15,FALSE)*$H31),0)</f>
        <v>103.99685113079107</v>
      </c>
      <c r="AA31" s="22">
        <f ca="1">IF($L31&lt;&gt;0,VLOOKUP($N31,'Allocation Factors'!$B$12:$AU$603,16,FALSE)*$L31,0)+IF($H31&lt;&gt;0,(VLOOKUP($J31,'Allocation Factors'!$B$12:$AU$603,16,FALSE)*$H31),0)</f>
        <v>0</v>
      </c>
      <c r="AB31" s="22">
        <f ca="1">IF($L31&lt;&gt;0,VLOOKUP($N31,'Allocation Factors'!$B$12:$AU$603,17,FALSE)*$L31,0)+IF($H31&lt;&gt;0,(VLOOKUP($J31,'Allocation Factors'!$B$12:$AU$603,17,FALSE)*$H31),0)</f>
        <v>0</v>
      </c>
      <c r="AC31" s="22">
        <f ca="1">IF($L31&lt;&gt;0,VLOOKUP($N31,'Allocation Factors'!$B$12:$AU$603,18,FALSE)*$L31,0)+IF($H31&lt;&gt;0,(VLOOKUP($J31,'Allocation Factors'!$B$12:$AU$603,18,FALSE)*$H31),0)</f>
        <v>806.33737251596006</v>
      </c>
      <c r="AD31" s="22">
        <f ca="1">IF($L31&lt;&gt;0,VLOOKUP($N31,'Allocation Factors'!$B$12:$AU$603,19,FALSE)*$L31,0)+IF($H31&lt;&gt;0,(VLOOKUP($J31,'Allocation Factors'!$B$12:$AU$603,19,FALSE)*$H31),0)</f>
        <v>238.04549408282361</v>
      </c>
      <c r="AE31" s="22">
        <f ca="1">IF($L31&lt;&gt;0,VLOOKUP($N31,'Allocation Factors'!$B$12:$AU$603,20,FALSE)*$L31,0)+IF($H31&lt;&gt;0,(VLOOKUP($J31,'Allocation Factors'!$B$12:$AU$603,20,FALSE)*$H31),0)</f>
        <v>53.972950745064246</v>
      </c>
      <c r="AF31" s="22">
        <f ca="1">IF($L31&lt;&gt;0,VLOOKUP($N31,'Allocation Factors'!$B$12:$AU$603,21,FALSE)*$L31,0)+IF($H31&lt;&gt;0,(VLOOKUP($J31,'Allocation Factors'!$B$12:$AU$603,21,FALSE)*$H31),0)</f>
        <v>0</v>
      </c>
      <c r="AG31" s="22">
        <f ca="1">IF($L31&lt;&gt;0,VLOOKUP($N31,'Allocation Factors'!$B$12:$AU$603,22,FALSE)*$L31,0)+IF($H31&lt;&gt;0,(VLOOKUP($J31,'Allocation Factors'!$B$12:$AU$603,22,FALSE)*$H31),0)</f>
        <v>0</v>
      </c>
      <c r="AH31" s="22">
        <f ca="1">IF($L31&lt;&gt;0,VLOOKUP($N31,'Allocation Factors'!$B$12:$AU$603,23,FALSE)*$L31,0)+IF($H31&lt;&gt;0,(VLOOKUP($J31,'Allocation Factors'!$B$12:$AU$603,23,FALSE)*$H31),0)</f>
        <v>2580.0370640747383</v>
      </c>
      <c r="AI31" s="22">
        <f ca="1">IF($L31&lt;&gt;0,VLOOKUP($N31,'Allocation Factors'!$B$12:$AU$603,24,FALSE)*$L31,0)+IF($H31&lt;&gt;0,(VLOOKUP($J31,'Allocation Factors'!$B$12:$AU$603,24,FALSE)*$H31),0)</f>
        <v>955.97904592489783</v>
      </c>
      <c r="AJ31" s="22">
        <f ca="1">IF($L31&lt;&gt;0,VLOOKUP($N31,'Allocation Factors'!$B$12:$AU$603,25,FALSE)*$L31,0)+IF($H31&lt;&gt;0,(VLOOKUP($J31,'Allocation Factors'!$B$12:$AU$603,25,FALSE)*$H31),0)</f>
        <v>340.29737824085328</v>
      </c>
      <c r="AK31" s="22">
        <f ca="1">IF($L31&lt;&gt;0,VLOOKUP($N31,'Allocation Factors'!$B$12:$AU$603,26,FALSE)*$L31,0)+IF($H31&lt;&gt;0,(VLOOKUP($J31,'Allocation Factors'!$B$12:$AU$603,26,FALSE)*$H31),0)</f>
        <v>0</v>
      </c>
      <c r="AL31" s="22">
        <f ca="1">IF($L31&lt;&gt;0,VLOOKUP($N31,'Allocation Factors'!$B$12:$AU$603,27,FALSE)*$L31,0)+IF($H31&lt;&gt;0,(VLOOKUP($J31,'Allocation Factors'!$B$12:$AU$603,27,FALSE)*$H31),0)</f>
        <v>2.9894215045918315</v>
      </c>
      <c r="AM31" s="22">
        <f ca="1">IF($L31&lt;&gt;0,VLOOKUP($N31,'Allocation Factors'!$B$12:$AU$603,28,FALSE)*$L31,0)+IF($H31&lt;&gt;0,(VLOOKUP($J31,'Allocation Factors'!$B$12:$AU$603,28,FALSE)*$H31),0)</f>
        <v>0</v>
      </c>
      <c r="AN31" s="22">
        <f ca="1">IF($L31&lt;&gt;0,VLOOKUP($N31,'Allocation Factors'!$B$12:$AU$603,29,FALSE)*$L31,0)+IF($H31&lt;&gt;0,(VLOOKUP($J31,'Allocation Factors'!$B$12:$AU$603,29,FALSE)*$H31),0)</f>
        <v>503.35981024976934</v>
      </c>
      <c r="AO31" s="22">
        <f ca="1">IF($L31&lt;&gt;0,VLOOKUP($N31,'Allocation Factors'!$B$12:$AU$603,30,FALSE)*$L31,0)+IF($H31&lt;&gt;0,(VLOOKUP($J31,'Allocation Factors'!$B$12:$AU$603,30,FALSE)*$H31),0)</f>
        <v>0</v>
      </c>
      <c r="AP31" s="22">
        <f ca="1">IF($L31&lt;&gt;0,VLOOKUP($N31,'Allocation Factors'!$B$12:$AU$603,31,FALSE)*$L31,0)+IF($H31&lt;&gt;0,(VLOOKUP($J31,'Allocation Factors'!$B$12:$AU$603,31,FALSE)*$H31),0)</f>
        <v>41.092717454769861</v>
      </c>
      <c r="AQ31" s="22">
        <f ca="1">IF($L31&lt;&gt;0,VLOOKUP($N31,'Allocation Factors'!$B$12:$AU$603,32,FALSE)*$L31,0)+IF($H31&lt;&gt;0,(VLOOKUP($J31,'Allocation Factors'!$B$12:$AU$603,32,FALSE)*$H31),0)</f>
        <v>0</v>
      </c>
      <c r="AR31" s="22">
        <f ca="1">IF($L31&lt;&gt;0,VLOOKUP($N31,'Allocation Factors'!$B$12:$AU$603,33,FALSE)*$L31,0)+IF($H31&lt;&gt;0,(VLOOKUP($J31,'Allocation Factors'!$B$12:$AU$603,33,FALSE)*$H31),0)</f>
        <v>0</v>
      </c>
      <c r="AS31" s="22">
        <f ca="1">IF($L31&lt;&gt;0,VLOOKUP($N31,'Allocation Factors'!$B$12:$AU$603,34,FALSE)*$L31,0)+IF($H31&lt;&gt;0,(VLOOKUP($J31,'Allocation Factors'!$B$12:$AU$603,34,FALSE)*$H31),0)</f>
        <v>0</v>
      </c>
      <c r="AT31" s="22">
        <f ca="1">IF($L31&lt;&gt;0,VLOOKUP($N31,'Allocation Factors'!$B$12:$AU$603,35,FALSE)*$L31,0)+IF($H31&lt;&gt;0,(VLOOKUP($J31,'Allocation Factors'!$B$12:$AU$603,35,FALSE)*$H31),0)</f>
        <v>0</v>
      </c>
      <c r="AU31" s="22">
        <f ca="1">IF($L31&lt;&gt;0,VLOOKUP($N31,'Allocation Factors'!$B$12:$AU$603,36,FALSE)*$L31,0)+IF($H31&lt;&gt;0,(VLOOKUP($J31,'Allocation Factors'!$B$12:$AU$603,36,FALSE)*$H31),0)</f>
        <v>0</v>
      </c>
      <c r="AV31" s="22">
        <f ca="1">IF($L31&lt;&gt;0,VLOOKUP($N31,'Allocation Factors'!$B$12:$AU$603,37,FALSE)*$L31,0)+IF($H31&lt;&gt;0,(VLOOKUP($J31,'Allocation Factors'!$B$12:$AU$603,37,FALSE)*$H31),0)</f>
        <v>0</v>
      </c>
      <c r="AW31" s="22">
        <f ca="1">IF($L31&lt;&gt;0,VLOOKUP($N31,'Allocation Factors'!$B$12:$AU$603,38,FALSE)*$L31,0)+IF($H31&lt;&gt;0,(VLOOKUP($J31,'Allocation Factors'!$B$12:$AU$603,38,FALSE)*$H31),0)</f>
        <v>0</v>
      </c>
      <c r="AX31" s="22">
        <f ca="1">IF($L31&lt;&gt;0,VLOOKUP($N31,'Allocation Factors'!$B$12:$AU$603,39,FALSE)*$L31,0)+IF($H31&lt;&gt;0,(VLOOKUP($J31,'Allocation Factors'!$B$12:$AU$603,39,FALSE)*$H31),0)</f>
        <v>21710.111783722288</v>
      </c>
      <c r="AY31" s="22">
        <f ca="1">IF($L31&lt;&gt;0,VLOOKUP($N31,'Allocation Factors'!$B$12:$AU$603,40,FALSE)*$L31,0)+IF($H31&lt;&gt;0,(VLOOKUP($J31,'Allocation Factors'!$B$12:$AU$603,40,FALSE)*$H31),0)</f>
        <v>0</v>
      </c>
      <c r="AZ31" s="22">
        <f ca="1">IF($L31&lt;&gt;0,VLOOKUP($N31,'Allocation Factors'!$B$12:$AU$603,41,FALSE)*$L31,0)+IF($H31&lt;&gt;0,(VLOOKUP($J31,'Allocation Factors'!$B$12:$AU$603,41,FALSE)*$H31),0)</f>
        <v>0</v>
      </c>
      <c r="BA31" s="22">
        <f ca="1">IF($L31&lt;&gt;0,VLOOKUP($N31,'Allocation Factors'!$B$12:$AU$603,42,FALSE)*$L31,0)+IF($H31&lt;&gt;0,(VLOOKUP($J31,'Allocation Factors'!$B$12:$AU$603,42,FALSE)*$H31),0)</f>
        <v>0</v>
      </c>
      <c r="BB31" s="22">
        <f ca="1">IF($L31&lt;&gt;0,VLOOKUP($N31,'Allocation Factors'!$B$12:$AU$603,43,FALSE)*$L31,0)+IF($H31&lt;&gt;0,(VLOOKUP($J31,'Allocation Factors'!$B$12:$AU$603,43,FALSE)*$H31),0)</f>
        <v>0</v>
      </c>
      <c r="BC31" s="22">
        <f ca="1">IF($L31&lt;&gt;0,VLOOKUP($N31,'Allocation Factors'!$B$12:$AU$603,44,FALSE)*$L31,0)+IF($H31&lt;&gt;0,(VLOOKUP($J31,'Allocation Factors'!$B$12:$AU$603,44,FALSE)*$H31),0)</f>
        <v>0</v>
      </c>
      <c r="BD31" s="22">
        <f ca="1">IF($L31&lt;&gt;0,VLOOKUP($N31,'Allocation Factors'!$B$12:$AU$603,45,FALSE)*$L31,0)+IF($H31&lt;&gt;0,(VLOOKUP($J31,'Allocation Factors'!$B$12:$AU$603,45,FALSE)*$H31),0)</f>
        <v>0</v>
      </c>
      <c r="BE31" s="22">
        <f ca="1">IF($L31&lt;&gt;0,VLOOKUP($N31,'Allocation Factors'!$B$12:$AU$603,46,FALSE)*$L31,0)+IF($H31&lt;&gt;0,(VLOOKUP($J31,'Allocation Factors'!$B$12:$AU$603,46,FALSE)*$H31),0)</f>
        <v>0</v>
      </c>
      <c r="BF31" s="9"/>
    </row>
    <row r="32" spans="1:58" x14ac:dyDescent="0.25">
      <c r="A32" s="2">
        <f t="shared" si="7"/>
        <v>18</v>
      </c>
      <c r="B32" s="73" t="s">
        <v>169</v>
      </c>
      <c r="D32" s="22">
        <f ca="1">'Total ALLOCATION'!D32-'Gas Cost ALLOCATION'!D32</f>
        <v>83346.589718586896</v>
      </c>
      <c r="E32" s="22"/>
      <c r="F32" s="22">
        <f ca="1">'Total ALLOCATION'!F32-'Gas Cost ALLOCATION'!F32</f>
        <v>83346.589718586896</v>
      </c>
      <c r="L32" s="22">
        <f t="shared" ca="1" si="6"/>
        <v>83346.589718586896</v>
      </c>
      <c r="N32" s="28" t="str">
        <f>'Total ALLOCATION'!N32</f>
        <v>PAN_STCLAIR</v>
      </c>
      <c r="P32" s="22">
        <f ca="1">IF($L32&lt;&gt;0,VLOOKUP($N32,'Allocation Factors'!$B$12:$AU$603,5,FALSE)*$L32,0)+IF($H32&lt;&gt;0,(VLOOKUP($J32,'Allocation Factors'!$B$12:$AU$603,5,FALSE)*$H32),0)</f>
        <v>15961.812136034121</v>
      </c>
      <c r="Q32" s="22">
        <f ca="1">IF($L32&lt;&gt;0,VLOOKUP($N32,'Allocation Factors'!$B$12:$AU$603,6,FALSE)*$L32,0)+IF($H32&lt;&gt;0,(VLOOKUP($J32,'Allocation Factors'!$B$12:$AU$603,6,FALSE)*$H32),0)</f>
        <v>14244.203214795714</v>
      </c>
      <c r="R32" s="22">
        <f ca="1">IF($L32&lt;&gt;0,VLOOKUP($N32,'Allocation Factors'!$B$12:$AU$603,7,FALSE)*$L32,0)+IF($H32&lt;&gt;0,(VLOOKUP($J32,'Allocation Factors'!$B$12:$AU$603,7,FALSE)*$H32),0)</f>
        <v>0</v>
      </c>
      <c r="S32" s="22">
        <f ca="1">IF($L32&lt;&gt;0,VLOOKUP($N32,'Allocation Factors'!$B$12:$AU$603,8,FALSE)*$L32,0)+IF($H32&lt;&gt;0,(VLOOKUP($J32,'Allocation Factors'!$B$12:$AU$603,8,FALSE)*$H32),0)</f>
        <v>50.241385226034069</v>
      </c>
      <c r="T32" s="22">
        <f ca="1">IF($L32&lt;&gt;0,VLOOKUP($N32,'Allocation Factors'!$B$12:$AU$603,9,FALSE)*$L32,0)+IF($H32&lt;&gt;0,(VLOOKUP($J32,'Allocation Factors'!$B$12:$AU$603,9,FALSE)*$H32),0)</f>
        <v>1634.4258246714855</v>
      </c>
      <c r="U32" s="22">
        <f ca="1">IF($L32&lt;&gt;0,VLOOKUP($N32,'Allocation Factors'!$B$12:$AU$603,10,FALSE)*$L32,0)+IF($H32&lt;&gt;0,(VLOOKUP($J32,'Allocation Factors'!$B$12:$AU$603,10,FALSE)*$H32),0)</f>
        <v>343.49014780229243</v>
      </c>
      <c r="V32" s="22">
        <f ca="1">IF($L32&lt;&gt;0,VLOOKUP($N32,'Allocation Factors'!$B$12:$AU$603,11,FALSE)*$L32,0)+IF($H32&lt;&gt;0,(VLOOKUP($J32,'Allocation Factors'!$B$12:$AU$603,11,FALSE)*$H32),0)</f>
        <v>0</v>
      </c>
      <c r="W32" s="22">
        <f ca="1">IF($L32&lt;&gt;0,VLOOKUP($N32,'Allocation Factors'!$B$12:$AU$603,12,FALSE)*$L32,0)+IF($H32&lt;&gt;0,(VLOOKUP($J32,'Allocation Factors'!$B$12:$AU$603,12,FALSE)*$H32),0)</f>
        <v>5.6951481687406993</v>
      </c>
      <c r="X32" s="22">
        <f ca="1">IF($L32&lt;&gt;0,VLOOKUP($N32,'Allocation Factors'!$B$12:$AU$603,13,FALSE)*$L32,0)+IF($H32&lt;&gt;0,(VLOOKUP($J32,'Allocation Factors'!$B$12:$AU$603,13,FALSE)*$H32),0)</f>
        <v>0</v>
      </c>
      <c r="Y32" s="22">
        <f ca="1">IF($L32&lt;&gt;0,VLOOKUP($N32,'Allocation Factors'!$B$12:$AU$603,14,FALSE)*$L32,0)+IF($H32&lt;&gt;0,(VLOOKUP($J32,'Allocation Factors'!$B$12:$AU$603,14,FALSE)*$H32),0)</f>
        <v>0</v>
      </c>
      <c r="Z32" s="22">
        <f ca="1">IF($L32&lt;&gt;0,VLOOKUP($N32,'Allocation Factors'!$B$12:$AU$603,15,FALSE)*$L32,0)+IF($H32&lt;&gt;0,(VLOOKUP($J32,'Allocation Factors'!$B$12:$AU$603,15,FALSE)*$H32),0)</f>
        <v>378.96814087381836</v>
      </c>
      <c r="AA32" s="22">
        <f ca="1">IF($L32&lt;&gt;0,VLOOKUP($N32,'Allocation Factors'!$B$12:$AU$603,16,FALSE)*$L32,0)+IF($H32&lt;&gt;0,(VLOOKUP($J32,'Allocation Factors'!$B$12:$AU$603,16,FALSE)*$H32),0)</f>
        <v>0</v>
      </c>
      <c r="AB32" s="22">
        <f ca="1">IF($L32&lt;&gt;0,VLOOKUP($N32,'Allocation Factors'!$B$12:$AU$603,17,FALSE)*$L32,0)+IF($H32&lt;&gt;0,(VLOOKUP($J32,'Allocation Factors'!$B$12:$AU$603,17,FALSE)*$H32),0)</f>
        <v>0</v>
      </c>
      <c r="AC32" s="22">
        <f ca="1">IF($L32&lt;&gt;0,VLOOKUP($N32,'Allocation Factors'!$B$12:$AU$603,18,FALSE)*$L32,0)+IF($H32&lt;&gt;0,(VLOOKUP($J32,'Allocation Factors'!$B$12:$AU$603,18,FALSE)*$H32),0)</f>
        <v>2938.3214170123924</v>
      </c>
      <c r="AD32" s="22">
        <f ca="1">IF($L32&lt;&gt;0,VLOOKUP($N32,'Allocation Factors'!$B$12:$AU$603,19,FALSE)*$L32,0)+IF($H32&lt;&gt;0,(VLOOKUP($J32,'Allocation Factors'!$B$12:$AU$603,19,FALSE)*$H32),0)</f>
        <v>867.44605586666262</v>
      </c>
      <c r="AE32" s="22">
        <f ca="1">IF($L32&lt;&gt;0,VLOOKUP($N32,'Allocation Factors'!$B$12:$AU$603,20,FALSE)*$L32,0)+IF($H32&lt;&gt;0,(VLOOKUP($J32,'Allocation Factors'!$B$12:$AU$603,20,FALSE)*$H32),0)</f>
        <v>196.67930883414218</v>
      </c>
      <c r="AF32" s="22">
        <f ca="1">IF($L32&lt;&gt;0,VLOOKUP($N32,'Allocation Factors'!$B$12:$AU$603,21,FALSE)*$L32,0)+IF($H32&lt;&gt;0,(VLOOKUP($J32,'Allocation Factors'!$B$12:$AU$603,21,FALSE)*$H32),0)</f>
        <v>0</v>
      </c>
      <c r="AG32" s="22">
        <f ca="1">IF($L32&lt;&gt;0,VLOOKUP($N32,'Allocation Factors'!$B$12:$AU$603,22,FALSE)*$L32,0)+IF($H32&lt;&gt;0,(VLOOKUP($J32,'Allocation Factors'!$B$12:$AU$603,22,FALSE)*$H32),0)</f>
        <v>0</v>
      </c>
      <c r="AH32" s="22">
        <f ca="1">IF($L32&lt;&gt;0,VLOOKUP($N32,'Allocation Factors'!$B$12:$AU$603,23,FALSE)*$L32,0)+IF($H32&lt;&gt;0,(VLOOKUP($J32,'Allocation Factors'!$B$12:$AU$603,23,FALSE)*$H32),0)</f>
        <v>9401.7447540626345</v>
      </c>
      <c r="AI32" s="22">
        <f ca="1">IF($L32&lt;&gt;0,VLOOKUP($N32,'Allocation Factors'!$B$12:$AU$603,24,FALSE)*$L32,0)+IF($H32&lt;&gt;0,(VLOOKUP($J32,'Allocation Factors'!$B$12:$AU$603,24,FALSE)*$H32),0)</f>
        <v>3483.6208770673124</v>
      </c>
      <c r="AJ32" s="22">
        <f ca="1">IF($L32&lt;&gt;0,VLOOKUP($N32,'Allocation Factors'!$B$12:$AU$603,25,FALSE)*$L32,0)+IF($H32&lt;&gt;0,(VLOOKUP($J32,'Allocation Factors'!$B$12:$AU$603,25,FALSE)*$H32),0)</f>
        <v>1240.0554764295944</v>
      </c>
      <c r="AK32" s="22">
        <f ca="1">IF($L32&lt;&gt;0,VLOOKUP($N32,'Allocation Factors'!$B$12:$AU$603,26,FALSE)*$L32,0)+IF($H32&lt;&gt;0,(VLOOKUP($J32,'Allocation Factors'!$B$12:$AU$603,26,FALSE)*$H32),0)</f>
        <v>0</v>
      </c>
      <c r="AL32" s="22">
        <f ca="1">IF($L32&lt;&gt;0,VLOOKUP($N32,'Allocation Factors'!$B$12:$AU$603,27,FALSE)*$L32,0)+IF($H32&lt;&gt;0,(VLOOKUP($J32,'Allocation Factors'!$B$12:$AU$603,27,FALSE)*$H32),0)</f>
        <v>10.893555887173923</v>
      </c>
      <c r="AM32" s="22">
        <f ca="1">IF($L32&lt;&gt;0,VLOOKUP($N32,'Allocation Factors'!$B$12:$AU$603,28,FALSE)*$L32,0)+IF($H32&lt;&gt;0,(VLOOKUP($J32,'Allocation Factors'!$B$12:$AU$603,28,FALSE)*$H32),0)</f>
        <v>0</v>
      </c>
      <c r="AN32" s="22">
        <f ca="1">IF($L32&lt;&gt;0,VLOOKUP($N32,'Allocation Factors'!$B$12:$AU$603,29,FALSE)*$L32,0)+IF($H32&lt;&gt;0,(VLOOKUP($J32,'Allocation Factors'!$B$12:$AU$603,29,FALSE)*$H32),0)</f>
        <v>1834.2606473829496</v>
      </c>
      <c r="AO32" s="22">
        <f ca="1">IF($L32&lt;&gt;0,VLOOKUP($N32,'Allocation Factors'!$B$12:$AU$603,30,FALSE)*$L32,0)+IF($H32&lt;&gt;0,(VLOOKUP($J32,'Allocation Factors'!$B$12:$AU$603,30,FALSE)*$H32),0)</f>
        <v>0</v>
      </c>
      <c r="AP32" s="22">
        <f ca="1">IF($L32&lt;&gt;0,VLOOKUP($N32,'Allocation Factors'!$B$12:$AU$603,31,FALSE)*$L32,0)+IF($H32&lt;&gt;0,(VLOOKUP($J32,'Allocation Factors'!$B$12:$AU$603,31,FALSE)*$H32),0)</f>
        <v>149.74329095505163</v>
      </c>
      <c r="AQ32" s="22">
        <f ca="1">IF($L32&lt;&gt;0,VLOOKUP($N32,'Allocation Factors'!$B$12:$AU$603,32,FALSE)*$L32,0)+IF($H32&lt;&gt;0,(VLOOKUP($J32,'Allocation Factors'!$B$12:$AU$603,32,FALSE)*$H32),0)</f>
        <v>0</v>
      </c>
      <c r="AR32" s="22">
        <f ca="1">IF($L32&lt;&gt;0,VLOOKUP($N32,'Allocation Factors'!$B$12:$AU$603,33,FALSE)*$L32,0)+IF($H32&lt;&gt;0,(VLOOKUP($J32,'Allocation Factors'!$B$12:$AU$603,33,FALSE)*$H32),0)</f>
        <v>2056.2939104757584</v>
      </c>
      <c r="AS32" s="22">
        <f ca="1">IF($L32&lt;&gt;0,VLOOKUP($N32,'Allocation Factors'!$B$12:$AU$603,34,FALSE)*$L32,0)+IF($H32&lt;&gt;0,(VLOOKUP($J32,'Allocation Factors'!$B$12:$AU$603,34,FALSE)*$H32),0)</f>
        <v>0</v>
      </c>
      <c r="AT32" s="22">
        <f ca="1">IF($L32&lt;&gt;0,VLOOKUP($N32,'Allocation Factors'!$B$12:$AU$603,35,FALSE)*$L32,0)+IF($H32&lt;&gt;0,(VLOOKUP($J32,'Allocation Factors'!$B$12:$AU$603,35,FALSE)*$H32),0)</f>
        <v>25972.768755566787</v>
      </c>
      <c r="AU32" s="22">
        <f ca="1">IF($L32&lt;&gt;0,VLOOKUP($N32,'Allocation Factors'!$B$12:$AU$603,36,FALSE)*$L32,0)+IF($H32&lt;&gt;0,(VLOOKUP($J32,'Allocation Factors'!$B$12:$AU$603,36,FALSE)*$H32),0)</f>
        <v>0</v>
      </c>
      <c r="AV32" s="22">
        <f ca="1">IF($L32&lt;&gt;0,VLOOKUP($N32,'Allocation Factors'!$B$12:$AU$603,37,FALSE)*$L32,0)+IF($H32&lt;&gt;0,(VLOOKUP($J32,'Allocation Factors'!$B$12:$AU$603,37,FALSE)*$H32),0)</f>
        <v>2575.9256714742264</v>
      </c>
      <c r="AW32" s="22">
        <f ca="1">IF($L32&lt;&gt;0,VLOOKUP($N32,'Allocation Factors'!$B$12:$AU$603,38,FALSE)*$L32,0)+IF($H32&lt;&gt;0,(VLOOKUP($J32,'Allocation Factors'!$B$12:$AU$603,38,FALSE)*$H32),0)</f>
        <v>0</v>
      </c>
      <c r="AX32" s="22">
        <f ca="1">IF($L32&lt;&gt;0,VLOOKUP($N32,'Allocation Factors'!$B$12:$AU$603,39,FALSE)*$L32,0)+IF($H32&lt;&gt;0,(VLOOKUP($J32,'Allocation Factors'!$B$12:$AU$603,39,FALSE)*$H32),0)</f>
        <v>0</v>
      </c>
      <c r="AY32" s="22">
        <f ca="1">IF($L32&lt;&gt;0,VLOOKUP($N32,'Allocation Factors'!$B$12:$AU$603,40,FALSE)*$L32,0)+IF($H32&lt;&gt;0,(VLOOKUP($J32,'Allocation Factors'!$B$12:$AU$603,40,FALSE)*$H32),0)</f>
        <v>0</v>
      </c>
      <c r="AZ32" s="22">
        <f ca="1">IF($L32&lt;&gt;0,VLOOKUP($N32,'Allocation Factors'!$B$12:$AU$603,41,FALSE)*$L32,0)+IF($H32&lt;&gt;0,(VLOOKUP($J32,'Allocation Factors'!$B$12:$AU$603,41,FALSE)*$H32),0)</f>
        <v>0</v>
      </c>
      <c r="BA32" s="22">
        <f ca="1">IF($L32&lt;&gt;0,VLOOKUP($N32,'Allocation Factors'!$B$12:$AU$603,42,FALSE)*$L32,0)+IF($H32&lt;&gt;0,(VLOOKUP($J32,'Allocation Factors'!$B$12:$AU$603,42,FALSE)*$H32),0)</f>
        <v>0</v>
      </c>
      <c r="BB32" s="22">
        <f ca="1">IF($L32&lt;&gt;0,VLOOKUP($N32,'Allocation Factors'!$B$12:$AU$603,43,FALSE)*$L32,0)+IF($H32&lt;&gt;0,(VLOOKUP($J32,'Allocation Factors'!$B$12:$AU$603,43,FALSE)*$H32),0)</f>
        <v>0</v>
      </c>
      <c r="BC32" s="22">
        <f ca="1">IF($L32&lt;&gt;0,VLOOKUP($N32,'Allocation Factors'!$B$12:$AU$603,44,FALSE)*$L32,0)+IF($H32&lt;&gt;0,(VLOOKUP($J32,'Allocation Factors'!$B$12:$AU$603,44,FALSE)*$H32),0)</f>
        <v>0</v>
      </c>
      <c r="BD32" s="22">
        <f ca="1">IF($L32&lt;&gt;0,VLOOKUP($N32,'Allocation Factors'!$B$12:$AU$603,45,FALSE)*$L32,0)+IF($H32&lt;&gt;0,(VLOOKUP($J32,'Allocation Factors'!$B$12:$AU$603,45,FALSE)*$H32),0)</f>
        <v>0</v>
      </c>
      <c r="BE32" s="22">
        <f ca="1">IF($L32&lt;&gt;0,VLOOKUP($N32,'Allocation Factors'!$B$12:$AU$603,46,FALSE)*$L32,0)+IF($H32&lt;&gt;0,(VLOOKUP($J32,'Allocation Factors'!$B$12:$AU$603,46,FALSE)*$H32),0)</f>
        <v>0</v>
      </c>
      <c r="BF32" s="9"/>
    </row>
    <row r="33" spans="1:58" x14ac:dyDescent="0.25">
      <c r="A33" s="2">
        <f t="shared" si="7"/>
        <v>19</v>
      </c>
      <c r="B33" s="73" t="s">
        <v>118</v>
      </c>
      <c r="D33" s="22">
        <f ca="1">'Total ALLOCATION'!D33-'Gas Cost ALLOCATION'!D33</f>
        <v>0</v>
      </c>
      <c r="E33" s="22"/>
      <c r="F33" s="22">
        <f ca="1">'Total ALLOCATION'!F33-'Gas Cost ALLOCATION'!F33</f>
        <v>0</v>
      </c>
      <c r="H33" s="134">
        <v>0</v>
      </c>
      <c r="J33" s="28" t="str">
        <f>'Total ALLOCATION'!J33</f>
        <v>TRANS_COMPFUEL</v>
      </c>
      <c r="L33" s="22">
        <f t="shared" ca="1" si="6"/>
        <v>0</v>
      </c>
      <c r="N33" s="28" t="str">
        <f>'Total ALLOCATION'!N33</f>
        <v>TRANSCOMM</v>
      </c>
      <c r="P33" s="22">
        <f ca="1">IF($L33&lt;&gt;0,VLOOKUP($N33,'Allocation Factors'!$B$12:$AU$603,5,FALSE)*$L33,0)+IF($H33&lt;&gt;0,(VLOOKUP($J33,'Allocation Factors'!$B$12:$AU$603,5,FALSE)*$H33),0)</f>
        <v>0</v>
      </c>
      <c r="Q33" s="22">
        <f ca="1">IF($L33&lt;&gt;0,VLOOKUP($N33,'Allocation Factors'!$B$12:$AU$603,6,FALSE)*$L33,0)+IF($H33&lt;&gt;0,(VLOOKUP($J33,'Allocation Factors'!$B$12:$AU$603,6,FALSE)*$H33),0)</f>
        <v>0</v>
      </c>
      <c r="R33" s="22">
        <f ca="1">IF($L33&lt;&gt;0,VLOOKUP($N33,'Allocation Factors'!$B$12:$AU$603,7,FALSE)*$L33,0)+IF($H33&lt;&gt;0,(VLOOKUP($J33,'Allocation Factors'!$B$12:$AU$603,7,FALSE)*$H33),0)</f>
        <v>0</v>
      </c>
      <c r="S33" s="22">
        <f ca="1">IF($L33&lt;&gt;0,VLOOKUP($N33,'Allocation Factors'!$B$12:$AU$603,8,FALSE)*$L33,0)+IF($H33&lt;&gt;0,(VLOOKUP($J33,'Allocation Factors'!$B$12:$AU$603,8,FALSE)*$H33),0)</f>
        <v>0</v>
      </c>
      <c r="T33" s="22">
        <f ca="1">IF($L33&lt;&gt;0,VLOOKUP($N33,'Allocation Factors'!$B$12:$AU$603,9,FALSE)*$L33,0)+IF($H33&lt;&gt;0,(VLOOKUP($J33,'Allocation Factors'!$B$12:$AU$603,9,FALSE)*$H33),0)</f>
        <v>0</v>
      </c>
      <c r="U33" s="22">
        <f ca="1">IF($L33&lt;&gt;0,VLOOKUP($N33,'Allocation Factors'!$B$12:$AU$603,10,FALSE)*$L33,0)+IF($H33&lt;&gt;0,(VLOOKUP($J33,'Allocation Factors'!$B$12:$AU$603,10,FALSE)*$H33),0)</f>
        <v>0</v>
      </c>
      <c r="V33" s="22">
        <f ca="1">IF($L33&lt;&gt;0,VLOOKUP($N33,'Allocation Factors'!$B$12:$AU$603,11,FALSE)*$L33,0)+IF($H33&lt;&gt;0,(VLOOKUP($J33,'Allocation Factors'!$B$12:$AU$603,11,FALSE)*$H33),0)</f>
        <v>0</v>
      </c>
      <c r="W33" s="22">
        <f ca="1">IF($L33&lt;&gt;0,VLOOKUP($N33,'Allocation Factors'!$B$12:$AU$603,12,FALSE)*$L33,0)+IF($H33&lt;&gt;0,(VLOOKUP($J33,'Allocation Factors'!$B$12:$AU$603,12,FALSE)*$H33),0)</f>
        <v>0</v>
      </c>
      <c r="X33" s="22">
        <f ca="1">IF($L33&lt;&gt;0,VLOOKUP($N33,'Allocation Factors'!$B$12:$AU$603,13,FALSE)*$L33,0)+IF($H33&lt;&gt;0,(VLOOKUP($J33,'Allocation Factors'!$B$12:$AU$603,13,FALSE)*$H33),0)</f>
        <v>0</v>
      </c>
      <c r="Y33" s="22">
        <f ca="1">IF($L33&lt;&gt;0,VLOOKUP($N33,'Allocation Factors'!$B$12:$AU$603,14,FALSE)*$L33,0)+IF($H33&lt;&gt;0,(VLOOKUP($J33,'Allocation Factors'!$B$12:$AU$603,14,FALSE)*$H33),0)</f>
        <v>0</v>
      </c>
      <c r="Z33" s="22">
        <f ca="1">IF($L33&lt;&gt;0,VLOOKUP($N33,'Allocation Factors'!$B$12:$AU$603,15,FALSE)*$L33,0)+IF($H33&lt;&gt;0,(VLOOKUP($J33,'Allocation Factors'!$B$12:$AU$603,15,FALSE)*$H33),0)</f>
        <v>0</v>
      </c>
      <c r="AA33" s="22">
        <f ca="1">IF($L33&lt;&gt;0,VLOOKUP($N33,'Allocation Factors'!$B$12:$AU$603,16,FALSE)*$L33,0)+IF($H33&lt;&gt;0,(VLOOKUP($J33,'Allocation Factors'!$B$12:$AU$603,16,FALSE)*$H33),0)</f>
        <v>0</v>
      </c>
      <c r="AB33" s="22">
        <f ca="1">IF($L33&lt;&gt;0,VLOOKUP($N33,'Allocation Factors'!$B$12:$AU$603,17,FALSE)*$L33,0)+IF($H33&lt;&gt;0,(VLOOKUP($J33,'Allocation Factors'!$B$12:$AU$603,17,FALSE)*$H33),0)</f>
        <v>0</v>
      </c>
      <c r="AC33" s="22">
        <f ca="1">IF($L33&lt;&gt;0,VLOOKUP($N33,'Allocation Factors'!$B$12:$AU$603,18,FALSE)*$L33,0)+IF($H33&lt;&gt;0,(VLOOKUP($J33,'Allocation Factors'!$B$12:$AU$603,18,FALSE)*$H33),0)</f>
        <v>0</v>
      </c>
      <c r="AD33" s="22">
        <f ca="1">IF($L33&lt;&gt;0,VLOOKUP($N33,'Allocation Factors'!$B$12:$AU$603,19,FALSE)*$L33,0)+IF($H33&lt;&gt;0,(VLOOKUP($J33,'Allocation Factors'!$B$12:$AU$603,19,FALSE)*$H33),0)</f>
        <v>0</v>
      </c>
      <c r="AE33" s="22">
        <f ca="1">IF($L33&lt;&gt;0,VLOOKUP($N33,'Allocation Factors'!$B$12:$AU$603,20,FALSE)*$L33,0)+IF($H33&lt;&gt;0,(VLOOKUP($J33,'Allocation Factors'!$B$12:$AU$603,20,FALSE)*$H33),0)</f>
        <v>0</v>
      </c>
      <c r="AF33" s="22">
        <f ca="1">IF($L33&lt;&gt;0,VLOOKUP($N33,'Allocation Factors'!$B$12:$AU$603,21,FALSE)*$L33,0)+IF($H33&lt;&gt;0,(VLOOKUP($J33,'Allocation Factors'!$B$12:$AU$603,21,FALSE)*$H33),0)</f>
        <v>0</v>
      </c>
      <c r="AG33" s="22">
        <f ca="1">IF($L33&lt;&gt;0,VLOOKUP($N33,'Allocation Factors'!$B$12:$AU$603,22,FALSE)*$L33,0)+IF($H33&lt;&gt;0,(VLOOKUP($J33,'Allocation Factors'!$B$12:$AU$603,22,FALSE)*$H33),0)</f>
        <v>0</v>
      </c>
      <c r="AH33" s="22">
        <f ca="1">IF($L33&lt;&gt;0,VLOOKUP($N33,'Allocation Factors'!$B$12:$AU$603,23,FALSE)*$L33,0)+IF($H33&lt;&gt;0,(VLOOKUP($J33,'Allocation Factors'!$B$12:$AU$603,23,FALSE)*$H33),0)</f>
        <v>0</v>
      </c>
      <c r="AI33" s="22">
        <f ca="1">IF($L33&lt;&gt;0,VLOOKUP($N33,'Allocation Factors'!$B$12:$AU$603,24,FALSE)*$L33,0)+IF($H33&lt;&gt;0,(VLOOKUP($J33,'Allocation Factors'!$B$12:$AU$603,24,FALSE)*$H33),0)</f>
        <v>0</v>
      </c>
      <c r="AJ33" s="22">
        <f ca="1">IF($L33&lt;&gt;0,VLOOKUP($N33,'Allocation Factors'!$B$12:$AU$603,25,FALSE)*$L33,0)+IF($H33&lt;&gt;0,(VLOOKUP($J33,'Allocation Factors'!$B$12:$AU$603,25,FALSE)*$H33),0)</f>
        <v>0</v>
      </c>
      <c r="AK33" s="22">
        <f ca="1">IF($L33&lt;&gt;0,VLOOKUP($N33,'Allocation Factors'!$B$12:$AU$603,26,FALSE)*$L33,0)+IF($H33&lt;&gt;0,(VLOOKUP($J33,'Allocation Factors'!$B$12:$AU$603,26,FALSE)*$H33),0)</f>
        <v>0</v>
      </c>
      <c r="AL33" s="22">
        <f ca="1">IF($L33&lt;&gt;0,VLOOKUP($N33,'Allocation Factors'!$B$12:$AU$603,27,FALSE)*$L33,0)+IF($H33&lt;&gt;0,(VLOOKUP($J33,'Allocation Factors'!$B$12:$AU$603,27,FALSE)*$H33),0)</f>
        <v>0</v>
      </c>
      <c r="AM33" s="22">
        <f ca="1">IF($L33&lt;&gt;0,VLOOKUP($N33,'Allocation Factors'!$B$12:$AU$603,28,FALSE)*$L33,0)+IF($H33&lt;&gt;0,(VLOOKUP($J33,'Allocation Factors'!$B$12:$AU$603,28,FALSE)*$H33),0)</f>
        <v>0</v>
      </c>
      <c r="AN33" s="22">
        <f ca="1">IF($L33&lt;&gt;0,VLOOKUP($N33,'Allocation Factors'!$B$12:$AU$603,29,FALSE)*$L33,0)+IF($H33&lt;&gt;0,(VLOOKUP($J33,'Allocation Factors'!$B$12:$AU$603,29,FALSE)*$H33),0)</f>
        <v>0</v>
      </c>
      <c r="AO33" s="22">
        <f ca="1">IF($L33&lt;&gt;0,VLOOKUP($N33,'Allocation Factors'!$B$12:$AU$603,30,FALSE)*$L33,0)+IF($H33&lt;&gt;0,(VLOOKUP($J33,'Allocation Factors'!$B$12:$AU$603,30,FALSE)*$H33),0)</f>
        <v>0</v>
      </c>
      <c r="AP33" s="22">
        <f ca="1">IF($L33&lt;&gt;0,VLOOKUP($N33,'Allocation Factors'!$B$12:$AU$603,31,FALSE)*$L33,0)+IF($H33&lt;&gt;0,(VLOOKUP($J33,'Allocation Factors'!$B$12:$AU$603,31,FALSE)*$H33),0)</f>
        <v>0</v>
      </c>
      <c r="AQ33" s="22">
        <f ca="1">IF($L33&lt;&gt;0,VLOOKUP($N33,'Allocation Factors'!$B$12:$AU$603,32,FALSE)*$L33,0)+IF($H33&lt;&gt;0,(VLOOKUP($J33,'Allocation Factors'!$B$12:$AU$603,32,FALSE)*$H33),0)</f>
        <v>0</v>
      </c>
      <c r="AR33" s="22">
        <f ca="1">IF($L33&lt;&gt;0,VLOOKUP($N33,'Allocation Factors'!$B$12:$AU$603,33,FALSE)*$L33,0)+IF($H33&lt;&gt;0,(VLOOKUP($J33,'Allocation Factors'!$B$12:$AU$603,33,FALSE)*$H33),0)</f>
        <v>0</v>
      </c>
      <c r="AS33" s="22">
        <f ca="1">IF($L33&lt;&gt;0,VLOOKUP($N33,'Allocation Factors'!$B$12:$AU$603,34,FALSE)*$L33,0)+IF($H33&lt;&gt;0,(VLOOKUP($J33,'Allocation Factors'!$B$12:$AU$603,34,FALSE)*$H33),0)</f>
        <v>0</v>
      </c>
      <c r="AT33" s="22">
        <f ca="1">IF($L33&lt;&gt;0,VLOOKUP($N33,'Allocation Factors'!$B$12:$AU$603,35,FALSE)*$L33,0)+IF($H33&lt;&gt;0,(VLOOKUP($J33,'Allocation Factors'!$B$12:$AU$603,35,FALSE)*$H33),0)</f>
        <v>0</v>
      </c>
      <c r="AU33" s="22">
        <f ca="1">IF($L33&lt;&gt;0,VLOOKUP($N33,'Allocation Factors'!$B$12:$AU$603,36,FALSE)*$L33,0)+IF($H33&lt;&gt;0,(VLOOKUP($J33,'Allocation Factors'!$B$12:$AU$603,36,FALSE)*$H33),0)</f>
        <v>0</v>
      </c>
      <c r="AV33" s="22">
        <f ca="1">IF($L33&lt;&gt;0,VLOOKUP($N33,'Allocation Factors'!$B$12:$AU$603,37,FALSE)*$L33,0)+IF($H33&lt;&gt;0,(VLOOKUP($J33,'Allocation Factors'!$B$12:$AU$603,37,FALSE)*$H33),0)</f>
        <v>0</v>
      </c>
      <c r="AW33" s="22">
        <f ca="1">IF($L33&lt;&gt;0,VLOOKUP($N33,'Allocation Factors'!$B$12:$AU$603,38,FALSE)*$L33,0)+IF($H33&lt;&gt;0,(VLOOKUP($J33,'Allocation Factors'!$B$12:$AU$603,38,FALSE)*$H33),0)</f>
        <v>0</v>
      </c>
      <c r="AX33" s="22">
        <f ca="1">IF($L33&lt;&gt;0,VLOOKUP($N33,'Allocation Factors'!$B$12:$AU$603,39,FALSE)*$L33,0)+IF($H33&lt;&gt;0,(VLOOKUP($J33,'Allocation Factors'!$B$12:$AU$603,39,FALSE)*$H33),0)</f>
        <v>0</v>
      </c>
      <c r="AY33" s="22">
        <f ca="1">IF($L33&lt;&gt;0,VLOOKUP($N33,'Allocation Factors'!$B$12:$AU$603,40,FALSE)*$L33,0)+IF($H33&lt;&gt;0,(VLOOKUP($J33,'Allocation Factors'!$B$12:$AU$603,40,FALSE)*$H33),0)</f>
        <v>0</v>
      </c>
      <c r="AZ33" s="22">
        <f ca="1">IF($L33&lt;&gt;0,VLOOKUP($N33,'Allocation Factors'!$B$12:$AU$603,41,FALSE)*$L33,0)+IF($H33&lt;&gt;0,(VLOOKUP($J33,'Allocation Factors'!$B$12:$AU$603,41,FALSE)*$H33),0)</f>
        <v>0</v>
      </c>
      <c r="BA33" s="22">
        <f ca="1">IF($L33&lt;&gt;0,VLOOKUP($N33,'Allocation Factors'!$B$12:$AU$603,42,FALSE)*$L33,0)+IF($H33&lt;&gt;0,(VLOOKUP($J33,'Allocation Factors'!$B$12:$AU$603,42,FALSE)*$H33),0)</f>
        <v>0</v>
      </c>
      <c r="BB33" s="22">
        <f ca="1">IF($L33&lt;&gt;0,VLOOKUP($N33,'Allocation Factors'!$B$12:$AU$603,43,FALSE)*$L33,0)+IF($H33&lt;&gt;0,(VLOOKUP($J33,'Allocation Factors'!$B$12:$AU$603,43,FALSE)*$H33),0)</f>
        <v>0</v>
      </c>
      <c r="BC33" s="22">
        <f ca="1">IF($L33&lt;&gt;0,VLOOKUP($N33,'Allocation Factors'!$B$12:$AU$603,44,FALSE)*$L33,0)+IF($H33&lt;&gt;0,(VLOOKUP($J33,'Allocation Factors'!$B$12:$AU$603,44,FALSE)*$H33),0)</f>
        <v>0</v>
      </c>
      <c r="BD33" s="22">
        <f ca="1">IF($L33&lt;&gt;0,VLOOKUP($N33,'Allocation Factors'!$B$12:$AU$603,45,FALSE)*$L33,0)+IF($H33&lt;&gt;0,(VLOOKUP($J33,'Allocation Factors'!$B$12:$AU$603,45,FALSE)*$H33),0)</f>
        <v>0</v>
      </c>
      <c r="BE33" s="22">
        <f ca="1">IF($L33&lt;&gt;0,VLOOKUP($N33,'Allocation Factors'!$B$12:$AU$603,46,FALSE)*$L33,0)+IF($H33&lt;&gt;0,(VLOOKUP($J33,'Allocation Factors'!$B$12:$AU$603,46,FALSE)*$H33),0)</f>
        <v>0</v>
      </c>
      <c r="BF33" s="9"/>
    </row>
    <row r="34" spans="1:58" s="73" customFormat="1" x14ac:dyDescent="0.25">
      <c r="A34" s="2">
        <f t="shared" si="7"/>
        <v>20</v>
      </c>
      <c r="B34" s="73" t="s">
        <v>122</v>
      </c>
      <c r="D34" s="79">
        <f ca="1">SUM(D27:D33)</f>
        <v>423907.52894284314</v>
      </c>
      <c r="E34" s="94"/>
      <c r="F34" s="79">
        <f ca="1">SUM(F27:F33)</f>
        <v>423907.52894284314</v>
      </c>
      <c r="G34" s="94"/>
      <c r="H34" s="79">
        <f>SUM(H27:H33)</f>
        <v>0</v>
      </c>
      <c r="I34" s="94"/>
      <c r="J34" s="91"/>
      <c r="K34" s="94"/>
      <c r="L34" s="79">
        <f ca="1">SUM(L27:L33)</f>
        <v>423907.52894284314</v>
      </c>
      <c r="M34" s="94"/>
      <c r="N34" s="91"/>
      <c r="O34" s="94"/>
      <c r="P34" s="79">
        <f t="shared" ref="P34:BE34" ca="1" si="8">SUM(P27:P33)</f>
        <v>76291.327950806604</v>
      </c>
      <c r="Q34" s="79">
        <f t="shared" ca="1" si="8"/>
        <v>68081.817377404484</v>
      </c>
      <c r="R34" s="79">
        <f t="shared" ca="1" si="8"/>
        <v>0</v>
      </c>
      <c r="S34" s="79">
        <f t="shared" ca="1" si="8"/>
        <v>240.13451382059174</v>
      </c>
      <c r="T34" s="79">
        <f t="shared" ca="1" si="8"/>
        <v>7811.9273387376788</v>
      </c>
      <c r="U34" s="79">
        <f t="shared" ca="1" si="8"/>
        <v>1641.7509046292225</v>
      </c>
      <c r="V34" s="79">
        <f t="shared" ca="1" si="8"/>
        <v>0</v>
      </c>
      <c r="W34" s="79">
        <f t="shared" ca="1" si="8"/>
        <v>27.220619624319546</v>
      </c>
      <c r="X34" s="79">
        <f t="shared" ca="1" si="8"/>
        <v>0</v>
      </c>
      <c r="Y34" s="79">
        <f t="shared" ca="1" si="8"/>
        <v>0</v>
      </c>
      <c r="Z34" s="79">
        <f t="shared" ca="1" si="8"/>
        <v>1811.322077462781</v>
      </c>
      <c r="AA34" s="79">
        <f t="shared" ca="1" si="8"/>
        <v>0</v>
      </c>
      <c r="AB34" s="79">
        <f t="shared" ca="1" si="8"/>
        <v>410.80388670706418</v>
      </c>
      <c r="AC34" s="79">
        <f t="shared" ca="1" si="8"/>
        <v>14044.047188358161</v>
      </c>
      <c r="AD34" s="79">
        <f t="shared" ca="1" si="8"/>
        <v>4146.0587910540353</v>
      </c>
      <c r="AE34" s="79">
        <f t="shared" ca="1" si="8"/>
        <v>940.05151316933393</v>
      </c>
      <c r="AF34" s="79">
        <f t="shared" ca="1" si="8"/>
        <v>0</v>
      </c>
      <c r="AG34" s="79">
        <f t="shared" ca="1" si="8"/>
        <v>0</v>
      </c>
      <c r="AH34" s="79">
        <f t="shared" ca="1" si="8"/>
        <v>44936.726872177154</v>
      </c>
      <c r="AI34" s="79">
        <f t="shared" ca="1" si="8"/>
        <v>16650.369051057645</v>
      </c>
      <c r="AJ34" s="79">
        <f t="shared" ca="1" si="8"/>
        <v>5926.9886290611121</v>
      </c>
      <c r="AK34" s="79">
        <f t="shared" ca="1" si="8"/>
        <v>0</v>
      </c>
      <c r="AL34" s="79">
        <f t="shared" ca="1" si="8"/>
        <v>52.067010791502604</v>
      </c>
      <c r="AM34" s="79">
        <f t="shared" ca="1" si="8"/>
        <v>0</v>
      </c>
      <c r="AN34" s="79">
        <f t="shared" ca="1" si="8"/>
        <v>8767.0609955894724</v>
      </c>
      <c r="AO34" s="79">
        <f t="shared" ca="1" si="8"/>
        <v>0</v>
      </c>
      <c r="AP34" s="79">
        <f t="shared" ca="1" si="8"/>
        <v>715.71538502791418</v>
      </c>
      <c r="AQ34" s="79">
        <f t="shared" ca="1" si="8"/>
        <v>0</v>
      </c>
      <c r="AR34" s="79">
        <f t="shared" ca="1" si="8"/>
        <v>3304.9763891597986</v>
      </c>
      <c r="AS34" s="79">
        <f t="shared" ca="1" si="8"/>
        <v>0</v>
      </c>
      <c r="AT34" s="79">
        <f t="shared" ca="1" si="8"/>
        <v>41744.707340204666</v>
      </c>
      <c r="AU34" s="79">
        <f t="shared" ca="1" si="8"/>
        <v>0</v>
      </c>
      <c r="AV34" s="79">
        <f t="shared" ca="1" si="8"/>
        <v>4140.154032009561</v>
      </c>
      <c r="AW34" s="79">
        <f t="shared" ca="1" si="8"/>
        <v>0</v>
      </c>
      <c r="AX34" s="79">
        <f t="shared" ca="1" si="8"/>
        <v>21710.111783722288</v>
      </c>
      <c r="AY34" s="79">
        <f t="shared" ca="1" si="8"/>
        <v>0</v>
      </c>
      <c r="AZ34" s="79">
        <f t="shared" ca="1" si="8"/>
        <v>1521.5116070986783</v>
      </c>
      <c r="BA34" s="79">
        <f t="shared" ca="1" si="8"/>
        <v>0</v>
      </c>
      <c r="BB34" s="79">
        <f t="shared" ca="1" si="8"/>
        <v>98765.066386518345</v>
      </c>
      <c r="BC34" s="79">
        <f t="shared" ca="1" si="8"/>
        <v>0</v>
      </c>
      <c r="BD34" s="79">
        <f t="shared" ca="1" si="8"/>
        <v>0</v>
      </c>
      <c r="BE34" s="79">
        <f t="shared" ca="1" si="8"/>
        <v>225.61129865068548</v>
      </c>
    </row>
    <row r="35" spans="1:58" x14ac:dyDescent="0.25">
      <c r="B35" s="73"/>
      <c r="D35" s="23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6" spans="1:58" x14ac:dyDescent="0.25">
      <c r="B36" s="197" t="s">
        <v>123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</row>
    <row r="37" spans="1:58" x14ac:dyDescent="0.25">
      <c r="A37" s="2">
        <f>A34+1</f>
        <v>21</v>
      </c>
      <c r="B37" s="73" t="s">
        <v>321</v>
      </c>
      <c r="D37" s="22">
        <f ca="1">'Total ALLOCATION'!D37-'Gas Cost ALLOCATION'!D37</f>
        <v>259606.71084196342</v>
      </c>
      <c r="E37" s="22"/>
      <c r="F37" s="22">
        <f ca="1">'Total ALLOCATION'!F37-'Gas Cost ALLOCATION'!F37</f>
        <v>259606.71084196342</v>
      </c>
      <c r="G37" s="22"/>
      <c r="H37" s="22"/>
      <c r="I37" s="22"/>
      <c r="J37" s="213"/>
      <c r="K37" s="22"/>
      <c r="L37" s="22">
        <f t="shared" ref="L37:L46" ca="1" si="9">F37-H37</f>
        <v>259606.71084196342</v>
      </c>
      <c r="N37" s="28" t="str">
        <f>'Total ALLOCATION'!N37</f>
        <v>HIGHPRESS&gt;4</v>
      </c>
      <c r="P37" s="22">
        <f ca="1">IF($L37&lt;&gt;0,VLOOKUP($N37,'Allocation Factors'!$B$12:$AU$603,5,FALSE)*$L37,0)+IF($H37&lt;&gt;0,(VLOOKUP($J37,'Allocation Factors'!$B$12:$AU$603,5,FALSE)*$H37),0)</f>
        <v>60838.384585514425</v>
      </c>
      <c r="Q37" s="22">
        <f ca="1">IF($L37&lt;&gt;0,VLOOKUP($N37,'Allocation Factors'!$B$12:$AU$603,6,FALSE)*$L37,0)+IF($H37&lt;&gt;0,(VLOOKUP($J37,'Allocation Factors'!$B$12:$AU$603,6,FALSE)*$H37),0)</f>
        <v>54291.724893792481</v>
      </c>
      <c r="R37" s="22">
        <f ca="1">IF($L37&lt;&gt;0,VLOOKUP($N37,'Allocation Factors'!$B$12:$AU$603,7,FALSE)*$L37,0)+IF($H37&lt;&gt;0,(VLOOKUP($J37,'Allocation Factors'!$B$12:$AU$603,7,FALSE)*$H37),0)</f>
        <v>0</v>
      </c>
      <c r="S37" s="22">
        <f ca="1">IF($L37&lt;&gt;0,VLOOKUP($N37,'Allocation Factors'!$B$12:$AU$603,8,FALSE)*$L37,0)+IF($H37&lt;&gt;0,(VLOOKUP($J37,'Allocation Factors'!$B$12:$AU$603,8,FALSE)*$H37),0)</f>
        <v>191.49484347019063</v>
      </c>
      <c r="T37" s="22">
        <f ca="1">IF($L37&lt;&gt;0,VLOOKUP($N37,'Allocation Factors'!$B$12:$AU$603,9,FALSE)*$L37,0)+IF($H37&lt;&gt;0,(VLOOKUP($J37,'Allocation Factors'!$B$12:$AU$603,9,FALSE)*$H37),0)</f>
        <v>6229.6076441961113</v>
      </c>
      <c r="U37" s="22">
        <f ca="1">IF($L37&lt;&gt;0,VLOOKUP($N37,'Allocation Factors'!$B$12:$AU$603,10,FALSE)*$L37,0)+IF($H37&lt;&gt;0,(VLOOKUP($J37,'Allocation Factors'!$B$12:$AU$603,10,FALSE)*$H37),0)</f>
        <v>1309.2113561564088</v>
      </c>
      <c r="V37" s="22">
        <f ca="1">IF($L37&lt;&gt;0,VLOOKUP($N37,'Allocation Factors'!$B$12:$AU$603,11,FALSE)*$L37,0)+IF($H37&lt;&gt;0,(VLOOKUP($J37,'Allocation Factors'!$B$12:$AU$603,11,FALSE)*$H37),0)</f>
        <v>10682.844189342761</v>
      </c>
      <c r="W37" s="22">
        <f ca="1">IF($L37&lt;&gt;0,VLOOKUP($N37,'Allocation Factors'!$B$12:$AU$603,12,FALSE)*$L37,0)+IF($H37&lt;&gt;0,(VLOOKUP($J37,'Allocation Factors'!$B$12:$AU$603,12,FALSE)*$H37),0)</f>
        <v>21.707034991292808</v>
      </c>
      <c r="X37" s="22">
        <f ca="1">IF($L37&lt;&gt;0,VLOOKUP($N37,'Allocation Factors'!$B$12:$AU$603,13,FALSE)*$L37,0)+IF($H37&lt;&gt;0,(VLOOKUP($J37,'Allocation Factors'!$B$12:$AU$603,13,FALSE)*$H37),0)</f>
        <v>0</v>
      </c>
      <c r="Y37" s="22">
        <f ca="1">IF($L37&lt;&gt;0,VLOOKUP($N37,'Allocation Factors'!$B$12:$AU$603,14,FALSE)*$L37,0)+IF($H37&lt;&gt;0,(VLOOKUP($J37,'Allocation Factors'!$B$12:$AU$603,14,FALSE)*$H37),0)</f>
        <v>0</v>
      </c>
      <c r="Z37" s="22">
        <f ca="1">IF($L37&lt;&gt;0,VLOOKUP($N37,'Allocation Factors'!$B$12:$AU$603,15,FALSE)*$L37,0)+IF($H37&lt;&gt;0,(VLOOKUP($J37,'Allocation Factors'!$B$12:$AU$603,15,FALSE)*$H37),0)</f>
        <v>1444.4355881178305</v>
      </c>
      <c r="AA37" s="22">
        <f ca="1">IF($L37&lt;&gt;0,VLOOKUP($N37,'Allocation Factors'!$B$12:$AU$603,16,FALSE)*$L37,0)+IF($H37&lt;&gt;0,(VLOOKUP($J37,'Allocation Factors'!$B$12:$AU$603,16,FALSE)*$H37),0)</f>
        <v>0</v>
      </c>
      <c r="AB37" s="22">
        <f ca="1">IF($L37&lt;&gt;0,VLOOKUP($N37,'Allocation Factors'!$B$12:$AU$603,17,FALSE)*$L37,0)+IF($H37&lt;&gt;0,(VLOOKUP($J37,'Allocation Factors'!$B$12:$AU$603,17,FALSE)*$H37),0)</f>
        <v>0</v>
      </c>
      <c r="AC37" s="22">
        <f ca="1">IF($L37&lt;&gt;0,VLOOKUP($N37,'Allocation Factors'!$B$12:$AU$603,18,FALSE)*$L37,0)+IF($H37&lt;&gt;0,(VLOOKUP($J37,'Allocation Factors'!$B$12:$AU$603,18,FALSE)*$H37),0)</f>
        <v>11199.400599415221</v>
      </c>
      <c r="AD37" s="22">
        <f ca="1">IF($L37&lt;&gt;0,VLOOKUP($N37,'Allocation Factors'!$B$12:$AU$603,19,FALSE)*$L37,0)+IF($H37&lt;&gt;0,(VLOOKUP($J37,'Allocation Factors'!$B$12:$AU$603,19,FALSE)*$H37),0)</f>
        <v>3341.2595878641746</v>
      </c>
      <c r="AE37" s="22">
        <f ca="1">IF($L37&lt;&gt;0,VLOOKUP($N37,'Allocation Factors'!$B$12:$AU$603,20,FALSE)*$L37,0)+IF($H37&lt;&gt;0,(VLOOKUP($J37,'Allocation Factors'!$B$12:$AU$603,20,FALSE)*$H37),0)</f>
        <v>8778.4277997570152</v>
      </c>
      <c r="AF37" s="22">
        <f ca="1">IF($L37&lt;&gt;0,VLOOKUP($N37,'Allocation Factors'!$B$12:$AU$603,21,FALSE)*$L37,0)+IF($H37&lt;&gt;0,(VLOOKUP($J37,'Allocation Factors'!$B$12:$AU$603,21,FALSE)*$H37),0)</f>
        <v>0</v>
      </c>
      <c r="AG37" s="22">
        <f ca="1">IF($L37&lt;&gt;0,VLOOKUP($N37,'Allocation Factors'!$B$12:$AU$603,22,FALSE)*$L37,0)+IF($H37&lt;&gt;0,(VLOOKUP($J37,'Allocation Factors'!$B$12:$AU$603,22,FALSE)*$H37),0)</f>
        <v>3920.0735288003852</v>
      </c>
      <c r="AH37" s="22">
        <f ca="1">IF($L37&lt;&gt;0,VLOOKUP($N37,'Allocation Factors'!$B$12:$AU$603,23,FALSE)*$L37,0)+IF($H37&lt;&gt;0,(VLOOKUP($J37,'Allocation Factors'!$B$12:$AU$603,23,FALSE)*$H37),0)</f>
        <v>35834.713392675076</v>
      </c>
      <c r="AI37" s="22">
        <f ca="1">IF($L37&lt;&gt;0,VLOOKUP($N37,'Allocation Factors'!$B$12:$AU$603,24,FALSE)*$L37,0)+IF($H37&lt;&gt;0,(VLOOKUP($J37,'Allocation Factors'!$B$12:$AU$603,24,FALSE)*$H37),0)</f>
        <v>13277.807360650117</v>
      </c>
      <c r="AJ37" s="22">
        <f ca="1">IF($L37&lt;&gt;0,VLOOKUP($N37,'Allocation Factors'!$B$12:$AU$603,25,FALSE)*$L37,0)+IF($H37&lt;&gt;0,(VLOOKUP($J37,'Allocation Factors'!$B$12:$AU$603,25,FALSE)*$H37),0)</f>
        <v>4726.466602879188</v>
      </c>
      <c r="AK37" s="22">
        <f ca="1">IF($L37&lt;&gt;0,VLOOKUP($N37,'Allocation Factors'!$B$12:$AU$603,26,FALSE)*$L37,0)+IF($H37&lt;&gt;0,(VLOOKUP($J37,'Allocation Factors'!$B$12:$AU$603,26,FALSE)*$H37),0)</f>
        <v>0</v>
      </c>
      <c r="AL37" s="22">
        <f ca="1">IF($L37&lt;&gt;0,VLOOKUP($N37,'Allocation Factors'!$B$12:$AU$603,27,FALSE)*$L37,0)+IF($H37&lt;&gt;0,(VLOOKUP($J37,'Allocation Factors'!$B$12:$AU$603,27,FALSE)*$H37),0)</f>
        <v>41.520745697258171</v>
      </c>
      <c r="AM37" s="22">
        <f ca="1">IF($L37&lt;&gt;0,VLOOKUP($N37,'Allocation Factors'!$B$12:$AU$603,28,FALSE)*$L37,0)+IF($H37&lt;&gt;0,(VLOOKUP($J37,'Allocation Factors'!$B$12:$AU$603,28,FALSE)*$H37),0)</f>
        <v>0</v>
      </c>
      <c r="AN37" s="22">
        <f ca="1">IF($L37&lt;&gt;0,VLOOKUP($N37,'Allocation Factors'!$B$12:$AU$603,29,FALSE)*$L37,0)+IF($H37&lt;&gt;0,(VLOOKUP($J37,'Allocation Factors'!$B$12:$AU$603,29,FALSE)*$H37),0)</f>
        <v>6991.2772901037988</v>
      </c>
      <c r="AO37" s="22">
        <f ca="1">IF($L37&lt;&gt;0,VLOOKUP($N37,'Allocation Factors'!$B$12:$AU$603,30,FALSE)*$L37,0)+IF($H37&lt;&gt;0,(VLOOKUP($J37,'Allocation Factors'!$B$12:$AU$603,30,FALSE)*$H37),0)</f>
        <v>0</v>
      </c>
      <c r="AP37" s="22">
        <f ca="1">IF($L37&lt;&gt;0,VLOOKUP($N37,'Allocation Factors'!$B$12:$AU$603,31,FALSE)*$L37,0)+IF($H37&lt;&gt;0,(VLOOKUP($J37,'Allocation Factors'!$B$12:$AU$603,31,FALSE)*$H37),0)</f>
        <v>570.74596835140574</v>
      </c>
      <c r="AQ37" s="22">
        <f ca="1">IF($L37&lt;&gt;0,VLOOKUP($N37,'Allocation Factors'!$B$12:$AU$603,32,FALSE)*$L37,0)+IF($H37&lt;&gt;0,(VLOOKUP($J37,'Allocation Factors'!$B$12:$AU$603,32,FALSE)*$H37),0)</f>
        <v>0</v>
      </c>
      <c r="AR37" s="22">
        <f ca="1">IF($L37&lt;&gt;0,VLOOKUP($N37,'Allocation Factors'!$B$12:$AU$603,33,FALSE)*$L37,0)+IF($H37&lt;&gt;0,(VLOOKUP($J37,'Allocation Factors'!$B$12:$AU$603,33,FALSE)*$H37),0)</f>
        <v>2395.5264871017857</v>
      </c>
      <c r="AS37" s="22">
        <f ca="1">IF($L37&lt;&gt;0,VLOOKUP($N37,'Allocation Factors'!$B$12:$AU$603,34,FALSE)*$L37,0)+IF($H37&lt;&gt;0,(VLOOKUP($J37,'Allocation Factors'!$B$12:$AU$603,34,FALSE)*$H37),0)</f>
        <v>0</v>
      </c>
      <c r="AT37" s="22">
        <f ca="1">IF($L37&lt;&gt;0,VLOOKUP($N37,'Allocation Factors'!$B$12:$AU$603,35,FALSE)*$L37,0)+IF($H37&lt;&gt;0,(VLOOKUP($J37,'Allocation Factors'!$B$12:$AU$603,35,FALSE)*$H37),0)</f>
        <v>30257.56929997163</v>
      </c>
      <c r="AU37" s="22">
        <f ca="1">IF($L37&lt;&gt;0,VLOOKUP($N37,'Allocation Factors'!$B$12:$AU$603,36,FALSE)*$L37,0)+IF($H37&lt;&gt;0,(VLOOKUP($J37,'Allocation Factors'!$B$12:$AU$603,36,FALSE)*$H37),0)</f>
        <v>0</v>
      </c>
      <c r="AV37" s="22">
        <f ca="1">IF($L37&lt;&gt;0,VLOOKUP($N37,'Allocation Factors'!$B$12:$AU$603,37,FALSE)*$L37,0)+IF($H37&lt;&gt;0,(VLOOKUP($J37,'Allocation Factors'!$B$12:$AU$603,37,FALSE)*$H37),0)</f>
        <v>3000.8833578631111</v>
      </c>
      <c r="AW37" s="22">
        <f ca="1">IF($L37&lt;&gt;0,VLOOKUP($N37,'Allocation Factors'!$B$12:$AU$603,38,FALSE)*$L37,0)+IF($H37&lt;&gt;0,(VLOOKUP($J37,'Allocation Factors'!$B$12:$AU$603,38,FALSE)*$H37),0)</f>
        <v>0</v>
      </c>
      <c r="AX37" s="22">
        <f ca="1">IF($L37&lt;&gt;0,VLOOKUP($N37,'Allocation Factors'!$B$12:$AU$603,39,FALSE)*$L37,0)+IF($H37&lt;&gt;0,(VLOOKUP($J37,'Allocation Factors'!$B$12:$AU$603,39,FALSE)*$H37),0)</f>
        <v>0</v>
      </c>
      <c r="AY37" s="22">
        <f ca="1">IF($L37&lt;&gt;0,VLOOKUP($N37,'Allocation Factors'!$B$12:$AU$603,40,FALSE)*$L37,0)+IF($H37&lt;&gt;0,(VLOOKUP($J37,'Allocation Factors'!$B$12:$AU$603,40,FALSE)*$H37),0)</f>
        <v>0</v>
      </c>
      <c r="AZ37" s="22">
        <f ca="1">IF($L37&lt;&gt;0,VLOOKUP($N37,'Allocation Factors'!$B$12:$AU$603,41,FALSE)*$L37,0)+IF($H37&lt;&gt;0,(VLOOKUP($J37,'Allocation Factors'!$B$12:$AU$603,41,FALSE)*$H37),0)</f>
        <v>0</v>
      </c>
      <c r="BA37" s="22">
        <f ca="1">IF($L37&lt;&gt;0,VLOOKUP($N37,'Allocation Factors'!$B$12:$AU$603,42,FALSE)*$L37,0)+IF($H37&lt;&gt;0,(VLOOKUP($J37,'Allocation Factors'!$B$12:$AU$603,42,FALSE)*$H37),0)</f>
        <v>0</v>
      </c>
      <c r="BB37" s="22">
        <f ca="1">IF($L37&lt;&gt;0,VLOOKUP($N37,'Allocation Factors'!$B$12:$AU$603,43,FALSE)*$L37,0)+IF($H37&lt;&gt;0,(VLOOKUP($J37,'Allocation Factors'!$B$12:$AU$603,43,FALSE)*$H37),0)</f>
        <v>0</v>
      </c>
      <c r="BC37" s="22">
        <f ca="1">IF($L37&lt;&gt;0,VLOOKUP($N37,'Allocation Factors'!$B$12:$AU$603,44,FALSE)*$L37,0)+IF($H37&lt;&gt;0,(VLOOKUP($J37,'Allocation Factors'!$B$12:$AU$603,44,FALSE)*$H37),0)</f>
        <v>0</v>
      </c>
      <c r="BD37" s="22">
        <f ca="1">IF($L37&lt;&gt;0,VLOOKUP($N37,'Allocation Factors'!$B$12:$AU$603,45,FALSE)*$L37,0)+IF($H37&lt;&gt;0,(VLOOKUP($J37,'Allocation Factors'!$B$12:$AU$603,45,FALSE)*$H37),0)</f>
        <v>0</v>
      </c>
      <c r="BE37" s="22">
        <f ca="1">IF($L37&lt;&gt;0,VLOOKUP($N37,'Allocation Factors'!$B$12:$AU$603,46,FALSE)*$L37,0)+IF($H37&lt;&gt;0,(VLOOKUP($J37,'Allocation Factors'!$B$12:$AU$603,46,FALSE)*$H37),0)</f>
        <v>261.62868525173172</v>
      </c>
      <c r="BF37" s="9"/>
    </row>
    <row r="38" spans="1:58" x14ac:dyDescent="0.25">
      <c r="A38" s="2">
        <f>A37+1</f>
        <v>22</v>
      </c>
      <c r="B38" s="73" t="s">
        <v>322</v>
      </c>
      <c r="D38" s="22">
        <f ca="1">'Total ALLOCATION'!D38-'Gas Cost ALLOCATION'!D38</f>
        <v>49653.563421865154</v>
      </c>
      <c r="E38" s="22"/>
      <c r="F38" s="22">
        <f ca="1">'Total ALLOCATION'!F38-'Gas Cost ALLOCATION'!F38</f>
        <v>49653.563421865154</v>
      </c>
      <c r="G38" s="22"/>
      <c r="H38" s="22"/>
      <c r="I38" s="22"/>
      <c r="J38" s="213"/>
      <c r="K38" s="22"/>
      <c r="L38" s="22">
        <f t="shared" ca="1" si="9"/>
        <v>49653.563421865154</v>
      </c>
      <c r="N38" s="28" t="str">
        <f>'Total ALLOCATION'!N38</f>
        <v>HIGHPRESS&lt;=4</v>
      </c>
      <c r="P38" s="22">
        <f ca="1">IF($L38&lt;&gt;0,VLOOKUP($N38,'Allocation Factors'!$B$12:$AU$603,5,FALSE)*$L38,0)+IF($H38&lt;&gt;0,(VLOOKUP($J38,'Allocation Factors'!$B$12:$AU$603,5,FALSE)*$H38),0)</f>
        <v>15588.369792507287</v>
      </c>
      <c r="Q38" s="22">
        <f ca="1">IF($L38&lt;&gt;0,VLOOKUP($N38,'Allocation Factors'!$B$12:$AU$603,6,FALSE)*$L38,0)+IF($H38&lt;&gt;0,(VLOOKUP($J38,'Allocation Factors'!$B$12:$AU$603,6,FALSE)*$H38),0)</f>
        <v>13910.946026647438</v>
      </c>
      <c r="R38" s="22">
        <f ca="1">IF($L38&lt;&gt;0,VLOOKUP($N38,'Allocation Factors'!$B$12:$AU$603,7,FALSE)*$L38,0)+IF($H38&lt;&gt;0,(VLOOKUP($J38,'Allocation Factors'!$B$12:$AU$603,7,FALSE)*$H38),0)</f>
        <v>0</v>
      </c>
      <c r="S38" s="22">
        <f ca="1">IF($L38&lt;&gt;0,VLOOKUP($N38,'Allocation Factors'!$B$12:$AU$603,8,FALSE)*$L38,0)+IF($H38&lt;&gt;0,(VLOOKUP($J38,'Allocation Factors'!$B$12:$AU$603,8,FALSE)*$H38),0)</f>
        <v>45.247962890678409</v>
      </c>
      <c r="T38" s="22">
        <f ca="1">IF($L38&lt;&gt;0,VLOOKUP($N38,'Allocation Factors'!$B$12:$AU$603,9,FALSE)*$L38,0)+IF($H38&lt;&gt;0,(VLOOKUP($J38,'Allocation Factors'!$B$12:$AU$603,9,FALSE)*$H38),0)</f>
        <v>969.56156162597483</v>
      </c>
      <c r="U38" s="22">
        <f ca="1">IF($L38&lt;&gt;0,VLOOKUP($N38,'Allocation Factors'!$B$12:$AU$603,10,FALSE)*$L38,0)+IF($H38&lt;&gt;0,(VLOOKUP($J38,'Allocation Factors'!$B$12:$AU$603,10,FALSE)*$H38),0)</f>
        <v>35.052780432868971</v>
      </c>
      <c r="V38" s="22">
        <f ca="1">IF($L38&lt;&gt;0,VLOOKUP($N38,'Allocation Factors'!$B$12:$AU$603,11,FALSE)*$L38,0)+IF($H38&lt;&gt;0,(VLOOKUP($J38,'Allocation Factors'!$B$12:$AU$603,11,FALSE)*$H38),0)</f>
        <v>0</v>
      </c>
      <c r="W38" s="22">
        <f ca="1">IF($L38&lt;&gt;0,VLOOKUP($N38,'Allocation Factors'!$B$12:$AU$603,12,FALSE)*$L38,0)+IF($H38&lt;&gt;0,(VLOOKUP($J38,'Allocation Factors'!$B$12:$AU$603,12,FALSE)*$H38),0)</f>
        <v>3.8832065881383682</v>
      </c>
      <c r="X38" s="22">
        <f ca="1">IF($L38&lt;&gt;0,VLOOKUP($N38,'Allocation Factors'!$B$12:$AU$603,13,FALSE)*$L38,0)+IF($H38&lt;&gt;0,(VLOOKUP($J38,'Allocation Factors'!$B$12:$AU$603,13,FALSE)*$H38),0)</f>
        <v>0</v>
      </c>
      <c r="Y38" s="22">
        <f ca="1">IF($L38&lt;&gt;0,VLOOKUP($N38,'Allocation Factors'!$B$12:$AU$603,14,FALSE)*$L38,0)+IF($H38&lt;&gt;0,(VLOOKUP($J38,'Allocation Factors'!$B$12:$AU$603,14,FALSE)*$H38),0)</f>
        <v>0</v>
      </c>
      <c r="Z38" s="22">
        <f ca="1">IF($L38&lt;&gt;0,VLOOKUP($N38,'Allocation Factors'!$B$12:$AU$603,15,FALSE)*$L38,0)+IF($H38&lt;&gt;0,(VLOOKUP($J38,'Allocation Factors'!$B$12:$AU$603,15,FALSE)*$H38),0)</f>
        <v>0</v>
      </c>
      <c r="AA38" s="22">
        <f ca="1">IF($L38&lt;&gt;0,VLOOKUP($N38,'Allocation Factors'!$B$12:$AU$603,16,FALSE)*$L38,0)+IF($H38&lt;&gt;0,(VLOOKUP($J38,'Allocation Factors'!$B$12:$AU$603,16,FALSE)*$H38),0)</f>
        <v>0</v>
      </c>
      <c r="AB38" s="22">
        <f ca="1">IF($L38&lt;&gt;0,VLOOKUP($N38,'Allocation Factors'!$B$12:$AU$603,17,FALSE)*$L38,0)+IF($H38&lt;&gt;0,(VLOOKUP($J38,'Allocation Factors'!$B$12:$AU$603,17,FALSE)*$H38),0)</f>
        <v>0</v>
      </c>
      <c r="AC38" s="22">
        <f ca="1">IF($L38&lt;&gt;0,VLOOKUP($N38,'Allocation Factors'!$B$12:$AU$603,18,FALSE)*$L38,0)+IF($H38&lt;&gt;0,(VLOOKUP($J38,'Allocation Factors'!$B$12:$AU$603,18,FALSE)*$H38),0)</f>
        <v>2869.5764883882148</v>
      </c>
      <c r="AD38" s="22">
        <f ca="1">IF($L38&lt;&gt;0,VLOOKUP($N38,'Allocation Factors'!$B$12:$AU$603,19,FALSE)*$L38,0)+IF($H38&lt;&gt;0,(VLOOKUP($J38,'Allocation Factors'!$B$12:$AU$603,19,FALSE)*$H38),0)</f>
        <v>856.11724215288552</v>
      </c>
      <c r="AE38" s="22">
        <f ca="1">IF($L38&lt;&gt;0,VLOOKUP($N38,'Allocation Factors'!$B$12:$AU$603,20,FALSE)*$L38,0)+IF($H38&lt;&gt;0,(VLOOKUP($J38,'Allocation Factors'!$B$12:$AU$603,20,FALSE)*$H38),0)</f>
        <v>230.85117293246242</v>
      </c>
      <c r="AF38" s="22">
        <f ca="1">IF($L38&lt;&gt;0,VLOOKUP($N38,'Allocation Factors'!$B$12:$AU$603,21,FALSE)*$L38,0)+IF($H38&lt;&gt;0,(VLOOKUP($J38,'Allocation Factors'!$B$12:$AU$603,21,FALSE)*$H38),0)</f>
        <v>0</v>
      </c>
      <c r="AG38" s="22">
        <f ca="1">IF($L38&lt;&gt;0,VLOOKUP($N38,'Allocation Factors'!$B$12:$AU$603,22,FALSE)*$L38,0)+IF($H38&lt;&gt;0,(VLOOKUP($J38,'Allocation Factors'!$B$12:$AU$603,22,FALSE)*$H38),0)</f>
        <v>38.852022510159983</v>
      </c>
      <c r="AH38" s="22">
        <f ca="1">IF($L38&lt;&gt;0,VLOOKUP($N38,'Allocation Factors'!$B$12:$AU$603,23,FALSE)*$L38,0)+IF($H38&lt;&gt;0,(VLOOKUP($J38,'Allocation Factors'!$B$12:$AU$603,23,FALSE)*$H38),0)</f>
        <v>9181.7816593791631</v>
      </c>
      <c r="AI38" s="22">
        <f ca="1">IF($L38&lt;&gt;0,VLOOKUP($N38,'Allocation Factors'!$B$12:$AU$603,24,FALSE)*$L38,0)+IF($H38&lt;&gt;0,(VLOOKUP($J38,'Allocation Factors'!$B$12:$AU$603,24,FALSE)*$H38),0)</f>
        <v>3402.1181295594561</v>
      </c>
      <c r="AJ38" s="22">
        <f ca="1">IF($L38&lt;&gt;0,VLOOKUP($N38,'Allocation Factors'!$B$12:$AU$603,25,FALSE)*$L38,0)+IF($H38&lt;&gt;0,(VLOOKUP($J38,'Allocation Factors'!$B$12:$AU$603,25,FALSE)*$H38),0)</f>
        <v>960.06043745749935</v>
      </c>
      <c r="AK38" s="22">
        <f ca="1">IF($L38&lt;&gt;0,VLOOKUP($N38,'Allocation Factors'!$B$12:$AU$603,26,FALSE)*$L38,0)+IF($H38&lt;&gt;0,(VLOOKUP($J38,'Allocation Factors'!$B$12:$AU$603,26,FALSE)*$H38),0)</f>
        <v>0</v>
      </c>
      <c r="AL38" s="22">
        <f ca="1">IF($L38&lt;&gt;0,VLOOKUP($N38,'Allocation Factors'!$B$12:$AU$603,27,FALSE)*$L38,0)+IF($H38&lt;&gt;0,(VLOOKUP($J38,'Allocation Factors'!$B$12:$AU$603,27,FALSE)*$H38),0)</f>
        <v>10.638690399146851</v>
      </c>
      <c r="AM38" s="22">
        <f ca="1">IF($L38&lt;&gt;0,VLOOKUP($N38,'Allocation Factors'!$B$12:$AU$603,28,FALSE)*$L38,0)+IF($H38&lt;&gt;0,(VLOOKUP($J38,'Allocation Factors'!$B$12:$AU$603,28,FALSE)*$H38),0)</f>
        <v>0</v>
      </c>
      <c r="AN38" s="22">
        <f ca="1">IF($L38&lt;&gt;0,VLOOKUP($N38,'Allocation Factors'!$B$12:$AU$603,29,FALSE)*$L38,0)+IF($H38&lt;&gt;0,(VLOOKUP($J38,'Allocation Factors'!$B$12:$AU$603,29,FALSE)*$H38),0)</f>
        <v>932.65876198403862</v>
      </c>
      <c r="AO38" s="22">
        <f ca="1">IF($L38&lt;&gt;0,VLOOKUP($N38,'Allocation Factors'!$B$12:$AU$603,30,FALSE)*$L38,0)+IF($H38&lt;&gt;0,(VLOOKUP($J38,'Allocation Factors'!$B$12:$AU$603,30,FALSE)*$H38),0)</f>
        <v>0</v>
      </c>
      <c r="AP38" s="22">
        <f ca="1">IF($L38&lt;&gt;0,VLOOKUP($N38,'Allocation Factors'!$B$12:$AU$603,31,FALSE)*$L38,0)+IF($H38&lt;&gt;0,(VLOOKUP($J38,'Allocation Factors'!$B$12:$AU$603,31,FALSE)*$H38),0)</f>
        <v>63.743712492658624</v>
      </c>
      <c r="AQ38" s="22">
        <f ca="1">IF($L38&lt;&gt;0,VLOOKUP($N38,'Allocation Factors'!$B$12:$AU$603,32,FALSE)*$L38,0)+IF($H38&lt;&gt;0,(VLOOKUP($J38,'Allocation Factors'!$B$12:$AU$603,32,FALSE)*$H38),0)</f>
        <v>0</v>
      </c>
      <c r="AR38" s="22">
        <f ca="1">IF($L38&lt;&gt;0,VLOOKUP($N38,'Allocation Factors'!$B$12:$AU$603,33,FALSE)*$L38,0)+IF($H38&lt;&gt;0,(VLOOKUP($J38,'Allocation Factors'!$B$12:$AU$603,33,FALSE)*$H38),0)</f>
        <v>421.61655680097891</v>
      </c>
      <c r="AS38" s="22">
        <f ca="1">IF($L38&lt;&gt;0,VLOOKUP($N38,'Allocation Factors'!$B$12:$AU$603,34,FALSE)*$L38,0)+IF($H38&lt;&gt;0,(VLOOKUP($J38,'Allocation Factors'!$B$12:$AU$603,34,FALSE)*$H38),0)</f>
        <v>0</v>
      </c>
      <c r="AT38" s="22">
        <f ca="1">IF($L38&lt;&gt;0,VLOOKUP($N38,'Allocation Factors'!$B$12:$AU$603,35,FALSE)*$L38,0)+IF($H38&lt;&gt;0,(VLOOKUP($J38,'Allocation Factors'!$B$12:$AU$603,35,FALSE)*$H38),0)</f>
        <v>132.48721711610409</v>
      </c>
      <c r="AU38" s="22">
        <f ca="1">IF($L38&lt;&gt;0,VLOOKUP($N38,'Allocation Factors'!$B$12:$AU$603,36,FALSE)*$L38,0)+IF($H38&lt;&gt;0,(VLOOKUP($J38,'Allocation Factors'!$B$12:$AU$603,36,FALSE)*$H38),0)</f>
        <v>0</v>
      </c>
      <c r="AV38" s="22">
        <f ca="1">IF($L38&lt;&gt;0,VLOOKUP($N38,'Allocation Factors'!$B$12:$AU$603,37,FALSE)*$L38,0)+IF($H38&lt;&gt;0,(VLOOKUP($J38,'Allocation Factors'!$B$12:$AU$603,37,FALSE)*$H38),0)</f>
        <v>0</v>
      </c>
      <c r="AW38" s="22">
        <f ca="1">IF($L38&lt;&gt;0,VLOOKUP($N38,'Allocation Factors'!$B$12:$AU$603,38,FALSE)*$L38,0)+IF($H38&lt;&gt;0,(VLOOKUP($J38,'Allocation Factors'!$B$12:$AU$603,38,FALSE)*$H38),0)</f>
        <v>0</v>
      </c>
      <c r="AX38" s="22">
        <f ca="1">IF($L38&lt;&gt;0,VLOOKUP($N38,'Allocation Factors'!$B$12:$AU$603,39,FALSE)*$L38,0)+IF($H38&lt;&gt;0,(VLOOKUP($J38,'Allocation Factors'!$B$12:$AU$603,39,FALSE)*$H38),0)</f>
        <v>0</v>
      </c>
      <c r="AY38" s="22">
        <f ca="1">IF($L38&lt;&gt;0,VLOOKUP($N38,'Allocation Factors'!$B$12:$AU$603,40,FALSE)*$L38,0)+IF($H38&lt;&gt;0,(VLOOKUP($J38,'Allocation Factors'!$B$12:$AU$603,40,FALSE)*$H38),0)</f>
        <v>0</v>
      </c>
      <c r="AZ38" s="22">
        <f ca="1">IF($L38&lt;&gt;0,VLOOKUP($N38,'Allocation Factors'!$B$12:$AU$603,41,FALSE)*$L38,0)+IF($H38&lt;&gt;0,(VLOOKUP($J38,'Allocation Factors'!$B$12:$AU$603,41,FALSE)*$H38),0)</f>
        <v>0</v>
      </c>
      <c r="BA38" s="22">
        <f ca="1">IF($L38&lt;&gt;0,VLOOKUP($N38,'Allocation Factors'!$B$12:$AU$603,42,FALSE)*$L38,0)+IF($H38&lt;&gt;0,(VLOOKUP($J38,'Allocation Factors'!$B$12:$AU$603,42,FALSE)*$H38),0)</f>
        <v>0</v>
      </c>
      <c r="BB38" s="22">
        <f ca="1">IF($L38&lt;&gt;0,VLOOKUP($N38,'Allocation Factors'!$B$12:$AU$603,43,FALSE)*$L38,0)+IF($H38&lt;&gt;0,(VLOOKUP($J38,'Allocation Factors'!$B$12:$AU$603,43,FALSE)*$H38),0)</f>
        <v>0</v>
      </c>
      <c r="BC38" s="22">
        <f ca="1">IF($L38&lt;&gt;0,VLOOKUP($N38,'Allocation Factors'!$B$12:$AU$603,44,FALSE)*$L38,0)+IF($H38&lt;&gt;0,(VLOOKUP($J38,'Allocation Factors'!$B$12:$AU$603,44,FALSE)*$H38),0)</f>
        <v>0</v>
      </c>
      <c r="BD38" s="22">
        <f ca="1">IF($L38&lt;&gt;0,VLOOKUP($N38,'Allocation Factors'!$B$12:$AU$603,45,FALSE)*$L38,0)+IF($H38&lt;&gt;0,(VLOOKUP($J38,'Allocation Factors'!$B$12:$AU$603,45,FALSE)*$H38),0)</f>
        <v>0</v>
      </c>
      <c r="BE38" s="22">
        <f ca="1">IF($L38&lt;&gt;0,VLOOKUP($N38,'Allocation Factors'!$B$12:$AU$603,46,FALSE)*$L38,0)+IF($H38&lt;&gt;0,(VLOOKUP($J38,'Allocation Factors'!$B$12:$AU$603,46,FALSE)*$H38),0)</f>
        <v>0</v>
      </c>
      <c r="BF38" s="9"/>
    </row>
    <row r="39" spans="1:58" x14ac:dyDescent="0.25">
      <c r="A39" s="2">
        <f t="shared" ref="A39:A52" si="10">A38+1</f>
        <v>23</v>
      </c>
      <c r="B39" s="73" t="s">
        <v>323</v>
      </c>
      <c r="D39" s="22">
        <f ca="1">'Total ALLOCATION'!D39-'Gas Cost ALLOCATION'!D39</f>
        <v>505800.29360904114</v>
      </c>
      <c r="E39" s="22"/>
      <c r="F39" s="22">
        <f ca="1">'Total ALLOCATION'!F39-'Gas Cost ALLOCATION'!F39</f>
        <v>504952.03069765016</v>
      </c>
      <c r="G39" s="22"/>
      <c r="H39" s="22"/>
      <c r="I39" s="22"/>
      <c r="J39" s="213"/>
      <c r="K39" s="22"/>
      <c r="L39" s="22">
        <f t="shared" ca="1" si="9"/>
        <v>504952.03069765016</v>
      </c>
      <c r="N39" s="28" t="str">
        <f>'Total ALLOCATION'!N39</f>
        <v>LOWPRESS</v>
      </c>
      <c r="P39" s="22">
        <f ca="1">IF($L39&lt;&gt;0,VLOOKUP($N39,'Allocation Factors'!$B$12:$AU$603,5,FALSE)*$L39,0)+IF($H39&lt;&gt;0,(VLOOKUP($J39,'Allocation Factors'!$B$12:$AU$603,5,FALSE)*$H39),0)</f>
        <v>161423.33955487359</v>
      </c>
      <c r="Q39" s="22">
        <f ca="1">IF($L39&lt;&gt;0,VLOOKUP($N39,'Allocation Factors'!$B$12:$AU$603,6,FALSE)*$L39,0)+IF($H39&lt;&gt;0,(VLOOKUP($J39,'Allocation Factors'!$B$12:$AU$603,6,FALSE)*$H39),0)</f>
        <v>144052.99552672767</v>
      </c>
      <c r="R39" s="22">
        <f ca="1">IF($L39&lt;&gt;0,VLOOKUP($N39,'Allocation Factors'!$B$12:$AU$603,7,FALSE)*$L39,0)+IF($H39&lt;&gt;0,(VLOOKUP($J39,'Allocation Factors'!$B$12:$AU$603,7,FALSE)*$H39),0)</f>
        <v>0</v>
      </c>
      <c r="S39" s="22">
        <f ca="1">IF($L39&lt;&gt;0,VLOOKUP($N39,'Allocation Factors'!$B$12:$AU$603,8,FALSE)*$L39,0)+IF($H39&lt;&gt;0,(VLOOKUP($J39,'Allocation Factors'!$B$12:$AU$603,8,FALSE)*$H39),0)</f>
        <v>338.85933950893678</v>
      </c>
      <c r="T39" s="22">
        <f ca="1">IF($L39&lt;&gt;0,VLOOKUP($N39,'Allocation Factors'!$B$12:$AU$603,9,FALSE)*$L39,0)+IF($H39&lt;&gt;0,(VLOOKUP($J39,'Allocation Factors'!$B$12:$AU$603,9,FALSE)*$H39),0)</f>
        <v>8306.0386219039101</v>
      </c>
      <c r="U39" s="22">
        <f ca="1">IF($L39&lt;&gt;0,VLOOKUP($N39,'Allocation Factors'!$B$12:$AU$603,10,FALSE)*$L39,0)+IF($H39&lt;&gt;0,(VLOOKUP($J39,'Allocation Factors'!$B$12:$AU$603,10,FALSE)*$H39),0)</f>
        <v>327.13230439661464</v>
      </c>
      <c r="V39" s="22">
        <f ca="1">IF($L39&lt;&gt;0,VLOOKUP($N39,'Allocation Factors'!$B$12:$AU$603,11,FALSE)*$L39,0)+IF($H39&lt;&gt;0,(VLOOKUP($J39,'Allocation Factors'!$B$12:$AU$603,11,FALSE)*$H39),0)</f>
        <v>0</v>
      </c>
      <c r="W39" s="22">
        <f ca="1">IF($L39&lt;&gt;0,VLOOKUP($N39,'Allocation Factors'!$B$12:$AU$603,12,FALSE)*$L39,0)+IF($H39&lt;&gt;0,(VLOOKUP($J39,'Allocation Factors'!$B$12:$AU$603,12,FALSE)*$H39),0)</f>
        <v>24.719633534384339</v>
      </c>
      <c r="X39" s="22">
        <f ca="1">IF($L39&lt;&gt;0,VLOOKUP($N39,'Allocation Factors'!$B$12:$AU$603,13,FALSE)*$L39,0)+IF($H39&lt;&gt;0,(VLOOKUP($J39,'Allocation Factors'!$B$12:$AU$603,13,FALSE)*$H39),0)</f>
        <v>51.132797122305604</v>
      </c>
      <c r="Y39" s="22">
        <f ca="1">IF($L39&lt;&gt;0,VLOOKUP($N39,'Allocation Factors'!$B$12:$AU$603,14,FALSE)*$L39,0)+IF($H39&lt;&gt;0,(VLOOKUP($J39,'Allocation Factors'!$B$12:$AU$603,14,FALSE)*$H39),0)</f>
        <v>254.10704389789399</v>
      </c>
      <c r="Z39" s="22">
        <f ca="1">IF($L39&lt;&gt;0,VLOOKUP($N39,'Allocation Factors'!$B$12:$AU$603,15,FALSE)*$L39,0)+IF($H39&lt;&gt;0,(VLOOKUP($J39,'Allocation Factors'!$B$12:$AU$603,15,FALSE)*$H39),0)</f>
        <v>0</v>
      </c>
      <c r="AA39" s="22">
        <f ca="1">IF($L39&lt;&gt;0,VLOOKUP($N39,'Allocation Factors'!$B$12:$AU$603,16,FALSE)*$L39,0)+IF($H39&lt;&gt;0,(VLOOKUP($J39,'Allocation Factors'!$B$12:$AU$603,16,FALSE)*$H39),0)</f>
        <v>0</v>
      </c>
      <c r="AB39" s="22">
        <f ca="1">IF($L39&lt;&gt;0,VLOOKUP($N39,'Allocation Factors'!$B$12:$AU$603,17,FALSE)*$L39,0)+IF($H39&lt;&gt;0,(VLOOKUP($J39,'Allocation Factors'!$B$12:$AU$603,17,FALSE)*$H39),0)</f>
        <v>0</v>
      </c>
      <c r="AC39" s="22">
        <f ca="1">IF($L39&lt;&gt;0,VLOOKUP($N39,'Allocation Factors'!$B$12:$AU$603,18,FALSE)*$L39,0)+IF($H39&lt;&gt;0,(VLOOKUP($J39,'Allocation Factors'!$B$12:$AU$603,18,FALSE)*$H39),0)</f>
        <v>29715.526769606306</v>
      </c>
      <c r="AD39" s="22">
        <f ca="1">IF($L39&lt;&gt;0,VLOOKUP($N39,'Allocation Factors'!$B$12:$AU$603,19,FALSE)*$L39,0)+IF($H39&lt;&gt;0,(VLOOKUP($J39,'Allocation Factors'!$B$12:$AU$603,19,FALSE)*$H39),0)</f>
        <v>8865.4109517759316</v>
      </c>
      <c r="AE39" s="22">
        <f ca="1">IF($L39&lt;&gt;0,VLOOKUP($N39,'Allocation Factors'!$B$12:$AU$603,20,FALSE)*$L39,0)+IF($H39&lt;&gt;0,(VLOOKUP($J39,'Allocation Factors'!$B$12:$AU$603,20,FALSE)*$H39),0)</f>
        <v>321.69059546417355</v>
      </c>
      <c r="AF39" s="22">
        <f ca="1">IF($L39&lt;&gt;0,VLOOKUP($N39,'Allocation Factors'!$B$12:$AU$603,21,FALSE)*$L39,0)+IF($H39&lt;&gt;0,(VLOOKUP($J39,'Allocation Factors'!$B$12:$AU$603,21,FALSE)*$H39),0)</f>
        <v>2652.7939888238611</v>
      </c>
      <c r="AG39" s="22">
        <f ca="1">IF($L39&lt;&gt;0,VLOOKUP($N39,'Allocation Factors'!$B$12:$AU$603,22,FALSE)*$L39,0)+IF($H39&lt;&gt;0,(VLOOKUP($J39,'Allocation Factors'!$B$12:$AU$603,22,FALSE)*$H39),0)</f>
        <v>0</v>
      </c>
      <c r="AH39" s="22">
        <f ca="1">IF($L39&lt;&gt;0,VLOOKUP($N39,'Allocation Factors'!$B$12:$AU$603,23,FALSE)*$L39,0)+IF($H39&lt;&gt;0,(VLOOKUP($J39,'Allocation Factors'!$B$12:$AU$603,23,FALSE)*$H39),0)</f>
        <v>95080.747906884149</v>
      </c>
      <c r="AI39" s="22">
        <f ca="1">IF($L39&lt;&gt;0,VLOOKUP($N39,'Allocation Factors'!$B$12:$AU$603,24,FALSE)*$L39,0)+IF($H39&lt;&gt;0,(VLOOKUP($J39,'Allocation Factors'!$B$12:$AU$603,24,FALSE)*$H39),0)</f>
        <v>35230.19259509979</v>
      </c>
      <c r="AJ39" s="22">
        <f ca="1">IF($L39&lt;&gt;0,VLOOKUP($N39,'Allocation Factors'!$B$12:$AU$603,25,FALSE)*$L39,0)+IF($H39&lt;&gt;0,(VLOOKUP($J39,'Allocation Factors'!$B$12:$AU$603,25,FALSE)*$H39),0)</f>
        <v>7768.599749403129</v>
      </c>
      <c r="AK39" s="22">
        <f ca="1">IF($L39&lt;&gt;0,VLOOKUP($N39,'Allocation Factors'!$B$12:$AU$603,26,FALSE)*$L39,0)+IF($H39&lt;&gt;0,(VLOOKUP($J39,'Allocation Factors'!$B$12:$AU$603,26,FALSE)*$H39),0)</f>
        <v>2.6428812794971748</v>
      </c>
      <c r="AL39" s="22">
        <f ca="1">IF($L39&lt;&gt;0,VLOOKUP($N39,'Allocation Factors'!$B$12:$AU$603,27,FALSE)*$L39,0)+IF($H39&lt;&gt;0,(VLOOKUP($J39,'Allocation Factors'!$B$12:$AU$603,27,FALSE)*$H39),0)</f>
        <v>85.680451803457572</v>
      </c>
      <c r="AM39" s="22">
        <f ca="1">IF($L39&lt;&gt;0,VLOOKUP($N39,'Allocation Factors'!$B$12:$AU$603,28,FALSE)*$L39,0)+IF($H39&lt;&gt;0,(VLOOKUP($J39,'Allocation Factors'!$B$12:$AU$603,28,FALSE)*$H39),0)</f>
        <v>49.578577195727306</v>
      </c>
      <c r="AN39" s="22">
        <f ca="1">IF($L39&lt;&gt;0,VLOOKUP($N39,'Allocation Factors'!$B$12:$AU$603,29,FALSE)*$L39,0)+IF($H39&lt;&gt;0,(VLOOKUP($J39,'Allocation Factors'!$B$12:$AU$603,29,FALSE)*$H39),0)</f>
        <v>6461.5776595747793</v>
      </c>
      <c r="AO39" s="22">
        <f ca="1">IF($L39&lt;&gt;0,VLOOKUP($N39,'Allocation Factors'!$B$12:$AU$603,30,FALSE)*$L39,0)+IF($H39&lt;&gt;0,(VLOOKUP($J39,'Allocation Factors'!$B$12:$AU$603,30,FALSE)*$H39),0)</f>
        <v>93.421461489784605</v>
      </c>
      <c r="AP39" s="22">
        <f ca="1">IF($L39&lt;&gt;0,VLOOKUP($N39,'Allocation Factors'!$B$12:$AU$603,31,FALSE)*$L39,0)+IF($H39&lt;&gt;0,(VLOOKUP($J39,'Allocation Factors'!$B$12:$AU$603,31,FALSE)*$H39),0)</f>
        <v>0</v>
      </c>
      <c r="AQ39" s="22">
        <f ca="1">IF($L39&lt;&gt;0,VLOOKUP($N39,'Allocation Factors'!$B$12:$AU$603,32,FALSE)*$L39,0)+IF($H39&lt;&gt;0,(VLOOKUP($J39,'Allocation Factors'!$B$12:$AU$603,32,FALSE)*$H39),0)</f>
        <v>0</v>
      </c>
      <c r="AR39" s="22">
        <f ca="1">IF($L39&lt;&gt;0,VLOOKUP($N39,'Allocation Factors'!$B$12:$AU$603,33,FALSE)*$L39,0)+IF($H39&lt;&gt;0,(VLOOKUP($J39,'Allocation Factors'!$B$12:$AU$603,33,FALSE)*$H39),0)</f>
        <v>2471.0221588064437</v>
      </c>
      <c r="AS39" s="22">
        <f ca="1">IF($L39&lt;&gt;0,VLOOKUP($N39,'Allocation Factors'!$B$12:$AU$603,34,FALSE)*$L39,0)+IF($H39&lt;&gt;0,(VLOOKUP($J39,'Allocation Factors'!$B$12:$AU$603,34,FALSE)*$H39),0)</f>
        <v>17.743374596505078</v>
      </c>
      <c r="AT39" s="22">
        <f ca="1">IF($L39&lt;&gt;0,VLOOKUP($N39,'Allocation Factors'!$B$12:$AU$603,35,FALSE)*$L39,0)+IF($H39&lt;&gt;0,(VLOOKUP($J39,'Allocation Factors'!$B$12:$AU$603,35,FALSE)*$H39),0)</f>
        <v>806.41779578133207</v>
      </c>
      <c r="AU39" s="22">
        <f ca="1">IF($L39&lt;&gt;0,VLOOKUP($N39,'Allocation Factors'!$B$12:$AU$603,36,FALSE)*$L39,0)+IF($H39&lt;&gt;0,(VLOOKUP($J39,'Allocation Factors'!$B$12:$AU$603,36,FALSE)*$H39),0)</f>
        <v>550.6589580999713</v>
      </c>
      <c r="AV39" s="22">
        <f ca="1">IF($L39&lt;&gt;0,VLOOKUP($N39,'Allocation Factors'!$B$12:$AU$603,37,FALSE)*$L39,0)+IF($H39&lt;&gt;0,(VLOOKUP($J39,'Allocation Factors'!$B$12:$AU$603,37,FALSE)*$H39),0)</f>
        <v>0</v>
      </c>
      <c r="AW39" s="22">
        <f ca="1">IF($L39&lt;&gt;0,VLOOKUP($N39,'Allocation Factors'!$B$12:$AU$603,38,FALSE)*$L39,0)+IF($H39&lt;&gt;0,(VLOOKUP($J39,'Allocation Factors'!$B$12:$AU$603,38,FALSE)*$H39),0)</f>
        <v>0</v>
      </c>
      <c r="AX39" s="22">
        <f ca="1">IF($L39&lt;&gt;0,VLOOKUP($N39,'Allocation Factors'!$B$12:$AU$603,39,FALSE)*$L39,0)+IF($H39&lt;&gt;0,(VLOOKUP($J39,'Allocation Factors'!$B$12:$AU$603,39,FALSE)*$H39),0)</f>
        <v>0</v>
      </c>
      <c r="AY39" s="22">
        <f ca="1">IF($L39&lt;&gt;0,VLOOKUP($N39,'Allocation Factors'!$B$12:$AU$603,40,FALSE)*$L39,0)+IF($H39&lt;&gt;0,(VLOOKUP($J39,'Allocation Factors'!$B$12:$AU$603,40,FALSE)*$H39),0)</f>
        <v>0</v>
      </c>
      <c r="AZ39" s="22">
        <f ca="1">IF($L39&lt;&gt;0,VLOOKUP($N39,'Allocation Factors'!$B$12:$AU$603,41,FALSE)*$L39,0)+IF($H39&lt;&gt;0,(VLOOKUP($J39,'Allocation Factors'!$B$12:$AU$603,41,FALSE)*$H39),0)</f>
        <v>0</v>
      </c>
      <c r="BA39" s="22">
        <f ca="1">IF($L39&lt;&gt;0,VLOOKUP($N39,'Allocation Factors'!$B$12:$AU$603,42,FALSE)*$L39,0)+IF($H39&lt;&gt;0,(VLOOKUP($J39,'Allocation Factors'!$B$12:$AU$603,42,FALSE)*$H39),0)</f>
        <v>0</v>
      </c>
      <c r="BB39" s="22">
        <f ca="1">IF($L39&lt;&gt;0,VLOOKUP($N39,'Allocation Factors'!$B$12:$AU$603,43,FALSE)*$L39,0)+IF($H39&lt;&gt;0,(VLOOKUP($J39,'Allocation Factors'!$B$12:$AU$603,43,FALSE)*$H39),0)</f>
        <v>0</v>
      </c>
      <c r="BC39" s="22">
        <f ca="1">IF($L39&lt;&gt;0,VLOOKUP($N39,'Allocation Factors'!$B$12:$AU$603,44,FALSE)*$L39,0)+IF($H39&lt;&gt;0,(VLOOKUP($J39,'Allocation Factors'!$B$12:$AU$603,44,FALSE)*$H39),0)</f>
        <v>0</v>
      </c>
      <c r="BD39" s="22">
        <f ca="1">IF($L39&lt;&gt;0,VLOOKUP($N39,'Allocation Factors'!$B$12:$AU$603,45,FALSE)*$L39,0)+IF($H39&lt;&gt;0,(VLOOKUP($J39,'Allocation Factors'!$B$12:$AU$603,45,FALSE)*$H39),0)</f>
        <v>0</v>
      </c>
      <c r="BE39" s="22">
        <f ca="1">IF($L39&lt;&gt;0,VLOOKUP($N39,'Allocation Factors'!$B$12:$AU$603,46,FALSE)*$L39,0)+IF($H39&lt;&gt;0,(VLOOKUP($J39,'Allocation Factors'!$B$12:$AU$603,46,FALSE)*$H39),0)</f>
        <v>0</v>
      </c>
      <c r="BF39" s="9"/>
    </row>
    <row r="40" spans="1:58" x14ac:dyDescent="0.25">
      <c r="B40" s="73" t="s">
        <v>188</v>
      </c>
      <c r="D40" s="22"/>
      <c r="E40" s="22"/>
      <c r="F40" s="22"/>
      <c r="G40" s="22"/>
      <c r="H40" s="22"/>
      <c r="I40" s="22"/>
      <c r="J40" s="213"/>
      <c r="K40" s="22"/>
      <c r="L40" s="22"/>
    </row>
    <row r="41" spans="1:58" x14ac:dyDescent="0.25">
      <c r="A41" s="2">
        <f>A39+1</f>
        <v>24</v>
      </c>
      <c r="B41" s="206" t="s">
        <v>190</v>
      </c>
      <c r="D41" s="22">
        <f ca="1">'Total ALLOCATION'!D41-'Gas Cost ALLOCATION'!D41</f>
        <v>144347.57149315687</v>
      </c>
      <c r="E41" s="22"/>
      <c r="F41" s="22">
        <f ca="1">'Total ALLOCATION'!F41-'Gas Cost ALLOCATION'!F41</f>
        <v>144347.57149315687</v>
      </c>
      <c r="G41" s="22"/>
      <c r="H41" s="22"/>
      <c r="I41" s="22"/>
      <c r="J41" s="213"/>
      <c r="K41" s="22"/>
      <c r="L41" s="22">
        <f t="shared" ca="1" si="9"/>
        <v>144347.57149315687</v>
      </c>
      <c r="N41" s="28" t="str">
        <f>'Total ALLOCATION'!N41</f>
        <v>DSM_PRO</v>
      </c>
      <c r="P41" s="22">
        <f ca="1">IF($L41&lt;&gt;0,VLOOKUP($N41,'Allocation Factors'!$B$12:$AU$603,5,FALSE)*$L41,0)+IF($H41&lt;&gt;0,(VLOOKUP($J41,'Allocation Factors'!$B$12:$AU$603,5,FALSE)*$H41),0)</f>
        <v>56893.312697637433</v>
      </c>
      <c r="Q41" s="22">
        <f ca="1">IF($L41&lt;&gt;0,VLOOKUP($N41,'Allocation Factors'!$B$12:$AU$603,6,FALSE)*$L41,0)+IF($H41&lt;&gt;0,(VLOOKUP($J41,'Allocation Factors'!$B$12:$AU$603,6,FALSE)*$H41),0)</f>
        <v>23192.688405700643</v>
      </c>
      <c r="R41" s="22">
        <f ca="1">IF($L41&lt;&gt;0,VLOOKUP($N41,'Allocation Factors'!$B$12:$AU$603,7,FALSE)*$L41,0)+IF($H41&lt;&gt;0,(VLOOKUP($J41,'Allocation Factors'!$B$12:$AU$603,7,FALSE)*$H41),0)</f>
        <v>0</v>
      </c>
      <c r="S41" s="22">
        <f ca="1">IF($L41&lt;&gt;0,VLOOKUP($N41,'Allocation Factors'!$B$12:$AU$603,8,FALSE)*$L41,0)+IF($H41&lt;&gt;0,(VLOOKUP($J41,'Allocation Factors'!$B$12:$AU$603,8,FALSE)*$H41),0)</f>
        <v>184.73747524735788</v>
      </c>
      <c r="T41" s="22">
        <f ca="1">IF($L41&lt;&gt;0,VLOOKUP($N41,'Allocation Factors'!$B$12:$AU$603,9,FALSE)*$L41,0)+IF($H41&lt;&gt;0,(VLOOKUP($J41,'Allocation Factors'!$B$12:$AU$603,9,FALSE)*$H41),0)</f>
        <v>1664.9070491573086</v>
      </c>
      <c r="U41" s="22">
        <f ca="1">IF($L41&lt;&gt;0,VLOOKUP($N41,'Allocation Factors'!$B$12:$AU$603,10,FALSE)*$L41,0)+IF($H41&lt;&gt;0,(VLOOKUP($J41,'Allocation Factors'!$B$12:$AU$603,10,FALSE)*$H41),0)</f>
        <v>714.84768900906147</v>
      </c>
      <c r="V41" s="22">
        <f ca="1">IF($L41&lt;&gt;0,VLOOKUP($N41,'Allocation Factors'!$B$12:$AU$603,11,FALSE)*$L41,0)+IF($H41&lt;&gt;0,(VLOOKUP($J41,'Allocation Factors'!$B$12:$AU$603,11,FALSE)*$H41),0)</f>
        <v>139.25157143873889</v>
      </c>
      <c r="W41" s="22">
        <f ca="1">IF($L41&lt;&gt;0,VLOOKUP($N41,'Allocation Factors'!$B$12:$AU$603,12,FALSE)*$L41,0)+IF($H41&lt;&gt;0,(VLOOKUP($J41,'Allocation Factors'!$B$12:$AU$603,12,FALSE)*$H41),0)</f>
        <v>661.02361534366526</v>
      </c>
      <c r="X41" s="22">
        <f ca="1">IF($L41&lt;&gt;0,VLOOKUP($N41,'Allocation Factors'!$B$12:$AU$603,13,FALSE)*$L41,0)+IF($H41&lt;&gt;0,(VLOOKUP($J41,'Allocation Factors'!$B$12:$AU$603,13,FALSE)*$H41),0)</f>
        <v>233.43877489657126</v>
      </c>
      <c r="Y41" s="22">
        <f ca="1">IF($L41&lt;&gt;0,VLOOKUP($N41,'Allocation Factors'!$B$12:$AU$603,14,FALSE)*$L41,0)+IF($H41&lt;&gt;0,(VLOOKUP($J41,'Allocation Factors'!$B$12:$AU$603,14,FALSE)*$H41),0)</f>
        <v>262.02972680496083</v>
      </c>
      <c r="Z41" s="22">
        <f ca="1">IF($L41&lt;&gt;0,VLOOKUP($N41,'Allocation Factors'!$B$12:$AU$603,15,FALSE)*$L41,0)+IF($H41&lt;&gt;0,(VLOOKUP($J41,'Allocation Factors'!$B$12:$AU$603,15,FALSE)*$H41),0)</f>
        <v>33.69032795198293</v>
      </c>
      <c r="AA41" s="22">
        <f ca="1">IF($L41&lt;&gt;0,VLOOKUP($N41,'Allocation Factors'!$B$12:$AU$603,16,FALSE)*$L41,0)+IF($H41&lt;&gt;0,(VLOOKUP($J41,'Allocation Factors'!$B$12:$AU$603,16,FALSE)*$H41),0)</f>
        <v>0</v>
      </c>
      <c r="AB41" s="22">
        <f ca="1">IF($L41&lt;&gt;0,VLOOKUP($N41,'Allocation Factors'!$B$12:$AU$603,17,FALSE)*$L41,0)+IF($H41&lt;&gt;0,(VLOOKUP($J41,'Allocation Factors'!$B$12:$AU$603,17,FALSE)*$H41),0)</f>
        <v>0</v>
      </c>
      <c r="AC41" s="22">
        <f ca="1">IF($L41&lt;&gt;0,VLOOKUP($N41,'Allocation Factors'!$B$12:$AU$603,18,FALSE)*$L41,0)+IF($H41&lt;&gt;0,(VLOOKUP($J41,'Allocation Factors'!$B$12:$AU$603,18,FALSE)*$H41),0)</f>
        <v>5301.3007105267361</v>
      </c>
      <c r="AD41" s="22">
        <f ca="1">IF($L41&lt;&gt;0,VLOOKUP($N41,'Allocation Factors'!$B$12:$AU$603,19,FALSE)*$L41,0)+IF($H41&lt;&gt;0,(VLOOKUP($J41,'Allocation Factors'!$B$12:$AU$603,19,FALSE)*$H41),0)</f>
        <v>1252.0740772384988</v>
      </c>
      <c r="AE41" s="22">
        <f ca="1">IF($L41&lt;&gt;0,VLOOKUP($N41,'Allocation Factors'!$B$12:$AU$603,20,FALSE)*$L41,0)+IF($H41&lt;&gt;0,(VLOOKUP($J41,'Allocation Factors'!$B$12:$AU$603,20,FALSE)*$H41),0)</f>
        <v>931.12032184095222</v>
      </c>
      <c r="AF41" s="22">
        <f ca="1">IF($L41&lt;&gt;0,VLOOKUP($N41,'Allocation Factors'!$B$12:$AU$603,21,FALSE)*$L41,0)+IF($H41&lt;&gt;0,(VLOOKUP($J41,'Allocation Factors'!$B$12:$AU$603,21,FALSE)*$H41),0)</f>
        <v>62.982296081059019</v>
      </c>
      <c r="AG41" s="22">
        <f ca="1">IF($L41&lt;&gt;0,VLOOKUP($N41,'Allocation Factors'!$B$12:$AU$603,22,FALSE)*$L41,0)+IF($H41&lt;&gt;0,(VLOOKUP($J41,'Allocation Factors'!$B$12:$AU$603,22,FALSE)*$H41),0)</f>
        <v>717.18715307386015</v>
      </c>
      <c r="AH41" s="22">
        <f ca="1">IF($L41&lt;&gt;0,VLOOKUP($N41,'Allocation Factors'!$B$12:$AU$603,23,FALSE)*$L41,0)+IF($H41&lt;&gt;0,(VLOOKUP($J41,'Allocation Factors'!$B$12:$AU$603,23,FALSE)*$H41),0)</f>
        <v>36345.932515774402</v>
      </c>
      <c r="AI41" s="22">
        <f ca="1">IF($L41&lt;&gt;0,VLOOKUP($N41,'Allocation Factors'!$B$12:$AU$603,24,FALSE)*$L41,0)+IF($H41&lt;&gt;0,(VLOOKUP($J41,'Allocation Factors'!$B$12:$AU$603,24,FALSE)*$H41),0)</f>
        <v>5198.7408015945784</v>
      </c>
      <c r="AJ41" s="22">
        <f ca="1">IF($L41&lt;&gt;0,VLOOKUP($N41,'Allocation Factors'!$B$12:$AU$603,25,FALSE)*$L41,0)+IF($H41&lt;&gt;0,(VLOOKUP($J41,'Allocation Factors'!$B$12:$AU$603,25,FALSE)*$H41),0)</f>
        <v>3793.5025278462781</v>
      </c>
      <c r="AK41" s="22">
        <f ca="1">IF($L41&lt;&gt;0,VLOOKUP($N41,'Allocation Factors'!$B$12:$AU$603,26,FALSE)*$L41,0)+IF($H41&lt;&gt;0,(VLOOKUP($J41,'Allocation Factors'!$B$12:$AU$603,26,FALSE)*$H41),0)</f>
        <v>1.5208841282015346</v>
      </c>
      <c r="AL41" s="22">
        <f ca="1">IF($L41&lt;&gt;0,VLOOKUP($N41,'Allocation Factors'!$B$12:$AU$603,27,FALSE)*$L41,0)+IF($H41&lt;&gt;0,(VLOOKUP($J41,'Allocation Factors'!$B$12:$AU$603,27,FALSE)*$H41),0)</f>
        <v>21.666346437717859</v>
      </c>
      <c r="AM41" s="22">
        <f ca="1">IF($L41&lt;&gt;0,VLOOKUP($N41,'Allocation Factors'!$B$12:$AU$603,28,FALSE)*$L41,0)+IF($H41&lt;&gt;0,(VLOOKUP($J41,'Allocation Factors'!$B$12:$AU$603,28,FALSE)*$H41),0)</f>
        <v>270.89598092565882</v>
      </c>
      <c r="AN41" s="22">
        <f ca="1">IF($L41&lt;&gt;0,VLOOKUP($N41,'Allocation Factors'!$B$12:$AU$603,29,FALSE)*$L41,0)+IF($H41&lt;&gt;0,(VLOOKUP($J41,'Allocation Factors'!$B$12:$AU$603,29,FALSE)*$H41),0)</f>
        <v>2601.8623555395016</v>
      </c>
      <c r="AO41" s="22">
        <f ca="1">IF($L41&lt;&gt;0,VLOOKUP($N41,'Allocation Factors'!$B$12:$AU$603,30,FALSE)*$L41,0)+IF($H41&lt;&gt;0,(VLOOKUP($J41,'Allocation Factors'!$B$12:$AU$603,30,FALSE)*$H41),0)</f>
        <v>277.0471742652548</v>
      </c>
      <c r="AP41" s="22">
        <f ca="1">IF($L41&lt;&gt;0,VLOOKUP($N41,'Allocation Factors'!$B$12:$AU$603,31,FALSE)*$L41,0)+IF($H41&lt;&gt;0,(VLOOKUP($J41,'Allocation Factors'!$B$12:$AU$603,31,FALSE)*$H41),0)</f>
        <v>14.128103887367409</v>
      </c>
      <c r="AQ41" s="22">
        <f ca="1">IF($L41&lt;&gt;0,VLOOKUP($N41,'Allocation Factors'!$B$12:$AU$603,32,FALSE)*$L41,0)+IF($H41&lt;&gt;0,(VLOOKUP($J41,'Allocation Factors'!$B$12:$AU$603,32,FALSE)*$H41),0)</f>
        <v>0</v>
      </c>
      <c r="AR41" s="22">
        <f ca="1">IF($L41&lt;&gt;0,VLOOKUP($N41,'Allocation Factors'!$B$12:$AU$603,33,FALSE)*$L41,0)+IF($H41&lt;&gt;0,(VLOOKUP($J41,'Allocation Factors'!$B$12:$AU$603,33,FALSE)*$H41),0)</f>
        <v>627.82817381424832</v>
      </c>
      <c r="AS41" s="22">
        <f ca="1">IF($L41&lt;&gt;0,VLOOKUP($N41,'Allocation Factors'!$B$12:$AU$603,34,FALSE)*$L41,0)+IF($H41&lt;&gt;0,(VLOOKUP($J41,'Allocation Factors'!$B$12:$AU$603,34,FALSE)*$H41),0)</f>
        <v>59.849158543427983</v>
      </c>
      <c r="AT41" s="22">
        <f ca="1">IF($L41&lt;&gt;0,VLOOKUP($N41,'Allocation Factors'!$B$12:$AU$603,35,FALSE)*$L41,0)+IF($H41&lt;&gt;0,(VLOOKUP($J41,'Allocation Factors'!$B$12:$AU$603,35,FALSE)*$H41),0)</f>
        <v>2777.7372495714553</v>
      </c>
      <c r="AU41" s="22">
        <f ca="1">IF($L41&lt;&gt;0,VLOOKUP($N41,'Allocation Factors'!$B$12:$AU$603,36,FALSE)*$L41,0)+IF($H41&lt;&gt;0,(VLOOKUP($J41,'Allocation Factors'!$B$12:$AU$603,36,FALSE)*$H41),0)</f>
        <v>23.36971401556125</v>
      </c>
      <c r="AV41" s="22">
        <f ca="1">IF($L41&lt;&gt;0,VLOOKUP($N41,'Allocation Factors'!$B$12:$AU$603,37,FALSE)*$L41,0)+IF($H41&lt;&gt;0,(VLOOKUP($J41,'Allocation Factors'!$B$12:$AU$603,37,FALSE)*$H41),0)</f>
        <v>88.898614864400031</v>
      </c>
      <c r="AW41" s="22">
        <f ca="1">IF($L41&lt;&gt;0,VLOOKUP($N41,'Allocation Factors'!$B$12:$AU$603,38,FALSE)*$L41,0)+IF($H41&lt;&gt;0,(VLOOKUP($J41,'Allocation Factors'!$B$12:$AU$603,38,FALSE)*$H41),0)</f>
        <v>0</v>
      </c>
      <c r="AX41" s="22">
        <f ca="1">IF($L41&lt;&gt;0,VLOOKUP($N41,'Allocation Factors'!$B$12:$AU$603,39,FALSE)*$L41,0)+IF($H41&lt;&gt;0,(VLOOKUP($J41,'Allocation Factors'!$B$12:$AU$603,39,FALSE)*$H41),0)</f>
        <v>0</v>
      </c>
      <c r="AY41" s="22">
        <f ca="1">IF($L41&lt;&gt;0,VLOOKUP($N41,'Allocation Factors'!$B$12:$AU$603,40,FALSE)*$L41,0)+IF($H41&lt;&gt;0,(VLOOKUP($J41,'Allocation Factors'!$B$12:$AU$603,40,FALSE)*$H41),0)</f>
        <v>0</v>
      </c>
      <c r="AZ41" s="22">
        <f ca="1">IF($L41&lt;&gt;0,VLOOKUP($N41,'Allocation Factors'!$B$12:$AU$603,41,FALSE)*$L41,0)+IF($H41&lt;&gt;0,(VLOOKUP($J41,'Allocation Factors'!$B$12:$AU$603,41,FALSE)*$H41),0)</f>
        <v>0</v>
      </c>
      <c r="BA41" s="22">
        <f ca="1">IF($L41&lt;&gt;0,VLOOKUP($N41,'Allocation Factors'!$B$12:$AU$603,42,FALSE)*$L41,0)+IF($H41&lt;&gt;0,(VLOOKUP($J41,'Allocation Factors'!$B$12:$AU$603,42,FALSE)*$H41),0)</f>
        <v>0</v>
      </c>
      <c r="BB41" s="22">
        <f ca="1">IF($L41&lt;&gt;0,VLOOKUP($N41,'Allocation Factors'!$B$12:$AU$603,43,FALSE)*$L41,0)+IF($H41&lt;&gt;0,(VLOOKUP($J41,'Allocation Factors'!$B$12:$AU$603,43,FALSE)*$H41),0)</f>
        <v>0</v>
      </c>
      <c r="BC41" s="22">
        <f ca="1">IF($L41&lt;&gt;0,VLOOKUP($N41,'Allocation Factors'!$B$12:$AU$603,44,FALSE)*$L41,0)+IF($H41&lt;&gt;0,(VLOOKUP($J41,'Allocation Factors'!$B$12:$AU$603,44,FALSE)*$H41),0)</f>
        <v>0</v>
      </c>
      <c r="BD41" s="22">
        <f ca="1">IF($L41&lt;&gt;0,VLOOKUP($N41,'Allocation Factors'!$B$12:$AU$603,45,FALSE)*$L41,0)+IF($H41&lt;&gt;0,(VLOOKUP($J41,'Allocation Factors'!$B$12:$AU$603,45,FALSE)*$H41),0)</f>
        <v>0</v>
      </c>
      <c r="BE41" s="22">
        <f ca="1">IF($L41&lt;&gt;0,VLOOKUP($N41,'Allocation Factors'!$B$12:$AU$603,46,FALSE)*$L41,0)+IF($H41&lt;&gt;0,(VLOOKUP($J41,'Allocation Factors'!$B$12:$AU$603,46,FALSE)*$H41),0)</f>
        <v>0</v>
      </c>
      <c r="BF41" s="9"/>
    </row>
    <row r="42" spans="1:58" x14ac:dyDescent="0.25">
      <c r="A42" s="2">
        <f t="shared" si="10"/>
        <v>25</v>
      </c>
      <c r="B42" s="206" t="s">
        <v>191</v>
      </c>
      <c r="D42" s="22">
        <f ca="1">'Total ALLOCATION'!D42-'Gas Cost ALLOCATION'!D42</f>
        <v>65422.060839956306</v>
      </c>
      <c r="E42" s="22"/>
      <c r="F42" s="22">
        <f ca="1">'Total ALLOCATION'!F42-'Gas Cost ALLOCATION'!F42</f>
        <v>65422.060839956306</v>
      </c>
      <c r="G42" s="22"/>
      <c r="H42" s="22"/>
      <c r="I42" s="22"/>
      <c r="J42" s="213"/>
      <c r="K42" s="22"/>
      <c r="L42" s="22">
        <f t="shared" ca="1" si="9"/>
        <v>65422.060839956306</v>
      </c>
      <c r="N42" s="28" t="str">
        <f>'Total ALLOCATION'!N42</f>
        <v>DSM_ADM</v>
      </c>
      <c r="P42" s="22">
        <f ca="1">IF($L42&lt;&gt;0,VLOOKUP($N42,'Allocation Factors'!$B$12:$AU$603,5,FALSE)*$L42,0)+IF($H42&lt;&gt;0,(VLOOKUP($J42,'Allocation Factors'!$B$12:$AU$603,5,FALSE)*$H42),0)</f>
        <v>20276.909027180536</v>
      </c>
      <c r="Q42" s="22">
        <f ca="1">IF($L42&lt;&gt;0,VLOOKUP($N42,'Allocation Factors'!$B$12:$AU$603,6,FALSE)*$L42,0)+IF($H42&lt;&gt;0,(VLOOKUP($J42,'Allocation Factors'!$B$12:$AU$603,6,FALSE)*$H42),0)</f>
        <v>14530.559136573671</v>
      </c>
      <c r="R42" s="22">
        <f ca="1">IF($L42&lt;&gt;0,VLOOKUP($N42,'Allocation Factors'!$B$12:$AU$603,7,FALSE)*$L42,0)+IF($H42&lt;&gt;0,(VLOOKUP($J42,'Allocation Factors'!$B$12:$AU$603,7,FALSE)*$H42),0)</f>
        <v>0</v>
      </c>
      <c r="S42" s="22">
        <f ca="1">IF($L42&lt;&gt;0,VLOOKUP($N42,'Allocation Factors'!$B$12:$AU$603,8,FALSE)*$L42,0)+IF($H42&lt;&gt;0,(VLOOKUP($J42,'Allocation Factors'!$B$12:$AU$603,8,FALSE)*$H42),0)</f>
        <v>160.62767767512051</v>
      </c>
      <c r="T42" s="22">
        <f ca="1">IF($L42&lt;&gt;0,VLOOKUP($N42,'Allocation Factors'!$B$12:$AU$603,9,FALSE)*$L42,0)+IF($H42&lt;&gt;0,(VLOOKUP($J42,'Allocation Factors'!$B$12:$AU$603,9,FALSE)*$H42),0)</f>
        <v>1327.0525182947517</v>
      </c>
      <c r="U42" s="22">
        <f ca="1">IF($L42&lt;&gt;0,VLOOKUP($N42,'Allocation Factors'!$B$12:$AU$603,10,FALSE)*$L42,0)+IF($H42&lt;&gt;0,(VLOOKUP($J42,'Allocation Factors'!$B$12:$AU$603,10,FALSE)*$H42),0)</f>
        <v>606.0340539672037</v>
      </c>
      <c r="V42" s="22">
        <f ca="1">IF($L42&lt;&gt;0,VLOOKUP($N42,'Allocation Factors'!$B$12:$AU$603,11,FALSE)*$L42,0)+IF($H42&lt;&gt;0,(VLOOKUP($J42,'Allocation Factors'!$B$12:$AU$603,11,FALSE)*$H42),0)</f>
        <v>58.833957148176601</v>
      </c>
      <c r="W42" s="22">
        <f ca="1">IF($L42&lt;&gt;0,VLOOKUP($N42,'Allocation Factors'!$B$12:$AU$603,12,FALSE)*$L42,0)+IF($H42&lt;&gt;0,(VLOOKUP($J42,'Allocation Factors'!$B$12:$AU$603,12,FALSE)*$H42),0)</f>
        <v>584.79880339478666</v>
      </c>
      <c r="X42" s="22">
        <f ca="1">IF($L42&lt;&gt;0,VLOOKUP($N42,'Allocation Factors'!$B$12:$AU$603,13,FALSE)*$L42,0)+IF($H42&lt;&gt;0,(VLOOKUP($J42,'Allocation Factors'!$B$12:$AU$603,13,FALSE)*$H42),0)</f>
        <v>152.23502783639321</v>
      </c>
      <c r="Y42" s="22">
        <f ca="1">IF($L42&lt;&gt;0,VLOOKUP($N42,'Allocation Factors'!$B$12:$AU$603,14,FALSE)*$L42,0)+IF($H42&lt;&gt;0,(VLOOKUP($J42,'Allocation Factors'!$B$12:$AU$603,14,FALSE)*$H42),0)</f>
        <v>188.82142713917</v>
      </c>
      <c r="Z42" s="22">
        <f ca="1">IF($L42&lt;&gt;0,VLOOKUP($N42,'Allocation Factors'!$B$12:$AU$603,15,FALSE)*$L42,0)+IF($H42&lt;&gt;0,(VLOOKUP($J42,'Allocation Factors'!$B$12:$AU$603,15,FALSE)*$H42),0)</f>
        <v>14.23420425748648</v>
      </c>
      <c r="AA42" s="22">
        <f ca="1">IF($L42&lt;&gt;0,VLOOKUP($N42,'Allocation Factors'!$B$12:$AU$603,16,FALSE)*$L42,0)+IF($H42&lt;&gt;0,(VLOOKUP($J42,'Allocation Factors'!$B$12:$AU$603,16,FALSE)*$H42),0)</f>
        <v>0</v>
      </c>
      <c r="AB42" s="22">
        <f ca="1">IF($L42&lt;&gt;0,VLOOKUP($N42,'Allocation Factors'!$B$12:$AU$603,17,FALSE)*$L42,0)+IF($H42&lt;&gt;0,(VLOOKUP($J42,'Allocation Factors'!$B$12:$AU$603,17,FALSE)*$H42),0)</f>
        <v>0</v>
      </c>
      <c r="AC42" s="22">
        <f ca="1">IF($L42&lt;&gt;0,VLOOKUP($N42,'Allocation Factors'!$B$12:$AU$603,18,FALSE)*$L42,0)+IF($H42&lt;&gt;0,(VLOOKUP($J42,'Allocation Factors'!$B$12:$AU$603,18,FALSE)*$H42),0)</f>
        <v>2119.7668367147412</v>
      </c>
      <c r="AD42" s="22">
        <f ca="1">IF($L42&lt;&gt;0,VLOOKUP($N42,'Allocation Factors'!$B$12:$AU$603,19,FALSE)*$L42,0)+IF($H42&lt;&gt;0,(VLOOKUP($J42,'Allocation Factors'!$B$12:$AU$603,19,FALSE)*$H42),0)</f>
        <v>693.66542635716553</v>
      </c>
      <c r="AE42" s="22">
        <f ca="1">IF($L42&lt;&gt;0,VLOOKUP($N42,'Allocation Factors'!$B$12:$AU$603,20,FALSE)*$L42,0)+IF($H42&lt;&gt;0,(VLOOKUP($J42,'Allocation Factors'!$B$12:$AU$603,20,FALSE)*$H42),0)</f>
        <v>690.65823152451696</v>
      </c>
      <c r="AF42" s="22">
        <f ca="1">IF($L42&lt;&gt;0,VLOOKUP($N42,'Allocation Factors'!$B$12:$AU$603,21,FALSE)*$L42,0)+IF($H42&lt;&gt;0,(VLOOKUP($J42,'Allocation Factors'!$B$12:$AU$603,21,FALSE)*$H42),0)</f>
        <v>26.610096176594748</v>
      </c>
      <c r="AG42" s="22">
        <f ca="1">IF($L42&lt;&gt;0,VLOOKUP($N42,'Allocation Factors'!$B$12:$AU$603,22,FALSE)*$L42,0)+IF($H42&lt;&gt;0,(VLOOKUP($J42,'Allocation Factors'!$B$12:$AU$603,22,FALSE)*$H42),0)</f>
        <v>314.41241829820427</v>
      </c>
      <c r="AH42" s="22">
        <f ca="1">IF($L42&lt;&gt;0,VLOOKUP($N42,'Allocation Factors'!$B$12:$AU$603,23,FALSE)*$L42,0)+IF($H42&lt;&gt;0,(VLOOKUP($J42,'Allocation Factors'!$B$12:$AU$603,23,FALSE)*$H42),0)</f>
        <v>12907.97049617077</v>
      </c>
      <c r="AI42" s="22">
        <f ca="1">IF($L42&lt;&gt;0,VLOOKUP($N42,'Allocation Factors'!$B$12:$AU$603,24,FALSE)*$L42,0)+IF($H42&lt;&gt;0,(VLOOKUP($J42,'Allocation Factors'!$B$12:$AU$603,24,FALSE)*$H42),0)</f>
        <v>3264.3736867573948</v>
      </c>
      <c r="AJ42" s="22">
        <f ca="1">IF($L42&lt;&gt;0,VLOOKUP($N42,'Allocation Factors'!$B$12:$AU$603,25,FALSE)*$L42,0)+IF($H42&lt;&gt;0,(VLOOKUP($J42,'Allocation Factors'!$B$12:$AU$603,25,FALSE)*$H42),0)</f>
        <v>3147.8428903140762</v>
      </c>
      <c r="AK42" s="22">
        <f ca="1">IF($L42&lt;&gt;0,VLOOKUP($N42,'Allocation Factors'!$B$12:$AU$603,26,FALSE)*$L42,0)+IF($H42&lt;&gt;0,(VLOOKUP($J42,'Allocation Factors'!$B$12:$AU$603,26,FALSE)*$H42),0)</f>
        <v>1.262027441607843</v>
      </c>
      <c r="AL42" s="22">
        <f ca="1">IF($L42&lt;&gt;0,VLOOKUP($N42,'Allocation Factors'!$B$12:$AU$603,27,FALSE)*$L42,0)+IF($H42&lt;&gt;0,(VLOOKUP($J42,'Allocation Factors'!$B$12:$AU$603,27,FALSE)*$H42),0)</f>
        <v>14.448306405820546</v>
      </c>
      <c r="AM42" s="22">
        <f ca="1">IF($L42&lt;&gt;0,VLOOKUP($N42,'Allocation Factors'!$B$12:$AU$603,28,FALSE)*$L42,0)+IF($H42&lt;&gt;0,(VLOOKUP($J42,'Allocation Factors'!$B$12:$AU$603,28,FALSE)*$H42),0)</f>
        <v>180.64827624585425</v>
      </c>
      <c r="AN42" s="22">
        <f ca="1">IF($L42&lt;&gt;0,VLOOKUP($N42,'Allocation Factors'!$B$12:$AU$603,29,FALSE)*$L42,0)+IF($H42&lt;&gt;0,(VLOOKUP($J42,'Allocation Factors'!$B$12:$AU$603,29,FALSE)*$H42),0)</f>
        <v>2158.0240019598546</v>
      </c>
      <c r="AO42" s="22">
        <f ca="1">IF($L42&lt;&gt;0,VLOOKUP($N42,'Allocation Factors'!$B$12:$AU$603,30,FALSE)*$L42,0)+IF($H42&lt;&gt;0,(VLOOKUP($J42,'Allocation Factors'!$B$12:$AU$603,30,FALSE)*$H42),0)</f>
        <v>229.78711785681836</v>
      </c>
      <c r="AP42" s="22">
        <f ca="1">IF($L42&lt;&gt;0,VLOOKUP($N42,'Allocation Factors'!$B$12:$AU$603,31,FALSE)*$L42,0)+IF($H42&lt;&gt;0,(VLOOKUP($J42,'Allocation Factors'!$B$12:$AU$603,31,FALSE)*$H42),0)</f>
        <v>5.9691409591024778</v>
      </c>
      <c r="AQ42" s="22">
        <f ca="1">IF($L42&lt;&gt;0,VLOOKUP($N42,'Allocation Factors'!$B$12:$AU$603,32,FALSE)*$L42,0)+IF($H42&lt;&gt;0,(VLOOKUP($J42,'Allocation Factors'!$B$12:$AU$603,32,FALSE)*$H42),0)</f>
        <v>0</v>
      </c>
      <c r="AR42" s="22">
        <f ca="1">IF($L42&lt;&gt;0,VLOOKUP($N42,'Allocation Factors'!$B$12:$AU$603,33,FALSE)*$L42,0)+IF($H42&lt;&gt;0,(VLOOKUP($J42,'Allocation Factors'!$B$12:$AU$603,33,FALSE)*$H42),0)</f>
        <v>455.19624824241248</v>
      </c>
      <c r="AS42" s="22">
        <f ca="1">IF($L42&lt;&gt;0,VLOOKUP($N42,'Allocation Factors'!$B$12:$AU$603,34,FALSE)*$L42,0)+IF($H42&lt;&gt;0,(VLOOKUP($J42,'Allocation Factors'!$B$12:$AU$603,34,FALSE)*$H42),0)</f>
        <v>43.392624870469739</v>
      </c>
      <c r="AT42" s="22">
        <f ca="1">IF($L42&lt;&gt;0,VLOOKUP($N42,'Allocation Factors'!$B$12:$AU$603,35,FALSE)*$L42,0)+IF($H42&lt;&gt;0,(VLOOKUP($J42,'Allocation Factors'!$B$12:$AU$603,35,FALSE)*$H42),0)</f>
        <v>1220.1024182065198</v>
      </c>
      <c r="AU42" s="22">
        <f ca="1">IF($L42&lt;&gt;0,VLOOKUP($N42,'Allocation Factors'!$B$12:$AU$603,36,FALSE)*$L42,0)+IF($H42&lt;&gt;0,(VLOOKUP($J42,'Allocation Factors'!$B$12:$AU$603,36,FALSE)*$H42),0)</f>
        <v>10.264989817730271</v>
      </c>
      <c r="AV42" s="22">
        <f ca="1">IF($L42&lt;&gt;0,VLOOKUP($N42,'Allocation Factors'!$B$12:$AU$603,37,FALSE)*$L42,0)+IF($H42&lt;&gt;0,(VLOOKUP($J42,'Allocation Factors'!$B$12:$AU$603,37,FALSE)*$H42),0)</f>
        <v>37.559772169359817</v>
      </c>
      <c r="AW42" s="22">
        <f ca="1">IF($L42&lt;&gt;0,VLOOKUP($N42,'Allocation Factors'!$B$12:$AU$603,38,FALSE)*$L42,0)+IF($H42&lt;&gt;0,(VLOOKUP($J42,'Allocation Factors'!$B$12:$AU$603,38,FALSE)*$H42),0)</f>
        <v>0</v>
      </c>
      <c r="AX42" s="22">
        <f ca="1">IF($L42&lt;&gt;0,VLOOKUP($N42,'Allocation Factors'!$B$12:$AU$603,39,FALSE)*$L42,0)+IF($H42&lt;&gt;0,(VLOOKUP($J42,'Allocation Factors'!$B$12:$AU$603,39,FALSE)*$H42),0)</f>
        <v>0</v>
      </c>
      <c r="AY42" s="22">
        <f ca="1">IF($L42&lt;&gt;0,VLOOKUP($N42,'Allocation Factors'!$B$12:$AU$603,40,FALSE)*$L42,0)+IF($H42&lt;&gt;0,(VLOOKUP($J42,'Allocation Factors'!$B$12:$AU$603,40,FALSE)*$H42),0)</f>
        <v>0</v>
      </c>
      <c r="AZ42" s="22">
        <f ca="1">IF($L42&lt;&gt;0,VLOOKUP($N42,'Allocation Factors'!$B$12:$AU$603,41,FALSE)*$L42,0)+IF($H42&lt;&gt;0,(VLOOKUP($J42,'Allocation Factors'!$B$12:$AU$603,41,FALSE)*$H42),0)</f>
        <v>0</v>
      </c>
      <c r="BA42" s="22">
        <f ca="1">IF($L42&lt;&gt;0,VLOOKUP($N42,'Allocation Factors'!$B$12:$AU$603,42,FALSE)*$L42,0)+IF($H42&lt;&gt;0,(VLOOKUP($J42,'Allocation Factors'!$B$12:$AU$603,42,FALSE)*$H42),0)</f>
        <v>0</v>
      </c>
      <c r="BB42" s="22">
        <f ca="1">IF($L42&lt;&gt;0,VLOOKUP($N42,'Allocation Factors'!$B$12:$AU$603,43,FALSE)*$L42,0)+IF($H42&lt;&gt;0,(VLOOKUP($J42,'Allocation Factors'!$B$12:$AU$603,43,FALSE)*$H42),0)</f>
        <v>0</v>
      </c>
      <c r="BC42" s="22">
        <f ca="1">IF($L42&lt;&gt;0,VLOOKUP($N42,'Allocation Factors'!$B$12:$AU$603,44,FALSE)*$L42,0)+IF($H42&lt;&gt;0,(VLOOKUP($J42,'Allocation Factors'!$B$12:$AU$603,44,FALSE)*$H42),0)</f>
        <v>0</v>
      </c>
      <c r="BD42" s="22">
        <f ca="1">IF($L42&lt;&gt;0,VLOOKUP($N42,'Allocation Factors'!$B$12:$AU$603,45,FALSE)*$L42,0)+IF($H42&lt;&gt;0,(VLOOKUP($J42,'Allocation Factors'!$B$12:$AU$603,45,FALSE)*$H42),0)</f>
        <v>0</v>
      </c>
      <c r="BE42" s="22">
        <f ca="1">IF($L42&lt;&gt;0,VLOOKUP($N42,'Allocation Factors'!$B$12:$AU$603,46,FALSE)*$L42,0)+IF($H42&lt;&gt;0,(VLOOKUP($J42,'Allocation Factors'!$B$12:$AU$603,46,FALSE)*$H42),0)</f>
        <v>0</v>
      </c>
      <c r="BF42" s="9"/>
    </row>
    <row r="43" spans="1:58" x14ac:dyDescent="0.25">
      <c r="A43" s="2">
        <f t="shared" si="10"/>
        <v>26</v>
      </c>
      <c r="B43" s="73" t="s">
        <v>124</v>
      </c>
      <c r="D43" s="22">
        <f ca="1">'Total ALLOCATION'!D43-'Gas Cost ALLOCATION'!D43</f>
        <v>358838.07449580694</v>
      </c>
      <c r="E43" s="22"/>
      <c r="F43" s="22">
        <f ca="1">'Total ALLOCATION'!F43-'Gas Cost ALLOCATION'!F43</f>
        <v>358236.27763321943</v>
      </c>
      <c r="G43" s="22"/>
      <c r="H43" s="22"/>
      <c r="I43" s="22"/>
      <c r="J43" s="213"/>
      <c r="K43" s="22"/>
      <c r="L43" s="22">
        <f t="shared" ca="1" si="9"/>
        <v>358236.27763321943</v>
      </c>
      <c r="N43" s="28" t="str">
        <f>'Total ALLOCATION'!N43</f>
        <v>TOTAL_CUSTOMERS</v>
      </c>
      <c r="P43" s="22">
        <f ca="1">IF($L43&lt;&gt;0,VLOOKUP($N43,'Allocation Factors'!$B$12:$AU$603,5,FALSE)*$L43,0)+IF($H43&lt;&gt;0,(VLOOKUP($J43,'Allocation Factors'!$B$12:$AU$603,5,FALSE)*$H43),0)</f>
        <v>197527.08521656567</v>
      </c>
      <c r="Q43" s="22">
        <f ca="1">IF($L43&lt;&gt;0,VLOOKUP($N43,'Allocation Factors'!$B$12:$AU$603,6,FALSE)*$L43,0)+IF($H43&lt;&gt;0,(VLOOKUP($J43,'Allocation Factors'!$B$12:$AU$603,6,FALSE)*$H43),0)</f>
        <v>15816.976916736598</v>
      </c>
      <c r="R43" s="22">
        <f ca="1">IF($L43&lt;&gt;0,VLOOKUP($N43,'Allocation Factors'!$B$12:$AU$603,7,FALSE)*$L43,0)+IF($H43&lt;&gt;0,(VLOOKUP($J43,'Allocation Factors'!$B$12:$AU$603,7,FALSE)*$H43),0)</f>
        <v>0</v>
      </c>
      <c r="S43" s="22">
        <f ca="1">IF($L43&lt;&gt;0,VLOOKUP($N43,'Allocation Factors'!$B$12:$AU$603,8,FALSE)*$L43,0)+IF($H43&lt;&gt;0,(VLOOKUP($J43,'Allocation Factors'!$B$12:$AU$603,8,FALSE)*$H43),0)</f>
        <v>1.2811504681091532</v>
      </c>
      <c r="T43" s="22">
        <f ca="1">IF($L43&lt;&gt;0,VLOOKUP($N43,'Allocation Factors'!$B$12:$AU$603,9,FALSE)*$L43,0)+IF($H43&lt;&gt;0,(VLOOKUP($J43,'Allocation Factors'!$B$12:$AU$603,9,FALSE)*$H43),0)</f>
        <v>38.068471052386265</v>
      </c>
      <c r="U43" s="22">
        <f ca="1">IF($L43&lt;&gt;0,VLOOKUP($N43,'Allocation Factors'!$B$12:$AU$603,10,FALSE)*$L43,0)+IF($H43&lt;&gt;0,(VLOOKUP($J43,'Allocation Factors'!$B$12:$AU$603,10,FALSE)*$H43),0)</f>
        <v>2.0132364498858122</v>
      </c>
      <c r="V43" s="22">
        <f ca="1">IF($L43&lt;&gt;0,VLOOKUP($N43,'Allocation Factors'!$B$12:$AU$603,11,FALSE)*$L43,0)+IF($H43&lt;&gt;0,(VLOOKUP($J43,'Allocation Factors'!$B$12:$AU$603,11,FALSE)*$H43),0)</f>
        <v>0.36604299088832948</v>
      </c>
      <c r="W43" s="22">
        <f ca="1">IF($L43&lt;&gt;0,VLOOKUP($N43,'Allocation Factors'!$B$12:$AU$603,12,FALSE)*$L43,0)+IF($H43&lt;&gt;0,(VLOOKUP($J43,'Allocation Factors'!$B$12:$AU$603,12,FALSE)*$H43),0)</f>
        <v>3.7519406566053775</v>
      </c>
      <c r="X43" s="22">
        <f ca="1">IF($L43&lt;&gt;0,VLOOKUP($N43,'Allocation Factors'!$B$12:$AU$603,13,FALSE)*$L43,0)+IF($H43&lt;&gt;0,(VLOOKUP($J43,'Allocation Factors'!$B$12:$AU$603,13,FALSE)*$H43),0)</f>
        <v>0.45755373861041188</v>
      </c>
      <c r="Y43" s="22">
        <f ca="1">IF($L43&lt;&gt;0,VLOOKUP($N43,'Allocation Factors'!$B$12:$AU$603,14,FALSE)*$L43,0)+IF($H43&lt;&gt;0,(VLOOKUP($J43,'Allocation Factors'!$B$12:$AU$603,14,FALSE)*$H43),0)</f>
        <v>1.0066182249429061</v>
      </c>
      <c r="Z43" s="22">
        <f ca="1">IF($L43&lt;&gt;0,VLOOKUP($N43,'Allocation Factors'!$B$12:$AU$603,15,FALSE)*$L43,0)+IF($H43&lt;&gt;0,(VLOOKUP($J43,'Allocation Factors'!$B$12:$AU$603,15,FALSE)*$H43),0)</f>
        <v>9.151074772208237E-2</v>
      </c>
      <c r="AA43" s="22">
        <f ca="1">IF($L43&lt;&gt;0,VLOOKUP($N43,'Allocation Factors'!$B$12:$AU$603,16,FALSE)*$L43,0)+IF($H43&lt;&gt;0,(VLOOKUP($J43,'Allocation Factors'!$B$12:$AU$603,16,FALSE)*$H43),0)</f>
        <v>0</v>
      </c>
      <c r="AB43" s="22">
        <f ca="1">IF($L43&lt;&gt;0,VLOOKUP($N43,'Allocation Factors'!$B$12:$AU$603,17,FALSE)*$L43,0)+IF($H43&lt;&gt;0,(VLOOKUP($J43,'Allocation Factors'!$B$12:$AU$603,17,FALSE)*$H43),0)</f>
        <v>0</v>
      </c>
      <c r="AC43" s="22">
        <f ca="1">IF($L43&lt;&gt;0,VLOOKUP($N43,'Allocation Factors'!$B$12:$AU$603,18,FALSE)*$L43,0)+IF($H43&lt;&gt;0,(VLOOKUP($J43,'Allocation Factors'!$B$12:$AU$603,18,FALSE)*$H43),0)</f>
        <v>33782.900722230857</v>
      </c>
      <c r="AD43" s="22">
        <f ca="1">IF($L43&lt;&gt;0,VLOOKUP($N43,'Allocation Factors'!$B$12:$AU$603,19,FALSE)*$L43,0)+IF($H43&lt;&gt;0,(VLOOKUP($J43,'Allocation Factors'!$B$12:$AU$603,19,FALSE)*$H43),0)</f>
        <v>201.68968797946954</v>
      </c>
      <c r="AE43" s="22">
        <f ca="1">IF($L43&lt;&gt;0,VLOOKUP($N43,'Allocation Factors'!$B$12:$AU$603,20,FALSE)*$L43,0)+IF($H43&lt;&gt;0,(VLOOKUP($J43,'Allocation Factors'!$B$12:$AU$603,20,FALSE)*$H43),0)</f>
        <v>5.6736663587691067</v>
      </c>
      <c r="AF43" s="22">
        <f ca="1">IF($L43&lt;&gt;0,VLOOKUP($N43,'Allocation Factors'!$B$12:$AU$603,21,FALSE)*$L43,0)+IF($H43&lt;&gt;0,(VLOOKUP($J43,'Allocation Factors'!$B$12:$AU$603,21,FALSE)*$H43),0)</f>
        <v>0.36604299088832948</v>
      </c>
      <c r="AG43" s="22">
        <f ca="1">IF($L43&lt;&gt;0,VLOOKUP($N43,'Allocation Factors'!$B$12:$AU$603,22,FALSE)*$L43,0)+IF($H43&lt;&gt;0,(VLOOKUP($J43,'Allocation Factors'!$B$12:$AU$603,22,FALSE)*$H43),0)</f>
        <v>1.0981289726649885</v>
      </c>
      <c r="AH43" s="22">
        <f ca="1">IF($L43&lt;&gt;0,VLOOKUP($N43,'Allocation Factors'!$B$12:$AU$603,23,FALSE)*$L43,0)+IF($H43&lt;&gt;0,(VLOOKUP($J43,'Allocation Factors'!$B$12:$AU$603,23,FALSE)*$H43),0)</f>
        <v>110077.07354338119</v>
      </c>
      <c r="AI43" s="22">
        <f ca="1">IF($L43&lt;&gt;0,VLOOKUP($N43,'Allocation Factors'!$B$12:$AU$603,24,FALSE)*$L43,0)+IF($H43&lt;&gt;0,(VLOOKUP($J43,'Allocation Factors'!$B$12:$AU$603,24,FALSE)*$H43),0)</f>
        <v>738.40022336948277</v>
      </c>
      <c r="AJ43" s="22">
        <f ca="1">IF($L43&lt;&gt;0,VLOOKUP($N43,'Allocation Factors'!$B$12:$AU$603,25,FALSE)*$L43,0)+IF($H43&lt;&gt;0,(VLOOKUP($J43,'Allocation Factors'!$B$12:$AU$603,25,FALSE)*$H43),0)</f>
        <v>20.589918237468535</v>
      </c>
      <c r="AK43" s="22">
        <f ca="1">IF($L43&lt;&gt;0,VLOOKUP($N43,'Allocation Factors'!$B$12:$AU$603,26,FALSE)*$L43,0)+IF($H43&lt;&gt;0,(VLOOKUP($J43,'Allocation Factors'!$B$12:$AU$603,26,FALSE)*$H43),0)</f>
        <v>0</v>
      </c>
      <c r="AL43" s="22">
        <f ca="1">IF($L43&lt;&gt;0,VLOOKUP($N43,'Allocation Factors'!$B$12:$AU$603,27,FALSE)*$L43,0)+IF($H43&lt;&gt;0,(VLOOKUP($J43,'Allocation Factors'!$B$12:$AU$603,27,FALSE)*$H43),0)</f>
        <v>0.64057523405457661</v>
      </c>
      <c r="AM43" s="22">
        <f ca="1">IF($L43&lt;&gt;0,VLOOKUP($N43,'Allocation Factors'!$B$12:$AU$603,28,FALSE)*$L43,0)+IF($H43&lt;&gt;0,(VLOOKUP($J43,'Allocation Factors'!$B$12:$AU$603,28,FALSE)*$H43),0)</f>
        <v>2.7453224316624709</v>
      </c>
      <c r="AN43" s="22">
        <f ca="1">IF($L43&lt;&gt;0,VLOOKUP($N43,'Allocation Factors'!$B$12:$AU$603,29,FALSE)*$L43,0)+IF($H43&lt;&gt;0,(VLOOKUP($J43,'Allocation Factors'!$B$12:$AU$603,29,FALSE)*$H43),0)</f>
        <v>5.2161126201586949</v>
      </c>
      <c r="AO43" s="22">
        <f ca="1">IF($L43&lt;&gt;0,VLOOKUP($N43,'Allocation Factors'!$B$12:$AU$603,30,FALSE)*$L43,0)+IF($H43&lt;&gt;0,(VLOOKUP($J43,'Allocation Factors'!$B$12:$AU$603,30,FALSE)*$H43),0)</f>
        <v>0.36604299088832948</v>
      </c>
      <c r="AP43" s="22">
        <f ca="1">IF($L43&lt;&gt;0,VLOOKUP($N43,'Allocation Factors'!$B$12:$AU$603,31,FALSE)*$L43,0)+IF($H43&lt;&gt;0,(VLOOKUP($J43,'Allocation Factors'!$B$12:$AU$603,31,FALSE)*$H43),0)</f>
        <v>0.36604299088832948</v>
      </c>
      <c r="AQ43" s="22">
        <f ca="1">IF($L43&lt;&gt;0,VLOOKUP($N43,'Allocation Factors'!$B$12:$AU$603,32,FALSE)*$L43,0)+IF($H43&lt;&gt;0,(VLOOKUP($J43,'Allocation Factors'!$B$12:$AU$603,32,FALSE)*$H43),0)</f>
        <v>0</v>
      </c>
      <c r="AR43" s="22">
        <f ca="1">IF($L43&lt;&gt;0,VLOOKUP($N43,'Allocation Factors'!$B$12:$AU$603,33,FALSE)*$L43,0)+IF($H43&lt;&gt;0,(VLOOKUP($J43,'Allocation Factors'!$B$12:$AU$603,33,FALSE)*$H43),0)</f>
        <v>4.2094943952157893</v>
      </c>
      <c r="AS43" s="22">
        <f ca="1">IF($L43&lt;&gt;0,VLOOKUP($N43,'Allocation Factors'!$B$12:$AU$603,34,FALSE)*$L43,0)+IF($H43&lt;&gt;0,(VLOOKUP($J43,'Allocation Factors'!$B$12:$AU$603,34,FALSE)*$H43),0)</f>
        <v>0</v>
      </c>
      <c r="AT43" s="22">
        <f ca="1">IF($L43&lt;&gt;0,VLOOKUP($N43,'Allocation Factors'!$B$12:$AU$603,35,FALSE)*$L43,0)+IF($H43&lt;&gt;0,(VLOOKUP($J43,'Allocation Factors'!$B$12:$AU$603,35,FALSE)*$H43),0)</f>
        <v>3.7519406566053775</v>
      </c>
      <c r="AU43" s="22">
        <f ca="1">IF($L43&lt;&gt;0,VLOOKUP($N43,'Allocation Factors'!$B$12:$AU$603,36,FALSE)*$L43,0)+IF($H43&lt;&gt;0,(VLOOKUP($J43,'Allocation Factors'!$B$12:$AU$603,36,FALSE)*$H43),0)</f>
        <v>0</v>
      </c>
      <c r="AV43" s="22">
        <f ca="1">IF($L43&lt;&gt;0,VLOOKUP($N43,'Allocation Factors'!$B$12:$AU$603,37,FALSE)*$L43,0)+IF($H43&lt;&gt;0,(VLOOKUP($J43,'Allocation Factors'!$B$12:$AU$603,37,FALSE)*$H43),0)</f>
        <v>9.151074772208237E-2</v>
      </c>
      <c r="AW43" s="22">
        <f ca="1">IF($L43&lt;&gt;0,VLOOKUP($N43,'Allocation Factors'!$B$12:$AU$603,38,FALSE)*$L43,0)+IF($H43&lt;&gt;0,(VLOOKUP($J43,'Allocation Factors'!$B$12:$AU$603,38,FALSE)*$H43),0)</f>
        <v>0</v>
      </c>
      <c r="AX43" s="22">
        <f ca="1">IF($L43&lt;&gt;0,VLOOKUP($N43,'Allocation Factors'!$B$12:$AU$603,39,FALSE)*$L43,0)+IF($H43&lt;&gt;0,(VLOOKUP($J43,'Allocation Factors'!$B$12:$AU$603,39,FALSE)*$H43),0)</f>
        <v>0</v>
      </c>
      <c r="AY43" s="22">
        <f ca="1">IF($L43&lt;&gt;0,VLOOKUP($N43,'Allocation Factors'!$B$12:$AU$603,40,FALSE)*$L43,0)+IF($H43&lt;&gt;0,(VLOOKUP($J43,'Allocation Factors'!$B$12:$AU$603,40,FALSE)*$H43),0)</f>
        <v>0</v>
      </c>
      <c r="AZ43" s="22">
        <f ca="1">IF($L43&lt;&gt;0,VLOOKUP($N43,'Allocation Factors'!$B$12:$AU$603,41,FALSE)*$L43,0)+IF($H43&lt;&gt;0,(VLOOKUP($J43,'Allocation Factors'!$B$12:$AU$603,41,FALSE)*$H43),0)</f>
        <v>0</v>
      </c>
      <c r="BA43" s="22">
        <f ca="1">IF($L43&lt;&gt;0,VLOOKUP($N43,'Allocation Factors'!$B$12:$AU$603,42,FALSE)*$L43,0)+IF($H43&lt;&gt;0,(VLOOKUP($J43,'Allocation Factors'!$B$12:$AU$603,42,FALSE)*$H43),0)</f>
        <v>0</v>
      </c>
      <c r="BB43" s="22">
        <f ca="1">IF($L43&lt;&gt;0,VLOOKUP($N43,'Allocation Factors'!$B$12:$AU$603,43,FALSE)*$L43,0)+IF($H43&lt;&gt;0,(VLOOKUP($J43,'Allocation Factors'!$B$12:$AU$603,43,FALSE)*$H43),0)</f>
        <v>0</v>
      </c>
      <c r="BC43" s="22">
        <f ca="1">IF($L43&lt;&gt;0,VLOOKUP($N43,'Allocation Factors'!$B$12:$AU$603,44,FALSE)*$L43,0)+IF($H43&lt;&gt;0,(VLOOKUP($J43,'Allocation Factors'!$B$12:$AU$603,44,FALSE)*$H43),0)</f>
        <v>0</v>
      </c>
      <c r="BD43" s="22">
        <f ca="1">IF($L43&lt;&gt;0,VLOOKUP($N43,'Allocation Factors'!$B$12:$AU$603,45,FALSE)*$L43,0)+IF($H43&lt;&gt;0,(VLOOKUP($J43,'Allocation Factors'!$B$12:$AU$603,45,FALSE)*$H43),0)</f>
        <v>0</v>
      </c>
      <c r="BE43" s="22">
        <f ca="1">IF($L43&lt;&gt;0,VLOOKUP($N43,'Allocation Factors'!$B$12:$AU$603,46,FALSE)*$L43,0)+IF($H43&lt;&gt;0,(VLOOKUP($J43,'Allocation Factors'!$B$12:$AU$603,46,FALSE)*$H43),0)</f>
        <v>0</v>
      </c>
      <c r="BF43" s="9"/>
    </row>
    <row r="44" spans="1:58" x14ac:dyDescent="0.25">
      <c r="A44" s="2">
        <f t="shared" si="10"/>
        <v>27</v>
      </c>
      <c r="B44" s="73" t="s">
        <v>125</v>
      </c>
      <c r="D44" s="22">
        <f ca="1">'Total ALLOCATION'!D44-'Gas Cost ALLOCATION'!D44</f>
        <v>568306.25453006662</v>
      </c>
      <c r="E44" s="22"/>
      <c r="F44" s="22">
        <f ca="1">'Total ALLOCATION'!F44-'Gas Cost ALLOCATION'!F44</f>
        <v>567353.16469575744</v>
      </c>
      <c r="G44" s="22"/>
      <c r="H44" s="22"/>
      <c r="I44" s="22"/>
      <c r="J44" s="213"/>
      <c r="K44" s="22"/>
      <c r="L44" s="22">
        <f t="shared" ca="1" si="9"/>
        <v>567353.16469575744</v>
      </c>
      <c r="N44" s="28" t="str">
        <f>'Total ALLOCATION'!N44</f>
        <v>TOTAL_CUSTOMERS</v>
      </c>
      <c r="P44" s="22">
        <f ca="1">IF($L44&lt;&gt;0,VLOOKUP($N44,'Allocation Factors'!$B$12:$AU$603,5,FALSE)*$L44,0)+IF($H44&lt;&gt;0,(VLOOKUP($J44,'Allocation Factors'!$B$12:$AU$603,5,FALSE)*$H44),0)</f>
        <v>312831.56929597072</v>
      </c>
      <c r="Q44" s="22">
        <f ca="1">IF($L44&lt;&gt;0,VLOOKUP($N44,'Allocation Factors'!$B$12:$AU$603,6,FALSE)*$L44,0)+IF($H44&lt;&gt;0,(VLOOKUP($J44,'Allocation Factors'!$B$12:$AU$603,6,FALSE)*$H44),0)</f>
        <v>25049.980892270487</v>
      </c>
      <c r="R44" s="22">
        <f ca="1">IF($L44&lt;&gt;0,VLOOKUP($N44,'Allocation Factors'!$B$12:$AU$603,7,FALSE)*$L44,0)+IF($H44&lt;&gt;0,(VLOOKUP($J44,'Allocation Factors'!$B$12:$AU$603,7,FALSE)*$H44),0)</f>
        <v>0</v>
      </c>
      <c r="S44" s="22">
        <f ca="1">IF($L44&lt;&gt;0,VLOOKUP($N44,'Allocation Factors'!$B$12:$AU$603,8,FALSE)*$L44,0)+IF($H44&lt;&gt;0,(VLOOKUP($J44,'Allocation Factors'!$B$12:$AU$603,8,FALSE)*$H44),0)</f>
        <v>2.029009393843078</v>
      </c>
      <c r="T44" s="22">
        <f ca="1">IF($L44&lt;&gt;0,VLOOKUP($N44,'Allocation Factors'!$B$12:$AU$603,9,FALSE)*$L44,0)+IF($H44&lt;&gt;0,(VLOOKUP($J44,'Allocation Factors'!$B$12:$AU$603,9,FALSE)*$H44),0)</f>
        <v>60.290564845622889</v>
      </c>
      <c r="U44" s="22">
        <f ca="1">IF($L44&lt;&gt;0,VLOOKUP($N44,'Allocation Factors'!$B$12:$AU$603,10,FALSE)*$L44,0)+IF($H44&lt;&gt;0,(VLOOKUP($J44,'Allocation Factors'!$B$12:$AU$603,10,FALSE)*$H44),0)</f>
        <v>3.1884433331819793</v>
      </c>
      <c r="V44" s="22">
        <f ca="1">IF($L44&lt;&gt;0,VLOOKUP($N44,'Allocation Factors'!$B$12:$AU$603,11,FALSE)*$L44,0)+IF($H44&lt;&gt;0,(VLOOKUP($J44,'Allocation Factors'!$B$12:$AU$603,11,FALSE)*$H44),0)</f>
        <v>0.57971696966945085</v>
      </c>
      <c r="W44" s="22">
        <f ca="1">IF($L44&lt;&gt;0,VLOOKUP($N44,'Allocation Factors'!$B$12:$AU$603,12,FALSE)*$L44,0)+IF($H44&lt;&gt;0,(VLOOKUP($J44,'Allocation Factors'!$B$12:$AU$603,12,FALSE)*$H44),0)</f>
        <v>5.9420989391118715</v>
      </c>
      <c r="X44" s="22">
        <f ca="1">IF($L44&lt;&gt;0,VLOOKUP($N44,'Allocation Factors'!$B$12:$AU$603,13,FALSE)*$L44,0)+IF($H44&lt;&gt;0,(VLOOKUP($J44,'Allocation Factors'!$B$12:$AU$603,13,FALSE)*$H44),0)</f>
        <v>0.72464621208681357</v>
      </c>
      <c r="Y44" s="22">
        <f ca="1">IF($L44&lt;&gt;0,VLOOKUP($N44,'Allocation Factors'!$B$12:$AU$603,14,FALSE)*$L44,0)+IF($H44&lt;&gt;0,(VLOOKUP($J44,'Allocation Factors'!$B$12:$AU$603,14,FALSE)*$H44),0)</f>
        <v>1.5942216665909896</v>
      </c>
      <c r="Z44" s="22">
        <f ca="1">IF($L44&lt;&gt;0,VLOOKUP($N44,'Allocation Factors'!$B$12:$AU$603,15,FALSE)*$L44,0)+IF($H44&lt;&gt;0,(VLOOKUP($J44,'Allocation Factors'!$B$12:$AU$603,15,FALSE)*$H44),0)</f>
        <v>0.14492924241736271</v>
      </c>
      <c r="AA44" s="22">
        <f ca="1">IF($L44&lt;&gt;0,VLOOKUP($N44,'Allocation Factors'!$B$12:$AU$603,16,FALSE)*$L44,0)+IF($H44&lt;&gt;0,(VLOOKUP($J44,'Allocation Factors'!$B$12:$AU$603,16,FALSE)*$H44),0)</f>
        <v>0</v>
      </c>
      <c r="AB44" s="22">
        <f ca="1">IF($L44&lt;&gt;0,VLOOKUP($N44,'Allocation Factors'!$B$12:$AU$603,17,FALSE)*$L44,0)+IF($H44&lt;&gt;0,(VLOOKUP($J44,'Allocation Factors'!$B$12:$AU$603,17,FALSE)*$H44),0)</f>
        <v>0</v>
      </c>
      <c r="AC44" s="22">
        <f ca="1">IF($L44&lt;&gt;0,VLOOKUP($N44,'Allocation Factors'!$B$12:$AU$603,18,FALSE)*$L44,0)+IF($H44&lt;&gt;0,(VLOOKUP($J44,'Allocation Factors'!$B$12:$AU$603,18,FALSE)*$H44),0)</f>
        <v>53503.335184227908</v>
      </c>
      <c r="AD44" s="22">
        <f ca="1">IF($L44&lt;&gt;0,VLOOKUP($N44,'Allocation Factors'!$B$12:$AU$603,19,FALSE)*$L44,0)+IF($H44&lt;&gt;0,(VLOOKUP($J44,'Allocation Factors'!$B$12:$AU$603,19,FALSE)*$H44),0)</f>
        <v>319.42405028786737</v>
      </c>
      <c r="AE44" s="22">
        <f ca="1">IF($L44&lt;&gt;0,VLOOKUP($N44,'Allocation Factors'!$B$12:$AU$603,20,FALSE)*$L44,0)+IF($H44&lt;&gt;0,(VLOOKUP($J44,'Allocation Factors'!$B$12:$AU$603,20,FALSE)*$H44),0)</f>
        <v>8.9856130298764878</v>
      </c>
      <c r="AF44" s="22">
        <f ca="1">IF($L44&lt;&gt;0,VLOOKUP($N44,'Allocation Factors'!$B$12:$AU$603,21,FALSE)*$L44,0)+IF($H44&lt;&gt;0,(VLOOKUP($J44,'Allocation Factors'!$B$12:$AU$603,21,FALSE)*$H44),0)</f>
        <v>0.57971696966945085</v>
      </c>
      <c r="AG44" s="22">
        <f ca="1">IF($L44&lt;&gt;0,VLOOKUP($N44,'Allocation Factors'!$B$12:$AU$603,22,FALSE)*$L44,0)+IF($H44&lt;&gt;0,(VLOOKUP($J44,'Allocation Factors'!$B$12:$AU$603,22,FALSE)*$H44),0)</f>
        <v>1.7391509090083526</v>
      </c>
      <c r="AH44" s="22">
        <f ca="1">IF($L44&lt;&gt;0,VLOOKUP($N44,'Allocation Factors'!$B$12:$AU$603,23,FALSE)*$L44,0)+IF($H44&lt;&gt;0,(VLOOKUP($J44,'Allocation Factors'!$B$12:$AU$603,23,FALSE)*$H44),0)</f>
        <v>174333.47746882043</v>
      </c>
      <c r="AI44" s="22">
        <f ca="1">IF($L44&lt;&gt;0,VLOOKUP($N44,'Allocation Factors'!$B$12:$AU$603,24,FALSE)*$L44,0)+IF($H44&lt;&gt;0,(VLOOKUP($J44,'Allocation Factors'!$B$12:$AU$603,24,FALSE)*$H44),0)</f>
        <v>1169.4340570656998</v>
      </c>
      <c r="AJ44" s="22">
        <f ca="1">IF($L44&lt;&gt;0,VLOOKUP($N44,'Allocation Factors'!$B$12:$AU$603,25,FALSE)*$L44,0)+IF($H44&lt;&gt;0,(VLOOKUP($J44,'Allocation Factors'!$B$12:$AU$603,25,FALSE)*$H44),0)</f>
        <v>32.60907954390661</v>
      </c>
      <c r="AK44" s="22">
        <f ca="1">IF($L44&lt;&gt;0,VLOOKUP($N44,'Allocation Factors'!$B$12:$AU$603,26,FALSE)*$L44,0)+IF($H44&lt;&gt;0,(VLOOKUP($J44,'Allocation Factors'!$B$12:$AU$603,26,FALSE)*$H44),0)</f>
        <v>0</v>
      </c>
      <c r="AL44" s="22">
        <f ca="1">IF($L44&lt;&gt;0,VLOOKUP($N44,'Allocation Factors'!$B$12:$AU$603,27,FALSE)*$L44,0)+IF($H44&lt;&gt;0,(VLOOKUP($J44,'Allocation Factors'!$B$12:$AU$603,27,FALSE)*$H44),0)</f>
        <v>1.014504696921539</v>
      </c>
      <c r="AM44" s="22">
        <f ca="1">IF($L44&lt;&gt;0,VLOOKUP($N44,'Allocation Factors'!$B$12:$AU$603,28,FALSE)*$L44,0)+IF($H44&lt;&gt;0,(VLOOKUP($J44,'Allocation Factors'!$B$12:$AU$603,28,FALSE)*$H44),0)</f>
        <v>4.347877272520881</v>
      </c>
      <c r="AN44" s="22">
        <f ca="1">IF($L44&lt;&gt;0,VLOOKUP($N44,'Allocation Factors'!$B$12:$AU$603,29,FALSE)*$L44,0)+IF($H44&lt;&gt;0,(VLOOKUP($J44,'Allocation Factors'!$B$12:$AU$603,29,FALSE)*$H44),0)</f>
        <v>8.260966817789674</v>
      </c>
      <c r="AO44" s="22">
        <f ca="1">IF($L44&lt;&gt;0,VLOOKUP($N44,'Allocation Factors'!$B$12:$AU$603,30,FALSE)*$L44,0)+IF($H44&lt;&gt;0,(VLOOKUP($J44,'Allocation Factors'!$B$12:$AU$603,30,FALSE)*$H44),0)</f>
        <v>0.57971696966945085</v>
      </c>
      <c r="AP44" s="22">
        <f ca="1">IF($L44&lt;&gt;0,VLOOKUP($N44,'Allocation Factors'!$B$12:$AU$603,31,FALSE)*$L44,0)+IF($H44&lt;&gt;0,(VLOOKUP($J44,'Allocation Factors'!$B$12:$AU$603,31,FALSE)*$H44),0)</f>
        <v>0.57971696966945085</v>
      </c>
      <c r="AQ44" s="22">
        <f ca="1">IF($L44&lt;&gt;0,VLOOKUP($N44,'Allocation Factors'!$B$12:$AU$603,32,FALSE)*$L44,0)+IF($H44&lt;&gt;0,(VLOOKUP($J44,'Allocation Factors'!$B$12:$AU$603,32,FALSE)*$H44),0)</f>
        <v>0</v>
      </c>
      <c r="AR44" s="22">
        <f ca="1">IF($L44&lt;&gt;0,VLOOKUP($N44,'Allocation Factors'!$B$12:$AU$603,33,FALSE)*$L44,0)+IF($H44&lt;&gt;0,(VLOOKUP($J44,'Allocation Factors'!$B$12:$AU$603,33,FALSE)*$H44),0)</f>
        <v>6.6667451511986844</v>
      </c>
      <c r="AS44" s="22">
        <f ca="1">IF($L44&lt;&gt;0,VLOOKUP($N44,'Allocation Factors'!$B$12:$AU$603,34,FALSE)*$L44,0)+IF($H44&lt;&gt;0,(VLOOKUP($J44,'Allocation Factors'!$B$12:$AU$603,34,FALSE)*$H44),0)</f>
        <v>0</v>
      </c>
      <c r="AT44" s="22">
        <f ca="1">IF($L44&lt;&gt;0,VLOOKUP($N44,'Allocation Factors'!$B$12:$AU$603,35,FALSE)*$L44,0)+IF($H44&lt;&gt;0,(VLOOKUP($J44,'Allocation Factors'!$B$12:$AU$603,35,FALSE)*$H44),0)</f>
        <v>5.9420989391118715</v>
      </c>
      <c r="AU44" s="22">
        <f ca="1">IF($L44&lt;&gt;0,VLOOKUP($N44,'Allocation Factors'!$B$12:$AU$603,36,FALSE)*$L44,0)+IF($H44&lt;&gt;0,(VLOOKUP($J44,'Allocation Factors'!$B$12:$AU$603,36,FALSE)*$H44),0)</f>
        <v>0</v>
      </c>
      <c r="AV44" s="22">
        <f ca="1">IF($L44&lt;&gt;0,VLOOKUP($N44,'Allocation Factors'!$B$12:$AU$603,37,FALSE)*$L44,0)+IF($H44&lt;&gt;0,(VLOOKUP($J44,'Allocation Factors'!$B$12:$AU$603,37,FALSE)*$H44),0)</f>
        <v>0.14492924241736271</v>
      </c>
      <c r="AW44" s="22">
        <f ca="1">IF($L44&lt;&gt;0,VLOOKUP($N44,'Allocation Factors'!$B$12:$AU$603,38,FALSE)*$L44,0)+IF($H44&lt;&gt;0,(VLOOKUP($J44,'Allocation Factors'!$B$12:$AU$603,38,FALSE)*$H44),0)</f>
        <v>0</v>
      </c>
      <c r="AX44" s="22">
        <f ca="1">IF($L44&lt;&gt;0,VLOOKUP($N44,'Allocation Factors'!$B$12:$AU$603,39,FALSE)*$L44,0)+IF($H44&lt;&gt;0,(VLOOKUP($J44,'Allocation Factors'!$B$12:$AU$603,39,FALSE)*$H44),0)</f>
        <v>0</v>
      </c>
      <c r="AY44" s="22">
        <f ca="1">IF($L44&lt;&gt;0,VLOOKUP($N44,'Allocation Factors'!$B$12:$AU$603,40,FALSE)*$L44,0)+IF($H44&lt;&gt;0,(VLOOKUP($J44,'Allocation Factors'!$B$12:$AU$603,40,FALSE)*$H44),0)</f>
        <v>0</v>
      </c>
      <c r="AZ44" s="22">
        <f ca="1">IF($L44&lt;&gt;0,VLOOKUP($N44,'Allocation Factors'!$B$12:$AU$603,41,FALSE)*$L44,0)+IF($H44&lt;&gt;0,(VLOOKUP($J44,'Allocation Factors'!$B$12:$AU$603,41,FALSE)*$H44),0)</f>
        <v>0</v>
      </c>
      <c r="BA44" s="22">
        <f ca="1">IF($L44&lt;&gt;0,VLOOKUP($N44,'Allocation Factors'!$B$12:$AU$603,42,FALSE)*$L44,0)+IF($H44&lt;&gt;0,(VLOOKUP($J44,'Allocation Factors'!$B$12:$AU$603,42,FALSE)*$H44),0)</f>
        <v>0</v>
      </c>
      <c r="BB44" s="22">
        <f ca="1">IF($L44&lt;&gt;0,VLOOKUP($N44,'Allocation Factors'!$B$12:$AU$603,43,FALSE)*$L44,0)+IF($H44&lt;&gt;0,(VLOOKUP($J44,'Allocation Factors'!$B$12:$AU$603,43,FALSE)*$H44),0)</f>
        <v>0</v>
      </c>
      <c r="BC44" s="22">
        <f ca="1">IF($L44&lt;&gt;0,VLOOKUP($N44,'Allocation Factors'!$B$12:$AU$603,44,FALSE)*$L44,0)+IF($H44&lt;&gt;0,(VLOOKUP($J44,'Allocation Factors'!$B$12:$AU$603,44,FALSE)*$H44),0)</f>
        <v>0</v>
      </c>
      <c r="BD44" s="22">
        <f ca="1">IF($L44&lt;&gt;0,VLOOKUP($N44,'Allocation Factors'!$B$12:$AU$603,45,FALSE)*$L44,0)+IF($H44&lt;&gt;0,(VLOOKUP($J44,'Allocation Factors'!$B$12:$AU$603,45,FALSE)*$H44),0)</f>
        <v>0</v>
      </c>
      <c r="BE44" s="22">
        <f ca="1">IF($L44&lt;&gt;0,VLOOKUP($N44,'Allocation Factors'!$B$12:$AU$603,46,FALSE)*$L44,0)+IF($H44&lt;&gt;0,(VLOOKUP($J44,'Allocation Factors'!$B$12:$AU$603,46,FALSE)*$H44),0)</f>
        <v>0</v>
      </c>
      <c r="BF44" s="9"/>
    </row>
    <row r="45" spans="1:58" x14ac:dyDescent="0.25">
      <c r="A45" s="2">
        <f t="shared" si="10"/>
        <v>28</v>
      </c>
      <c r="B45" s="73" t="s">
        <v>126</v>
      </c>
      <c r="D45" s="22">
        <f ca="1">'Total ALLOCATION'!D45-'Gas Cost ALLOCATION'!D45</f>
        <v>301364.32281612593</v>
      </c>
      <c r="E45" s="22"/>
      <c r="F45" s="22">
        <f ca="1">'Total ALLOCATION'!F45-'Gas Cost ALLOCATION'!F45</f>
        <v>300858.91350519547</v>
      </c>
      <c r="G45" s="22"/>
      <c r="H45" s="22"/>
      <c r="I45" s="22"/>
      <c r="J45" s="213"/>
      <c r="K45" s="22"/>
      <c r="L45" s="22">
        <f t="shared" ca="1" si="9"/>
        <v>300858.91350519547</v>
      </c>
      <c r="N45" s="28" t="str">
        <f>'Total ALLOCATION'!N45</f>
        <v>METERREPLCOST</v>
      </c>
      <c r="P45" s="22">
        <f ca="1">IF($L45&lt;&gt;0,VLOOKUP($N45,'Allocation Factors'!$B$12:$AU$603,5,FALSE)*$L45,0)+IF($H45&lt;&gt;0,(VLOOKUP($J45,'Allocation Factors'!$B$12:$AU$603,5,FALSE)*$H45),0)</f>
        <v>130924.06778272106</v>
      </c>
      <c r="Q45" s="22">
        <f ca="1">IF($L45&lt;&gt;0,VLOOKUP($N45,'Allocation Factors'!$B$12:$AU$603,6,FALSE)*$L45,0)+IF($H45&lt;&gt;0,(VLOOKUP($J45,'Allocation Factors'!$B$12:$AU$603,6,FALSE)*$H45),0)</f>
        <v>46947.338078469256</v>
      </c>
      <c r="R45" s="22">
        <f ca="1">IF($L45&lt;&gt;0,VLOOKUP($N45,'Allocation Factors'!$B$12:$AU$603,7,FALSE)*$L45,0)+IF($H45&lt;&gt;0,(VLOOKUP($J45,'Allocation Factors'!$B$12:$AU$603,7,FALSE)*$H45),0)</f>
        <v>0</v>
      </c>
      <c r="S45" s="22">
        <f ca="1">IF($L45&lt;&gt;0,VLOOKUP($N45,'Allocation Factors'!$B$12:$AU$603,8,FALSE)*$L45,0)+IF($H45&lt;&gt;0,(VLOOKUP($J45,'Allocation Factors'!$B$12:$AU$603,8,FALSE)*$H45),0)</f>
        <v>84.580553141050856</v>
      </c>
      <c r="T45" s="22">
        <f ca="1">IF($L45&lt;&gt;0,VLOOKUP($N45,'Allocation Factors'!$B$12:$AU$603,9,FALSE)*$L45,0)+IF($H45&lt;&gt;0,(VLOOKUP($J45,'Allocation Factors'!$B$12:$AU$603,9,FALSE)*$H45),0)</f>
        <v>1031.1267972506823</v>
      </c>
      <c r="U45" s="22">
        <f ca="1">IF($L45&lt;&gt;0,VLOOKUP($N45,'Allocation Factors'!$B$12:$AU$603,10,FALSE)*$L45,0)+IF($H45&lt;&gt;0,(VLOOKUP($J45,'Allocation Factors'!$B$12:$AU$603,10,FALSE)*$H45),0)</f>
        <v>174.84637483034155</v>
      </c>
      <c r="V45" s="22">
        <f ca="1">IF($L45&lt;&gt;0,VLOOKUP($N45,'Allocation Factors'!$B$12:$AU$603,11,FALSE)*$L45,0)+IF($H45&lt;&gt;0,(VLOOKUP($J45,'Allocation Factors'!$B$12:$AU$603,11,FALSE)*$H45),0)</f>
        <v>45.144027525801839</v>
      </c>
      <c r="W45" s="22">
        <f ca="1">IF($L45&lt;&gt;0,VLOOKUP($N45,'Allocation Factors'!$B$12:$AU$603,12,FALSE)*$L45,0)+IF($H45&lt;&gt;0,(VLOOKUP($J45,'Allocation Factors'!$B$12:$AU$603,12,FALSE)*$H45),0)</f>
        <v>293.38729391871834</v>
      </c>
      <c r="X45" s="22">
        <f ca="1">IF($L45&lt;&gt;0,VLOOKUP($N45,'Allocation Factors'!$B$12:$AU$603,13,FALSE)*$L45,0)+IF($H45&lt;&gt;0,(VLOOKUP($J45,'Allocation Factors'!$B$12:$AU$603,13,FALSE)*$H45),0)</f>
        <v>25.977988616966861</v>
      </c>
      <c r="Y45" s="22">
        <f ca="1">IF($L45&lt;&gt;0,VLOOKUP($N45,'Allocation Factors'!$B$12:$AU$603,14,FALSE)*$L45,0)+IF($H45&lt;&gt;0,(VLOOKUP($J45,'Allocation Factors'!$B$12:$AU$603,14,FALSE)*$H45),0)</f>
        <v>115.69139435106084</v>
      </c>
      <c r="Z45" s="22">
        <f ca="1">IF($L45&lt;&gt;0,VLOOKUP($N45,'Allocation Factors'!$B$12:$AU$603,15,FALSE)*$L45,0)+IF($H45&lt;&gt;0,(VLOOKUP($J45,'Allocation Factors'!$B$12:$AU$603,15,FALSE)*$H45),0)</f>
        <v>0</v>
      </c>
      <c r="AA45" s="22">
        <f ca="1">IF($L45&lt;&gt;0,VLOOKUP($N45,'Allocation Factors'!$B$12:$AU$603,16,FALSE)*$L45,0)+IF($H45&lt;&gt;0,(VLOOKUP($J45,'Allocation Factors'!$B$12:$AU$603,16,FALSE)*$H45),0)</f>
        <v>0</v>
      </c>
      <c r="AB45" s="22">
        <f ca="1">IF($L45&lt;&gt;0,VLOOKUP($N45,'Allocation Factors'!$B$12:$AU$603,17,FALSE)*$L45,0)+IF($H45&lt;&gt;0,(VLOOKUP($J45,'Allocation Factors'!$B$12:$AU$603,17,FALSE)*$H45),0)</f>
        <v>0</v>
      </c>
      <c r="AC45" s="22">
        <f ca="1">IF($L45&lt;&gt;0,VLOOKUP($N45,'Allocation Factors'!$B$12:$AU$603,18,FALSE)*$L45,0)+IF($H45&lt;&gt;0,(VLOOKUP($J45,'Allocation Factors'!$B$12:$AU$603,18,FALSE)*$H45),0)</f>
        <v>25324.387814275986</v>
      </c>
      <c r="AD45" s="22">
        <f ca="1">IF($L45&lt;&gt;0,VLOOKUP($N45,'Allocation Factors'!$B$12:$AU$603,19,FALSE)*$L45,0)+IF($H45&lt;&gt;0,(VLOOKUP($J45,'Allocation Factors'!$B$12:$AU$603,19,FALSE)*$H45),0)</f>
        <v>1587.9708711906917</v>
      </c>
      <c r="AE45" s="22">
        <f ca="1">IF($L45&lt;&gt;0,VLOOKUP($N45,'Allocation Factors'!$B$12:$AU$603,20,FALSE)*$L45,0)+IF($H45&lt;&gt;0,(VLOOKUP($J45,'Allocation Factors'!$B$12:$AU$603,20,FALSE)*$H45),0)</f>
        <v>292.32367313375505</v>
      </c>
      <c r="AF45" s="22">
        <f ca="1">IF($L45&lt;&gt;0,VLOOKUP($N45,'Allocation Factors'!$B$12:$AU$603,21,FALSE)*$L45,0)+IF($H45&lt;&gt;0,(VLOOKUP($J45,'Allocation Factors'!$B$12:$AU$603,21,FALSE)*$H45),0)</f>
        <v>11.509994952082833</v>
      </c>
      <c r="AG45" s="22">
        <f ca="1">IF($L45&lt;&gt;0,VLOOKUP($N45,'Allocation Factors'!$B$12:$AU$603,22,FALSE)*$L45,0)+IF($H45&lt;&gt;0,(VLOOKUP($J45,'Allocation Factors'!$B$12:$AU$603,22,FALSE)*$H45),0)</f>
        <v>186.5546756830698</v>
      </c>
      <c r="AH45" s="22">
        <f ca="1">IF($L45&lt;&gt;0,VLOOKUP($N45,'Allocation Factors'!$B$12:$AU$603,23,FALSE)*$L45,0)+IF($H45&lt;&gt;0,(VLOOKUP($J45,'Allocation Factors'!$B$12:$AU$603,23,FALSE)*$H45),0)</f>
        <v>83518.12626999784</v>
      </c>
      <c r="AI45" s="22">
        <f ca="1">IF($L45&lt;&gt;0,VLOOKUP($N45,'Allocation Factors'!$B$12:$AU$603,24,FALSE)*$L45,0)+IF($H45&lt;&gt;0,(VLOOKUP($J45,'Allocation Factors'!$B$12:$AU$603,24,FALSE)*$H45),0)</f>
        <v>7262.5765359648858</v>
      </c>
      <c r="AJ45" s="22">
        <f ca="1">IF($L45&lt;&gt;0,VLOOKUP($N45,'Allocation Factors'!$B$12:$AU$603,25,FALSE)*$L45,0)+IF($H45&lt;&gt;0,(VLOOKUP($J45,'Allocation Factors'!$B$12:$AU$603,25,FALSE)*$H45),0)</f>
        <v>976.47867972536994</v>
      </c>
      <c r="AK45" s="22">
        <f ca="1">IF($L45&lt;&gt;0,VLOOKUP($N45,'Allocation Factors'!$B$12:$AU$603,26,FALSE)*$L45,0)+IF($H45&lt;&gt;0,(VLOOKUP($J45,'Allocation Factors'!$B$12:$AU$603,26,FALSE)*$H45),0)</f>
        <v>0</v>
      </c>
      <c r="AL45" s="22">
        <f ca="1">IF($L45&lt;&gt;0,VLOOKUP($N45,'Allocation Factors'!$B$12:$AU$603,27,FALSE)*$L45,0)+IF($H45&lt;&gt;0,(VLOOKUP($J45,'Allocation Factors'!$B$12:$AU$603,27,FALSE)*$H45),0)</f>
        <v>39.601849659857329</v>
      </c>
      <c r="AM45" s="22">
        <f ca="1">IF($L45&lt;&gt;0,VLOOKUP($N45,'Allocation Factors'!$B$12:$AU$603,28,FALSE)*$L45,0)+IF($H45&lt;&gt;0,(VLOOKUP($J45,'Allocation Factors'!$B$12:$AU$603,28,FALSE)*$H45),0)</f>
        <v>169.72221282795996</v>
      </c>
      <c r="AN45" s="22">
        <f ca="1">IF($L45&lt;&gt;0,VLOOKUP($N45,'Allocation Factors'!$B$12:$AU$603,29,FALSE)*$L45,0)+IF($H45&lt;&gt;0,(VLOOKUP($J45,'Allocation Factors'!$B$12:$AU$603,29,FALSE)*$H45),0)</f>
        <v>601.31725812119419</v>
      </c>
      <c r="AO45" s="22">
        <f ca="1">IF($L45&lt;&gt;0,VLOOKUP($N45,'Allocation Factors'!$B$12:$AU$603,30,FALSE)*$L45,0)+IF($H45&lt;&gt;0,(VLOOKUP($J45,'Allocation Factors'!$B$12:$AU$603,30,FALSE)*$H45),0)</f>
        <v>42.197702324294333</v>
      </c>
      <c r="AP45" s="22">
        <f ca="1">IF($L45&lt;&gt;0,VLOOKUP($N45,'Allocation Factors'!$B$12:$AU$603,31,FALSE)*$L45,0)+IF($H45&lt;&gt;0,(VLOOKUP($J45,'Allocation Factors'!$B$12:$AU$603,31,FALSE)*$H45),0)</f>
        <v>23.280016677381205</v>
      </c>
      <c r="AQ45" s="22">
        <f ca="1">IF($L45&lt;&gt;0,VLOOKUP($N45,'Allocation Factors'!$B$12:$AU$603,32,FALSE)*$L45,0)+IF($H45&lt;&gt;0,(VLOOKUP($J45,'Allocation Factors'!$B$12:$AU$603,32,FALSE)*$H45),0)</f>
        <v>0</v>
      </c>
      <c r="AR45" s="22">
        <f ca="1">IF($L45&lt;&gt;0,VLOOKUP($N45,'Allocation Factors'!$B$12:$AU$603,33,FALSE)*$L45,0)+IF($H45&lt;&gt;0,(VLOOKUP($J45,'Allocation Factors'!$B$12:$AU$603,33,FALSE)*$H45),0)</f>
        <v>392.27267046663599</v>
      </c>
      <c r="AS45" s="22">
        <f ca="1">IF($L45&lt;&gt;0,VLOOKUP($N45,'Allocation Factors'!$B$12:$AU$603,34,FALSE)*$L45,0)+IF($H45&lt;&gt;0,(VLOOKUP($J45,'Allocation Factors'!$B$12:$AU$603,34,FALSE)*$H45),0)</f>
        <v>0</v>
      </c>
      <c r="AT45" s="22">
        <f ca="1">IF($L45&lt;&gt;0,VLOOKUP($N45,'Allocation Factors'!$B$12:$AU$603,35,FALSE)*$L45,0)+IF($H45&lt;&gt;0,(VLOOKUP($J45,'Allocation Factors'!$B$12:$AU$603,35,FALSE)*$H45),0)</f>
        <v>765.86097560649648</v>
      </c>
      <c r="AU45" s="22">
        <f ca="1">IF($L45&lt;&gt;0,VLOOKUP($N45,'Allocation Factors'!$B$12:$AU$603,36,FALSE)*$L45,0)+IF($H45&lt;&gt;0,(VLOOKUP($J45,'Allocation Factors'!$B$12:$AU$603,36,FALSE)*$H45),0)</f>
        <v>0</v>
      </c>
      <c r="AV45" s="22">
        <f ca="1">IF($L45&lt;&gt;0,VLOOKUP($N45,'Allocation Factors'!$B$12:$AU$603,37,FALSE)*$L45,0)+IF($H45&lt;&gt;0,(VLOOKUP($J45,'Allocation Factors'!$B$12:$AU$603,37,FALSE)*$H45),0)</f>
        <v>22.572013762900919</v>
      </c>
      <c r="AW45" s="22">
        <f ca="1">IF($L45&lt;&gt;0,VLOOKUP($N45,'Allocation Factors'!$B$12:$AU$603,38,FALSE)*$L45,0)+IF($H45&lt;&gt;0,(VLOOKUP($J45,'Allocation Factors'!$B$12:$AU$603,38,FALSE)*$H45),0)</f>
        <v>0</v>
      </c>
      <c r="AX45" s="22">
        <f ca="1">IF($L45&lt;&gt;0,VLOOKUP($N45,'Allocation Factors'!$B$12:$AU$603,39,FALSE)*$L45,0)+IF($H45&lt;&gt;0,(VLOOKUP($J45,'Allocation Factors'!$B$12:$AU$603,39,FALSE)*$H45),0)</f>
        <v>0</v>
      </c>
      <c r="AY45" s="22">
        <f ca="1">IF($L45&lt;&gt;0,VLOOKUP($N45,'Allocation Factors'!$B$12:$AU$603,40,FALSE)*$L45,0)+IF($H45&lt;&gt;0,(VLOOKUP($J45,'Allocation Factors'!$B$12:$AU$603,40,FALSE)*$H45),0)</f>
        <v>0</v>
      </c>
      <c r="AZ45" s="22">
        <f ca="1">IF($L45&lt;&gt;0,VLOOKUP($N45,'Allocation Factors'!$B$12:$AU$603,41,FALSE)*$L45,0)+IF($H45&lt;&gt;0,(VLOOKUP($J45,'Allocation Factors'!$B$12:$AU$603,41,FALSE)*$H45),0)</f>
        <v>0</v>
      </c>
      <c r="BA45" s="22">
        <f ca="1">IF($L45&lt;&gt;0,VLOOKUP($N45,'Allocation Factors'!$B$12:$AU$603,42,FALSE)*$L45,0)+IF($H45&lt;&gt;0,(VLOOKUP($J45,'Allocation Factors'!$B$12:$AU$603,42,FALSE)*$H45),0)</f>
        <v>0</v>
      </c>
      <c r="BB45" s="22">
        <f ca="1">IF($L45&lt;&gt;0,VLOOKUP($N45,'Allocation Factors'!$B$12:$AU$603,43,FALSE)*$L45,0)+IF($H45&lt;&gt;0,(VLOOKUP($J45,'Allocation Factors'!$B$12:$AU$603,43,FALSE)*$H45),0)</f>
        <v>0</v>
      </c>
      <c r="BC45" s="22">
        <f ca="1">IF($L45&lt;&gt;0,VLOOKUP($N45,'Allocation Factors'!$B$12:$AU$603,44,FALSE)*$L45,0)+IF($H45&lt;&gt;0,(VLOOKUP($J45,'Allocation Factors'!$B$12:$AU$603,44,FALSE)*$H45),0)</f>
        <v>0</v>
      </c>
      <c r="BD45" s="22">
        <f ca="1">IF($L45&lt;&gt;0,VLOOKUP($N45,'Allocation Factors'!$B$12:$AU$603,45,FALSE)*$L45,0)+IF($H45&lt;&gt;0,(VLOOKUP($J45,'Allocation Factors'!$B$12:$AU$603,45,FALSE)*$H45),0)</f>
        <v>0</v>
      </c>
      <c r="BE45" s="22">
        <f ca="1">IF($L45&lt;&gt;0,VLOOKUP($N45,'Allocation Factors'!$B$12:$AU$603,46,FALSE)*$L45,0)+IF($H45&lt;&gt;0,(VLOOKUP($J45,'Allocation Factors'!$B$12:$AU$603,46,FALSE)*$H45),0)</f>
        <v>0</v>
      </c>
      <c r="BF45" s="9"/>
    </row>
    <row r="46" spans="1:58" x14ac:dyDescent="0.25">
      <c r="A46" s="2">
        <f t="shared" si="10"/>
        <v>29</v>
      </c>
      <c r="B46" s="73" t="s">
        <v>211</v>
      </c>
      <c r="D46" s="22">
        <f ca="1">'Total ALLOCATION'!D46-'Gas Cost ALLOCATION'!D46</f>
        <v>53081.38852421011</v>
      </c>
      <c r="E46" s="22"/>
      <c r="F46" s="22">
        <f ca="1">'Total ALLOCATION'!F46-'Gas Cost ALLOCATION'!F46</f>
        <v>49972.77810994997</v>
      </c>
      <c r="G46" s="22"/>
      <c r="H46" s="22"/>
      <c r="I46" s="22"/>
      <c r="J46" s="213"/>
      <c r="K46" s="22"/>
      <c r="L46" s="22">
        <f t="shared" ca="1" si="9"/>
        <v>49972.77810994997</v>
      </c>
      <c r="N46" s="28" t="str">
        <f>'Total ALLOCATION'!N46</f>
        <v>STATIONREPLCOST</v>
      </c>
      <c r="P46" s="22">
        <f ca="1">IF($L46&lt;&gt;0,VLOOKUP($N46,'Allocation Factors'!$B$12:$AU$603,5,FALSE)*$L46,0)+IF($H46&lt;&gt;0,(VLOOKUP($J46,'Allocation Factors'!$B$12:$AU$603,5,FALSE)*$H46),0)</f>
        <v>0</v>
      </c>
      <c r="Q46" s="22">
        <f ca="1">IF($L46&lt;&gt;0,VLOOKUP($N46,'Allocation Factors'!$B$12:$AU$603,6,FALSE)*$L46,0)+IF($H46&lt;&gt;0,(VLOOKUP($J46,'Allocation Factors'!$B$12:$AU$603,6,FALSE)*$H46),0)</f>
        <v>13838.234851764697</v>
      </c>
      <c r="R46" s="22">
        <f ca="1">IF($L46&lt;&gt;0,VLOOKUP($N46,'Allocation Factors'!$B$12:$AU$603,7,FALSE)*$L46,0)+IF($H46&lt;&gt;0,(VLOOKUP($J46,'Allocation Factors'!$B$12:$AU$603,7,FALSE)*$H46),0)</f>
        <v>0</v>
      </c>
      <c r="S46" s="22">
        <f ca="1">IF($L46&lt;&gt;0,VLOOKUP($N46,'Allocation Factors'!$B$12:$AU$603,8,FALSE)*$L46,0)+IF($H46&lt;&gt;0,(VLOOKUP($J46,'Allocation Factors'!$B$12:$AU$603,8,FALSE)*$H46),0)</f>
        <v>36.96233579527221</v>
      </c>
      <c r="T46" s="22">
        <f ca="1">IF($L46&lt;&gt;0,VLOOKUP($N46,'Allocation Factors'!$B$12:$AU$603,9,FALSE)*$L46,0)+IF($H46&lt;&gt;0,(VLOOKUP($J46,'Allocation Factors'!$B$12:$AU$603,9,FALSE)*$H46),0)</f>
        <v>1492.1277092045111</v>
      </c>
      <c r="U46" s="22">
        <f ca="1">IF($L46&lt;&gt;0,VLOOKUP($N46,'Allocation Factors'!$B$12:$AU$603,10,FALSE)*$L46,0)+IF($H46&lt;&gt;0,(VLOOKUP($J46,'Allocation Factors'!$B$12:$AU$603,10,FALSE)*$H46),0)</f>
        <v>187.89458494258042</v>
      </c>
      <c r="V46" s="22">
        <f ca="1">IF($L46&lt;&gt;0,VLOOKUP($N46,'Allocation Factors'!$B$12:$AU$603,11,FALSE)*$L46,0)+IF($H46&lt;&gt;0,(VLOOKUP($J46,'Allocation Factors'!$B$12:$AU$603,11,FALSE)*$H46),0)</f>
        <v>494.62937872229008</v>
      </c>
      <c r="W46" s="22">
        <f ca="1">IF($L46&lt;&gt;0,VLOOKUP($N46,'Allocation Factors'!$B$12:$AU$603,12,FALSE)*$L46,0)+IF($H46&lt;&gt;0,(VLOOKUP($J46,'Allocation Factors'!$B$12:$AU$603,12,FALSE)*$H46),0)</f>
        <v>216.29602764458221</v>
      </c>
      <c r="X46" s="22">
        <f ca="1">IF($L46&lt;&gt;0,VLOOKUP($N46,'Allocation Factors'!$B$12:$AU$603,13,FALSE)*$L46,0)+IF($H46&lt;&gt;0,(VLOOKUP($J46,'Allocation Factors'!$B$12:$AU$603,13,FALSE)*$H46),0)</f>
        <v>144.92827834554893</v>
      </c>
      <c r="Y46" s="22">
        <f ca="1">IF($L46&lt;&gt;0,VLOOKUP($N46,'Allocation Factors'!$B$12:$AU$603,14,FALSE)*$L46,0)+IF($H46&lt;&gt;0,(VLOOKUP($J46,'Allocation Factors'!$B$12:$AU$603,14,FALSE)*$H46),0)</f>
        <v>56.964726534683074</v>
      </c>
      <c r="Z46" s="22">
        <f ca="1">IF($L46&lt;&gt;0,VLOOKUP($N46,'Allocation Factors'!$B$12:$AU$603,15,FALSE)*$L46,0)+IF($H46&lt;&gt;0,(VLOOKUP($J46,'Allocation Factors'!$B$12:$AU$603,15,FALSE)*$H46),0)</f>
        <v>0</v>
      </c>
      <c r="AA46" s="22">
        <f ca="1">IF($L46&lt;&gt;0,VLOOKUP($N46,'Allocation Factors'!$B$12:$AU$603,16,FALSE)*$L46,0)+IF($H46&lt;&gt;0,(VLOOKUP($J46,'Allocation Factors'!$B$12:$AU$603,16,FALSE)*$H46),0)</f>
        <v>0</v>
      </c>
      <c r="AB46" s="22">
        <f ca="1">IF($L46&lt;&gt;0,VLOOKUP($N46,'Allocation Factors'!$B$12:$AU$603,17,FALSE)*$L46,0)+IF($H46&lt;&gt;0,(VLOOKUP($J46,'Allocation Factors'!$B$12:$AU$603,17,FALSE)*$H46),0)</f>
        <v>0</v>
      </c>
      <c r="AC46" s="22">
        <f ca="1">IF($L46&lt;&gt;0,VLOOKUP($N46,'Allocation Factors'!$B$12:$AU$603,18,FALSE)*$L46,0)+IF($H46&lt;&gt;0,(VLOOKUP($J46,'Allocation Factors'!$B$12:$AU$603,18,FALSE)*$H46),0)</f>
        <v>1602.0050561060314</v>
      </c>
      <c r="AD46" s="22">
        <f ca="1">IF($L46&lt;&gt;0,VLOOKUP($N46,'Allocation Factors'!$B$12:$AU$603,19,FALSE)*$L46,0)+IF($H46&lt;&gt;0,(VLOOKUP($J46,'Allocation Factors'!$B$12:$AU$603,19,FALSE)*$H46),0)</f>
        <v>2282.2313766246079</v>
      </c>
      <c r="AE46" s="22">
        <f ca="1">IF($L46&lt;&gt;0,VLOOKUP($N46,'Allocation Factors'!$B$12:$AU$603,20,FALSE)*$L46,0)+IF($H46&lt;&gt;0,(VLOOKUP($J46,'Allocation Factors'!$B$12:$AU$603,20,FALSE)*$H46),0)</f>
        <v>710.51047972830429</v>
      </c>
      <c r="AF46" s="22">
        <f ca="1">IF($L46&lt;&gt;0,VLOOKUP($N46,'Allocation Factors'!$B$12:$AU$603,21,FALSE)*$L46,0)+IF($H46&lt;&gt;0,(VLOOKUP($J46,'Allocation Factors'!$B$12:$AU$603,21,FALSE)*$H46),0)</f>
        <v>9.350613711497072</v>
      </c>
      <c r="AG46" s="22">
        <f ca="1">IF($L46&lt;&gt;0,VLOOKUP($N46,'Allocation Factors'!$B$12:$AU$603,22,FALSE)*$L46,0)+IF($H46&lt;&gt;0,(VLOOKUP($J46,'Allocation Factors'!$B$12:$AU$603,22,FALSE)*$H46),0)</f>
        <v>261.94454186657333</v>
      </c>
      <c r="AH46" s="22">
        <f ca="1">IF($L46&lt;&gt;0,VLOOKUP($N46,'Allocation Factors'!$B$12:$AU$603,23,FALSE)*$L46,0)+IF($H46&lt;&gt;0,(VLOOKUP($J46,'Allocation Factors'!$B$12:$AU$603,23,FALSE)*$H46),0)</f>
        <v>9199.5320529043238</v>
      </c>
      <c r="AI46" s="22">
        <f ca="1">IF($L46&lt;&gt;0,VLOOKUP($N46,'Allocation Factors'!$B$12:$AU$603,24,FALSE)*$L46,0)+IF($H46&lt;&gt;0,(VLOOKUP($J46,'Allocation Factors'!$B$12:$AU$603,24,FALSE)*$H46),0)</f>
        <v>11731.673881466455</v>
      </c>
      <c r="AJ46" s="22">
        <f ca="1">IF($L46&lt;&gt;0,VLOOKUP($N46,'Allocation Factors'!$B$12:$AU$603,25,FALSE)*$L46,0)+IF($H46&lt;&gt;0,(VLOOKUP($J46,'Allocation Factors'!$B$12:$AU$603,25,FALSE)*$H46),0)</f>
        <v>754.91871429546768</v>
      </c>
      <c r="AK46" s="22">
        <f ca="1">IF($L46&lt;&gt;0,VLOOKUP($N46,'Allocation Factors'!$B$12:$AU$603,26,FALSE)*$L46,0)+IF($H46&lt;&gt;0,(VLOOKUP($J46,'Allocation Factors'!$B$12:$AU$603,26,FALSE)*$H46),0)</f>
        <v>0</v>
      </c>
      <c r="AL46" s="22">
        <f ca="1">IF($L46&lt;&gt;0,VLOOKUP($N46,'Allocation Factors'!$B$12:$AU$603,27,FALSE)*$L46,0)+IF($H46&lt;&gt;0,(VLOOKUP($J46,'Allocation Factors'!$B$12:$AU$603,27,FALSE)*$H46),0)</f>
        <v>37.855534192226365</v>
      </c>
      <c r="AM46" s="22">
        <f ca="1">IF($L46&lt;&gt;0,VLOOKUP($N46,'Allocation Factors'!$B$12:$AU$603,28,FALSE)*$L46,0)+IF($H46&lt;&gt;0,(VLOOKUP($J46,'Allocation Factors'!$B$12:$AU$603,28,FALSE)*$H46),0)</f>
        <v>162.23800368097011</v>
      </c>
      <c r="AN46" s="22">
        <f ca="1">IF($L46&lt;&gt;0,VLOOKUP($N46,'Allocation Factors'!$B$12:$AU$603,29,FALSE)*$L46,0)+IF($H46&lt;&gt;0,(VLOOKUP($J46,'Allocation Factors'!$B$12:$AU$603,29,FALSE)*$H46),0)</f>
        <v>1844.9744590058165</v>
      </c>
      <c r="AO46" s="22">
        <f ca="1">IF($L46&lt;&gt;0,VLOOKUP($N46,'Allocation Factors'!$B$12:$AU$603,30,FALSE)*$L46,0)+IF($H46&lt;&gt;0,(VLOOKUP($J46,'Allocation Factors'!$B$12:$AU$603,30,FALSE)*$H46),0)</f>
        <v>129.47189186005727</v>
      </c>
      <c r="AP46" s="22">
        <f ca="1">IF($L46&lt;&gt;0,VLOOKUP($N46,'Allocation Factors'!$B$12:$AU$603,31,FALSE)*$L46,0)+IF($H46&lt;&gt;0,(VLOOKUP($J46,'Allocation Factors'!$B$12:$AU$603,31,FALSE)*$H46),0)</f>
        <v>73.159961220532239</v>
      </c>
      <c r="AQ46" s="22">
        <f ca="1">IF($L46&lt;&gt;0,VLOOKUP($N46,'Allocation Factors'!$B$12:$AU$603,32,FALSE)*$L46,0)+IF($H46&lt;&gt;0,(VLOOKUP($J46,'Allocation Factors'!$B$12:$AU$603,32,FALSE)*$H46),0)</f>
        <v>0</v>
      </c>
      <c r="AR46" s="22">
        <f ca="1">IF($L46&lt;&gt;0,VLOOKUP($N46,'Allocation Factors'!$B$12:$AU$603,33,FALSE)*$L46,0)+IF($H46&lt;&gt;0,(VLOOKUP($J46,'Allocation Factors'!$B$12:$AU$603,33,FALSE)*$H46),0)</f>
        <v>514.04926815268379</v>
      </c>
      <c r="AS46" s="22">
        <f ca="1">IF($L46&lt;&gt;0,VLOOKUP($N46,'Allocation Factors'!$B$12:$AU$603,34,FALSE)*$L46,0)+IF($H46&lt;&gt;0,(VLOOKUP($J46,'Allocation Factors'!$B$12:$AU$603,34,FALSE)*$H46),0)</f>
        <v>0</v>
      </c>
      <c r="AT46" s="22">
        <f ca="1">IF($L46&lt;&gt;0,VLOOKUP($N46,'Allocation Factors'!$B$12:$AU$603,35,FALSE)*$L46,0)+IF($H46&lt;&gt;0,(VLOOKUP($J46,'Allocation Factors'!$B$12:$AU$603,35,FALSE)*$H46),0)</f>
        <v>3858.3878995122441</v>
      </c>
      <c r="AU46" s="22">
        <f ca="1">IF($L46&lt;&gt;0,VLOOKUP($N46,'Allocation Factors'!$B$12:$AU$603,36,FALSE)*$L46,0)+IF($H46&lt;&gt;0,(VLOOKUP($J46,'Allocation Factors'!$B$12:$AU$603,36,FALSE)*$H46),0)</f>
        <v>0</v>
      </c>
      <c r="AV46" s="22">
        <f ca="1">IF($L46&lt;&gt;0,VLOOKUP($N46,'Allocation Factors'!$B$12:$AU$603,37,FALSE)*$L46,0)+IF($H46&lt;&gt;0,(VLOOKUP($J46,'Allocation Factors'!$B$12:$AU$603,37,FALSE)*$H46),0)</f>
        <v>332.43648266801813</v>
      </c>
      <c r="AW46" s="22">
        <f ca="1">IF($L46&lt;&gt;0,VLOOKUP($N46,'Allocation Factors'!$B$12:$AU$603,38,FALSE)*$L46,0)+IF($H46&lt;&gt;0,(VLOOKUP($J46,'Allocation Factors'!$B$12:$AU$603,38,FALSE)*$H46),0)</f>
        <v>0</v>
      </c>
      <c r="AX46" s="22">
        <f ca="1">IF($L46&lt;&gt;0,VLOOKUP($N46,'Allocation Factors'!$B$12:$AU$603,39,FALSE)*$L46,0)+IF($H46&lt;&gt;0,(VLOOKUP($J46,'Allocation Factors'!$B$12:$AU$603,39,FALSE)*$H46),0)</f>
        <v>0</v>
      </c>
      <c r="AY46" s="22">
        <f ca="1">IF($L46&lt;&gt;0,VLOOKUP($N46,'Allocation Factors'!$B$12:$AU$603,40,FALSE)*$L46,0)+IF($H46&lt;&gt;0,(VLOOKUP($J46,'Allocation Factors'!$B$12:$AU$603,40,FALSE)*$H46),0)</f>
        <v>0</v>
      </c>
      <c r="AZ46" s="22">
        <f ca="1">IF($L46&lt;&gt;0,VLOOKUP($N46,'Allocation Factors'!$B$12:$AU$603,41,FALSE)*$L46,0)+IF($H46&lt;&gt;0,(VLOOKUP($J46,'Allocation Factors'!$B$12:$AU$603,41,FALSE)*$H46),0)</f>
        <v>0</v>
      </c>
      <c r="BA46" s="22">
        <f ca="1">IF($L46&lt;&gt;0,VLOOKUP($N46,'Allocation Factors'!$B$12:$AU$603,42,FALSE)*$L46,0)+IF($H46&lt;&gt;0,(VLOOKUP($J46,'Allocation Factors'!$B$12:$AU$603,42,FALSE)*$H46),0)</f>
        <v>0</v>
      </c>
      <c r="BB46" s="22">
        <f ca="1">IF($L46&lt;&gt;0,VLOOKUP($N46,'Allocation Factors'!$B$12:$AU$603,43,FALSE)*$L46,0)+IF($H46&lt;&gt;0,(VLOOKUP($J46,'Allocation Factors'!$B$12:$AU$603,43,FALSE)*$H46),0)</f>
        <v>0</v>
      </c>
      <c r="BC46" s="22">
        <f ca="1">IF($L46&lt;&gt;0,VLOOKUP($N46,'Allocation Factors'!$B$12:$AU$603,44,FALSE)*$L46,0)+IF($H46&lt;&gt;0,(VLOOKUP($J46,'Allocation Factors'!$B$12:$AU$603,44,FALSE)*$H46),0)</f>
        <v>0</v>
      </c>
      <c r="BD46" s="22">
        <f ca="1">IF($L46&lt;&gt;0,VLOOKUP($N46,'Allocation Factors'!$B$12:$AU$603,45,FALSE)*$L46,0)+IF($H46&lt;&gt;0,(VLOOKUP($J46,'Allocation Factors'!$B$12:$AU$603,45,FALSE)*$H46),0)</f>
        <v>0</v>
      </c>
      <c r="BE46" s="22">
        <f ca="1">IF($L46&lt;&gt;0,VLOOKUP($N46,'Allocation Factors'!$B$12:$AU$603,46,FALSE)*$L46,0)+IF($H46&lt;&gt;0,(VLOOKUP($J46,'Allocation Factors'!$B$12:$AU$603,46,FALSE)*$H46),0)</f>
        <v>0</v>
      </c>
      <c r="BF46" s="9"/>
    </row>
    <row r="47" spans="1:58" x14ac:dyDescent="0.25">
      <c r="B47" s="73" t="s">
        <v>189</v>
      </c>
      <c r="D47" s="22"/>
      <c r="E47" s="22"/>
      <c r="F47" s="22"/>
      <c r="G47" s="22"/>
      <c r="H47" s="22"/>
      <c r="I47" s="22"/>
      <c r="J47" s="213"/>
      <c r="K47" s="22"/>
      <c r="L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</row>
    <row r="48" spans="1:58" x14ac:dyDescent="0.25">
      <c r="A48" s="2">
        <f>A46+1</f>
        <v>30</v>
      </c>
      <c r="B48" s="206" t="s">
        <v>201</v>
      </c>
      <c r="D48" s="22">
        <f ca="1">'Total ALLOCATION'!D48-'Gas Cost ALLOCATION'!D48</f>
        <v>12503.901685000221</v>
      </c>
      <c r="E48" s="22"/>
      <c r="F48" s="22">
        <f ca="1">'Total ALLOCATION'!F48-'Gas Cost ALLOCATION'!F48</f>
        <v>12503.901685000221</v>
      </c>
      <c r="G48" s="22"/>
      <c r="H48" s="22"/>
      <c r="I48" s="22"/>
      <c r="J48" s="213"/>
      <c r="K48" s="22"/>
      <c r="L48" s="22">
        <f t="shared" ref="L48:L49" ca="1" si="11">F48-H48</f>
        <v>12503.901685000221</v>
      </c>
      <c r="N48" s="28" t="str">
        <f>'Total ALLOCATION'!N48</f>
        <v>BAD_DEBT</v>
      </c>
      <c r="P48" s="22">
        <f ca="1">IF($L48&lt;&gt;0,VLOOKUP($N48,'Allocation Factors'!$B$12:$AU$603,5,FALSE)*$L48,0)+IF($H48&lt;&gt;0,(VLOOKUP($J48,'Allocation Factors'!$B$12:$AU$603,5,FALSE)*$H48),0)</f>
        <v>6194.9606794236561</v>
      </c>
      <c r="Q48" s="22">
        <f ca="1">IF($L48&lt;&gt;0,VLOOKUP($N48,'Allocation Factors'!$B$12:$AU$603,6,FALSE)*$L48,0)+IF($H48&lt;&gt;0,(VLOOKUP($J48,'Allocation Factors'!$B$12:$AU$603,6,FALSE)*$H48),0)</f>
        <v>496.06133740648784</v>
      </c>
      <c r="R48" s="22">
        <f ca="1">IF($L48&lt;&gt;0,VLOOKUP($N48,'Allocation Factors'!$B$12:$AU$603,7,FALSE)*$L48,0)+IF($H48&lt;&gt;0,(VLOOKUP($J48,'Allocation Factors'!$B$12:$AU$603,7,FALSE)*$H48),0)</f>
        <v>0</v>
      </c>
      <c r="S48" s="22">
        <f ca="1">IF($L48&lt;&gt;0,VLOOKUP($N48,'Allocation Factors'!$B$12:$AU$603,8,FALSE)*$L48,0)+IF($H48&lt;&gt;0,(VLOOKUP($J48,'Allocation Factors'!$B$12:$AU$603,8,FALSE)*$H48),0)</f>
        <v>17.678299791451089</v>
      </c>
      <c r="T48" s="22">
        <f ca="1">IF($L48&lt;&gt;0,VLOOKUP($N48,'Allocation Factors'!$B$12:$AU$603,9,FALSE)*$L48,0)+IF($H48&lt;&gt;0,(VLOOKUP($J48,'Allocation Factors'!$B$12:$AU$603,9,FALSE)*$H48),0)</f>
        <v>525.29805094597521</v>
      </c>
      <c r="U48" s="22">
        <f ca="1">IF($L48&lt;&gt;0,VLOOKUP($N48,'Allocation Factors'!$B$12:$AU$603,10,FALSE)*$L48,0)+IF($H48&lt;&gt;0,(VLOOKUP($J48,'Allocation Factors'!$B$12:$AU$603,10,FALSE)*$H48),0)</f>
        <v>27.780185386565996</v>
      </c>
      <c r="V48" s="22">
        <f ca="1">IF($L48&lt;&gt;0,VLOOKUP($N48,'Allocation Factors'!$B$12:$AU$603,11,FALSE)*$L48,0)+IF($H48&lt;&gt;0,(VLOOKUP($J48,'Allocation Factors'!$B$12:$AU$603,11,FALSE)*$H48),0)</f>
        <v>5.0509427975574548</v>
      </c>
      <c r="W48" s="22">
        <f ca="1">IF($L48&lt;&gt;0,VLOOKUP($N48,'Allocation Factors'!$B$12:$AU$603,12,FALSE)*$L48,0)+IF($H48&lt;&gt;0,(VLOOKUP($J48,'Allocation Factors'!$B$12:$AU$603,12,FALSE)*$H48),0)</f>
        <v>51.772163674963906</v>
      </c>
      <c r="X48" s="22">
        <f ca="1">IF($L48&lt;&gt;0,VLOOKUP($N48,'Allocation Factors'!$B$12:$AU$603,13,FALSE)*$L48,0)+IF($H48&lt;&gt;0,(VLOOKUP($J48,'Allocation Factors'!$B$12:$AU$603,13,FALSE)*$H48),0)</f>
        <v>6.3136784969468183</v>
      </c>
      <c r="Y48" s="22">
        <f ca="1">IF($L48&lt;&gt;0,VLOOKUP($N48,'Allocation Factors'!$B$12:$AU$603,14,FALSE)*$L48,0)+IF($H48&lt;&gt;0,(VLOOKUP($J48,'Allocation Factors'!$B$12:$AU$603,14,FALSE)*$H48),0)</f>
        <v>13.890092693282998</v>
      </c>
      <c r="Z48" s="22">
        <f ca="1">IF($L48&lt;&gt;0,VLOOKUP($N48,'Allocation Factors'!$B$12:$AU$603,15,FALSE)*$L48,0)+IF($H48&lt;&gt;0,(VLOOKUP($J48,'Allocation Factors'!$B$12:$AU$603,15,FALSE)*$H48),0)</f>
        <v>1.2627356993893637</v>
      </c>
      <c r="AA48" s="22">
        <f ca="1">IF($L48&lt;&gt;0,VLOOKUP($N48,'Allocation Factors'!$B$12:$AU$603,16,FALSE)*$L48,0)+IF($H48&lt;&gt;0,(VLOOKUP($J48,'Allocation Factors'!$B$12:$AU$603,16,FALSE)*$H48),0)</f>
        <v>0</v>
      </c>
      <c r="AB48" s="22">
        <f ca="1">IF($L48&lt;&gt;0,VLOOKUP($N48,'Allocation Factors'!$B$12:$AU$603,17,FALSE)*$L48,0)+IF($H48&lt;&gt;0,(VLOOKUP($J48,'Allocation Factors'!$B$12:$AU$603,17,FALSE)*$H48),0)</f>
        <v>0</v>
      </c>
      <c r="AC48" s="22">
        <f ca="1">IF($L48&lt;&gt;0,VLOOKUP($N48,'Allocation Factors'!$B$12:$AU$603,18,FALSE)*$L48,0)+IF($H48&lt;&gt;0,(VLOOKUP($J48,'Allocation Factors'!$B$12:$AU$603,18,FALSE)*$H48),0)</f>
        <v>1059.5192116647584</v>
      </c>
      <c r="AD48" s="22">
        <f ca="1">IF($L48&lt;&gt;0,VLOOKUP($N48,'Allocation Factors'!$B$12:$AU$603,19,FALSE)*$L48,0)+IF($H48&lt;&gt;0,(VLOOKUP($J48,'Allocation Factors'!$B$12:$AU$603,19,FALSE)*$H48),0)</f>
        <v>6.3255106767163172</v>
      </c>
      <c r="AE48" s="22">
        <f ca="1">IF($L48&lt;&gt;0,VLOOKUP($N48,'Allocation Factors'!$B$12:$AU$603,20,FALSE)*$L48,0)+IF($H48&lt;&gt;0,(VLOOKUP($J48,'Allocation Factors'!$B$12:$AU$603,20,FALSE)*$H48),0)</f>
        <v>78.289613362140543</v>
      </c>
      <c r="AF48" s="22">
        <f ca="1">IF($L48&lt;&gt;0,VLOOKUP($N48,'Allocation Factors'!$B$12:$AU$603,21,FALSE)*$L48,0)+IF($H48&lt;&gt;0,(VLOOKUP($J48,'Allocation Factors'!$B$12:$AU$603,21,FALSE)*$H48),0)</f>
        <v>5.0509427975574548</v>
      </c>
      <c r="AG48" s="22">
        <f ca="1">IF($L48&lt;&gt;0,VLOOKUP($N48,'Allocation Factors'!$B$12:$AU$603,22,FALSE)*$L48,0)+IF($H48&lt;&gt;0,(VLOOKUP($J48,'Allocation Factors'!$B$12:$AU$603,22,FALSE)*$H48),0)</f>
        <v>15.152828392672363</v>
      </c>
      <c r="AH48" s="22">
        <f ca="1">IF($L48&lt;&gt;0,VLOOKUP($N48,'Allocation Factors'!$B$12:$AU$603,23,FALSE)*$L48,0)+IF($H48&lt;&gt;0,(VLOOKUP($J48,'Allocation Factors'!$B$12:$AU$603,23,FALSE)*$H48),0)</f>
        <v>3452.3019542338839</v>
      </c>
      <c r="AI48" s="22">
        <f ca="1">IF($L48&lt;&gt;0,VLOOKUP($N48,'Allocation Factors'!$B$12:$AU$603,24,FALSE)*$L48,0)+IF($H48&lt;&gt;0,(VLOOKUP($J48,'Allocation Factors'!$B$12:$AU$603,24,FALSE)*$H48),0)</f>
        <v>23.158142309629746</v>
      </c>
      <c r="AJ48" s="22">
        <f ca="1">IF($L48&lt;&gt;0,VLOOKUP($N48,'Allocation Factors'!$B$12:$AU$603,25,FALSE)*$L48,0)+IF($H48&lt;&gt;0,(VLOOKUP($J48,'Allocation Factors'!$B$12:$AU$603,25,FALSE)*$H48),0)</f>
        <v>284.11553236260681</v>
      </c>
      <c r="AK48" s="22">
        <f ca="1">IF($L48&lt;&gt;0,VLOOKUP($N48,'Allocation Factors'!$B$12:$AU$603,26,FALSE)*$L48,0)+IF($H48&lt;&gt;0,(VLOOKUP($J48,'Allocation Factors'!$B$12:$AU$603,26,FALSE)*$H48),0)</f>
        <v>0</v>
      </c>
      <c r="AL48" s="22">
        <f ca="1">IF($L48&lt;&gt;0,VLOOKUP($N48,'Allocation Factors'!$B$12:$AU$603,27,FALSE)*$L48,0)+IF($H48&lt;&gt;0,(VLOOKUP($J48,'Allocation Factors'!$B$12:$AU$603,27,FALSE)*$H48),0)</f>
        <v>8.8391498957255443</v>
      </c>
      <c r="AM48" s="22">
        <f ca="1">IF($L48&lt;&gt;0,VLOOKUP($N48,'Allocation Factors'!$B$12:$AU$603,28,FALSE)*$L48,0)+IF($H48&lt;&gt;0,(VLOOKUP($J48,'Allocation Factors'!$B$12:$AU$603,28,FALSE)*$H48),0)</f>
        <v>37.882070981680911</v>
      </c>
      <c r="AN48" s="22">
        <f ca="1">IF($L48&lt;&gt;0,VLOOKUP($N48,'Allocation Factors'!$B$12:$AU$603,29,FALSE)*$L48,0)+IF($H48&lt;&gt;0,(VLOOKUP($J48,'Allocation Factors'!$B$12:$AU$603,29,FALSE)*$H48),0)</f>
        <v>71.975934865193736</v>
      </c>
      <c r="AO48" s="22">
        <f ca="1">IF($L48&lt;&gt;0,VLOOKUP($N48,'Allocation Factors'!$B$12:$AU$603,30,FALSE)*$L48,0)+IF($H48&lt;&gt;0,(VLOOKUP($J48,'Allocation Factors'!$B$12:$AU$603,30,FALSE)*$H48),0)</f>
        <v>5.0509427975574548</v>
      </c>
      <c r="AP48" s="22">
        <f ca="1">IF($L48&lt;&gt;0,VLOOKUP($N48,'Allocation Factors'!$B$12:$AU$603,31,FALSE)*$L48,0)+IF($H48&lt;&gt;0,(VLOOKUP($J48,'Allocation Factors'!$B$12:$AU$603,31,FALSE)*$H48),0)</f>
        <v>5.0509427975574548</v>
      </c>
      <c r="AQ48" s="22">
        <f ca="1">IF($L48&lt;&gt;0,VLOOKUP($N48,'Allocation Factors'!$B$12:$AU$603,32,FALSE)*$L48,0)+IF($H48&lt;&gt;0,(VLOOKUP($J48,'Allocation Factors'!$B$12:$AU$603,32,FALSE)*$H48),0)</f>
        <v>0</v>
      </c>
      <c r="AR48" s="22">
        <f ca="1">IF($L48&lt;&gt;0,VLOOKUP($N48,'Allocation Factors'!$B$12:$AU$603,33,FALSE)*$L48,0)+IF($H48&lt;&gt;0,(VLOOKUP($J48,'Allocation Factors'!$B$12:$AU$603,33,FALSE)*$H48),0)</f>
        <v>58.085842171910727</v>
      </c>
      <c r="AS48" s="22">
        <f ca="1">IF($L48&lt;&gt;0,VLOOKUP($N48,'Allocation Factors'!$B$12:$AU$603,34,FALSE)*$L48,0)+IF($H48&lt;&gt;0,(VLOOKUP($J48,'Allocation Factors'!$B$12:$AU$603,34,FALSE)*$H48),0)</f>
        <v>0</v>
      </c>
      <c r="AT48" s="22">
        <f ca="1">IF($L48&lt;&gt;0,VLOOKUP($N48,'Allocation Factors'!$B$12:$AU$603,35,FALSE)*$L48,0)+IF($H48&lt;&gt;0,(VLOOKUP($J48,'Allocation Factors'!$B$12:$AU$603,35,FALSE)*$H48),0)</f>
        <v>51.772163674963906</v>
      </c>
      <c r="AU48" s="22">
        <f ca="1">IF($L48&lt;&gt;0,VLOOKUP($N48,'Allocation Factors'!$B$12:$AU$603,36,FALSE)*$L48,0)+IF($H48&lt;&gt;0,(VLOOKUP($J48,'Allocation Factors'!$B$12:$AU$603,36,FALSE)*$H48),0)</f>
        <v>0</v>
      </c>
      <c r="AV48" s="22">
        <f ca="1">IF($L48&lt;&gt;0,VLOOKUP($N48,'Allocation Factors'!$B$12:$AU$603,37,FALSE)*$L48,0)+IF($H48&lt;&gt;0,(VLOOKUP($J48,'Allocation Factors'!$B$12:$AU$603,37,FALSE)*$H48),0)</f>
        <v>1.2627356993893637</v>
      </c>
      <c r="AW48" s="22">
        <f ca="1">IF($L48&lt;&gt;0,VLOOKUP($N48,'Allocation Factors'!$B$12:$AU$603,38,FALSE)*$L48,0)+IF($H48&lt;&gt;0,(VLOOKUP($J48,'Allocation Factors'!$B$12:$AU$603,38,FALSE)*$H48),0)</f>
        <v>0</v>
      </c>
      <c r="AX48" s="22">
        <f ca="1">IF($L48&lt;&gt;0,VLOOKUP($N48,'Allocation Factors'!$B$12:$AU$603,39,FALSE)*$L48,0)+IF($H48&lt;&gt;0,(VLOOKUP($J48,'Allocation Factors'!$B$12:$AU$603,39,FALSE)*$H48),0)</f>
        <v>0</v>
      </c>
      <c r="AY48" s="22">
        <f ca="1">IF($L48&lt;&gt;0,VLOOKUP($N48,'Allocation Factors'!$B$12:$AU$603,40,FALSE)*$L48,0)+IF($H48&lt;&gt;0,(VLOOKUP($J48,'Allocation Factors'!$B$12:$AU$603,40,FALSE)*$H48),0)</f>
        <v>0</v>
      </c>
      <c r="AZ48" s="22">
        <f ca="1">IF($L48&lt;&gt;0,VLOOKUP($N48,'Allocation Factors'!$B$12:$AU$603,41,FALSE)*$L48,0)+IF($H48&lt;&gt;0,(VLOOKUP($J48,'Allocation Factors'!$B$12:$AU$603,41,FALSE)*$H48),0)</f>
        <v>0</v>
      </c>
      <c r="BA48" s="22">
        <f ca="1">IF($L48&lt;&gt;0,VLOOKUP($N48,'Allocation Factors'!$B$12:$AU$603,42,FALSE)*$L48,0)+IF($H48&lt;&gt;0,(VLOOKUP($J48,'Allocation Factors'!$B$12:$AU$603,42,FALSE)*$H48),0)</f>
        <v>0</v>
      </c>
      <c r="BB48" s="22">
        <f ca="1">IF($L48&lt;&gt;0,VLOOKUP($N48,'Allocation Factors'!$B$12:$AU$603,43,FALSE)*$L48,0)+IF($H48&lt;&gt;0,(VLOOKUP($J48,'Allocation Factors'!$B$12:$AU$603,43,FALSE)*$H48),0)</f>
        <v>0</v>
      </c>
      <c r="BC48" s="22">
        <f ca="1">IF($L48&lt;&gt;0,VLOOKUP($N48,'Allocation Factors'!$B$12:$AU$603,44,FALSE)*$L48,0)+IF($H48&lt;&gt;0,(VLOOKUP($J48,'Allocation Factors'!$B$12:$AU$603,44,FALSE)*$H48),0)</f>
        <v>0</v>
      </c>
      <c r="BD48" s="22">
        <f ca="1">IF($L48&lt;&gt;0,VLOOKUP($N48,'Allocation Factors'!$B$12:$AU$603,45,FALSE)*$L48,0)+IF($H48&lt;&gt;0,(VLOOKUP($J48,'Allocation Factors'!$B$12:$AU$603,45,FALSE)*$H48),0)</f>
        <v>0</v>
      </c>
      <c r="BE48" s="22">
        <f ca="1">IF($L48&lt;&gt;0,VLOOKUP($N48,'Allocation Factors'!$B$12:$AU$603,46,FALSE)*$L48,0)+IF($H48&lt;&gt;0,(VLOOKUP($J48,'Allocation Factors'!$B$12:$AU$603,46,FALSE)*$H48),0)</f>
        <v>0</v>
      </c>
      <c r="BF48" s="9"/>
    </row>
    <row r="49" spans="1:58" x14ac:dyDescent="0.25">
      <c r="A49" s="2">
        <f t="shared" si="10"/>
        <v>31</v>
      </c>
      <c r="B49" s="206" t="s">
        <v>72</v>
      </c>
      <c r="D49" s="22">
        <f ca="1">'Total ALLOCATION'!D49-'Gas Cost ALLOCATION'!D49</f>
        <v>199129.41855412774</v>
      </c>
      <c r="F49" s="22">
        <f ca="1">'Total ALLOCATION'!F49-'Gas Cost ALLOCATION'!F49</f>
        <v>140214.00280860986</v>
      </c>
      <c r="H49" s="22">
        <f>'Total ALLOCATION'!H49</f>
        <v>11615.53513385792</v>
      </c>
      <c r="J49" s="28" t="s">
        <v>388</v>
      </c>
      <c r="L49" s="22">
        <f t="shared" ca="1" si="11"/>
        <v>128598.46767475194</v>
      </c>
      <c r="N49" s="28" t="str">
        <f>'Total ALLOCATION'!N49</f>
        <v>TOTAL_CUSTOMERS</v>
      </c>
      <c r="P49" s="22">
        <f ca="1">IF($L49&lt;&gt;0,VLOOKUP($N49,'Allocation Factors'!$B$12:$AU$603,5,FALSE)*$L49,0)+IF($H49&lt;&gt;0,(VLOOKUP($J49,'Allocation Factors'!$B$12:$AU$603,5,FALSE)*$H49),0)</f>
        <v>75844.102134170796</v>
      </c>
      <c r="Q49" s="22">
        <f ca="1">IF($L49&lt;&gt;0,VLOOKUP($N49,'Allocation Factors'!$B$12:$AU$603,6,FALSE)*$L49,0)+IF($H49&lt;&gt;0,(VLOOKUP($J49,'Allocation Factors'!$B$12:$AU$603,6,FALSE)*$H49),0)</f>
        <v>6073.2147766547678</v>
      </c>
      <c r="R49" s="22">
        <f ca="1">IF($L49&lt;&gt;0,VLOOKUP($N49,'Allocation Factors'!$B$12:$AU$603,7,FALSE)*$L49,0)+IF($H49&lt;&gt;0,(VLOOKUP($J49,'Allocation Factors'!$B$12:$AU$603,7,FALSE)*$H49),0)</f>
        <v>0</v>
      </c>
      <c r="S49" s="22">
        <f ca="1">IF($L49&lt;&gt;0,VLOOKUP($N49,'Allocation Factors'!$B$12:$AU$603,8,FALSE)*$L49,0)+IF($H49&lt;&gt;0,(VLOOKUP($J49,'Allocation Factors'!$B$12:$AU$603,8,FALSE)*$H49),0)</f>
        <v>37.218328698147772</v>
      </c>
      <c r="T49" s="22">
        <f ca="1">IF($L49&lt;&gt;0,VLOOKUP($N49,'Allocation Factors'!$B$12:$AU$603,9,FALSE)*$L49,0)+IF($H49&lt;&gt;0,(VLOOKUP($J49,'Allocation Factors'!$B$12:$AU$603,9,FALSE)*$H49),0)</f>
        <v>1105.9160527449626</v>
      </c>
      <c r="U49" s="22">
        <f ca="1">IF($L49&lt;&gt;0,VLOOKUP($N49,'Allocation Factors'!$B$12:$AU$603,10,FALSE)*$L49,0)+IF($H49&lt;&gt;0,(VLOOKUP($J49,'Allocation Factors'!$B$12:$AU$603,10,FALSE)*$H49),0)</f>
        <v>58.485945097089356</v>
      </c>
      <c r="V49" s="22">
        <f ca="1">IF($L49&lt;&gt;0,VLOOKUP($N49,'Allocation Factors'!$B$12:$AU$603,11,FALSE)*$L49,0)+IF($H49&lt;&gt;0,(VLOOKUP($J49,'Allocation Factors'!$B$12:$AU$603,11,FALSE)*$H49),0)</f>
        <v>10.633808199470792</v>
      </c>
      <c r="W49" s="22">
        <f ca="1">IF($L49&lt;&gt;0,VLOOKUP($N49,'Allocation Factors'!$B$12:$AU$603,12,FALSE)*$L49,0)+IF($H49&lt;&gt;0,(VLOOKUP($J49,'Allocation Factors'!$B$12:$AU$603,12,FALSE)*$H49),0)</f>
        <v>108.99653404457563</v>
      </c>
      <c r="X49" s="22">
        <f ca="1">IF($L49&lt;&gt;0,VLOOKUP($N49,'Allocation Factors'!$B$12:$AU$603,13,FALSE)*$L49,0)+IF($H49&lt;&gt;0,(VLOOKUP($J49,'Allocation Factors'!$B$12:$AU$603,13,FALSE)*$H49),0)</f>
        <v>13.292260249338494</v>
      </c>
      <c r="Y49" s="22">
        <f ca="1">IF($L49&lt;&gt;0,VLOOKUP($N49,'Allocation Factors'!$B$12:$AU$603,14,FALSE)*$L49,0)+IF($H49&lt;&gt;0,(VLOOKUP($J49,'Allocation Factors'!$B$12:$AU$603,14,FALSE)*$H49),0)</f>
        <v>29.242972548544678</v>
      </c>
      <c r="Z49" s="22">
        <f ca="1">IF($L49&lt;&gt;0,VLOOKUP($N49,'Allocation Factors'!$B$12:$AU$603,15,FALSE)*$L49,0)+IF($H49&lt;&gt;0,(VLOOKUP($J49,'Allocation Factors'!$B$12:$AU$603,15,FALSE)*$H49),0)</f>
        <v>2.658452049867698</v>
      </c>
      <c r="AA49" s="22">
        <f ca="1">IF($L49&lt;&gt;0,VLOOKUP($N49,'Allocation Factors'!$B$12:$AU$603,16,FALSE)*$L49,0)+IF($H49&lt;&gt;0,(VLOOKUP($J49,'Allocation Factors'!$B$12:$AU$603,16,FALSE)*$H49),0)</f>
        <v>0</v>
      </c>
      <c r="AB49" s="22">
        <f ca="1">IF($L49&lt;&gt;0,VLOOKUP($N49,'Allocation Factors'!$B$12:$AU$603,17,FALSE)*$L49,0)+IF($H49&lt;&gt;0,(VLOOKUP($J49,'Allocation Factors'!$B$12:$AU$603,17,FALSE)*$H49),0)</f>
        <v>0</v>
      </c>
      <c r="AC49" s="22">
        <f ca="1">IF($L49&lt;&gt;0,VLOOKUP($N49,'Allocation Factors'!$B$12:$AU$603,18,FALSE)*$L49,0)+IF($H49&lt;&gt;0,(VLOOKUP($J49,'Allocation Factors'!$B$12:$AU$603,18,FALSE)*$H49),0)</f>
        <v>12971.556634657143</v>
      </c>
      <c r="AD49" s="22">
        <f ca="1">IF($L49&lt;&gt;0,VLOOKUP($N49,'Allocation Factors'!$B$12:$AU$603,19,FALSE)*$L49,0)+IF($H49&lt;&gt;0,(VLOOKUP($J49,'Allocation Factors'!$B$12:$AU$603,19,FALSE)*$H49),0)</f>
        <v>77.442408861309133</v>
      </c>
      <c r="AE49" s="22">
        <f ca="1">IF($L49&lt;&gt;0,VLOOKUP($N49,'Allocation Factors'!$B$12:$AU$603,20,FALSE)*$L49,0)+IF($H49&lt;&gt;0,(VLOOKUP($J49,'Allocation Factors'!$B$12:$AU$603,20,FALSE)*$H49),0)</f>
        <v>164.82402709179729</v>
      </c>
      <c r="AF49" s="22">
        <f ca="1">IF($L49&lt;&gt;0,VLOOKUP($N49,'Allocation Factors'!$B$12:$AU$603,21,FALSE)*$L49,0)+IF($H49&lt;&gt;0,(VLOOKUP($J49,'Allocation Factors'!$B$12:$AU$603,21,FALSE)*$H49),0)</f>
        <v>10.633808199470792</v>
      </c>
      <c r="AG49" s="22">
        <f ca="1">IF($L49&lt;&gt;0,VLOOKUP($N49,'Allocation Factors'!$B$12:$AU$603,22,FALSE)*$L49,0)+IF($H49&lt;&gt;0,(VLOOKUP($J49,'Allocation Factors'!$B$12:$AU$603,22,FALSE)*$H49),0)</f>
        <v>31.90142459841238</v>
      </c>
      <c r="AH49" s="22">
        <f ca="1">IF($L49&lt;&gt;0,VLOOKUP($N49,'Allocation Factors'!$B$12:$AU$603,23,FALSE)*$L49,0)+IF($H49&lt;&gt;0,(VLOOKUP($J49,'Allocation Factors'!$B$12:$AU$603,23,FALSE)*$H49),0)</f>
        <v>42266.086189149457</v>
      </c>
      <c r="AI49" s="22">
        <f ca="1">IF($L49&lt;&gt;0,VLOOKUP($N49,'Allocation Factors'!$B$12:$AU$603,24,FALSE)*$L49,0)+IF($H49&lt;&gt;0,(VLOOKUP($J49,'Allocation Factors'!$B$12:$AU$603,24,FALSE)*$H49),0)</f>
        <v>283.52214024587266</v>
      </c>
      <c r="AJ49" s="22">
        <f ca="1">IF($L49&lt;&gt;0,VLOOKUP($N49,'Allocation Factors'!$B$12:$AU$603,25,FALSE)*$L49,0)+IF($H49&lt;&gt;0,(VLOOKUP($J49,'Allocation Factors'!$B$12:$AU$603,25,FALSE)*$H49),0)</f>
        <v>598.15171122023219</v>
      </c>
      <c r="AK49" s="22">
        <f ca="1">IF($L49&lt;&gt;0,VLOOKUP($N49,'Allocation Factors'!$B$12:$AU$603,26,FALSE)*$L49,0)+IF($H49&lt;&gt;0,(VLOOKUP($J49,'Allocation Factors'!$B$12:$AU$603,26,FALSE)*$H49),0)</f>
        <v>0</v>
      </c>
      <c r="AL49" s="22">
        <f ca="1">IF($L49&lt;&gt;0,VLOOKUP($N49,'Allocation Factors'!$B$12:$AU$603,27,FALSE)*$L49,0)+IF($H49&lt;&gt;0,(VLOOKUP($J49,'Allocation Factors'!$B$12:$AU$603,27,FALSE)*$H49),0)</f>
        <v>18.609164349073886</v>
      </c>
      <c r="AM49" s="22">
        <f ca="1">IF($L49&lt;&gt;0,VLOOKUP($N49,'Allocation Factors'!$B$12:$AU$603,28,FALSE)*$L49,0)+IF($H49&lt;&gt;0,(VLOOKUP($J49,'Allocation Factors'!$B$12:$AU$603,28,FALSE)*$H49),0)</f>
        <v>79.753561496030954</v>
      </c>
      <c r="AN49" s="22">
        <f ca="1">IF($L49&lt;&gt;0,VLOOKUP($N49,'Allocation Factors'!$B$12:$AU$603,29,FALSE)*$L49,0)+IF($H49&lt;&gt;0,(VLOOKUP($J49,'Allocation Factors'!$B$12:$AU$603,29,FALSE)*$H49),0)</f>
        <v>151.53176684245881</v>
      </c>
      <c r="AO49" s="22">
        <f ca="1">IF($L49&lt;&gt;0,VLOOKUP($N49,'Allocation Factors'!$B$12:$AU$603,30,FALSE)*$L49,0)+IF($H49&lt;&gt;0,(VLOOKUP($J49,'Allocation Factors'!$B$12:$AU$603,30,FALSE)*$H49),0)</f>
        <v>10.633808199470792</v>
      </c>
      <c r="AP49" s="22">
        <f ca="1">IF($L49&lt;&gt;0,VLOOKUP($N49,'Allocation Factors'!$B$12:$AU$603,31,FALSE)*$L49,0)+IF($H49&lt;&gt;0,(VLOOKUP($J49,'Allocation Factors'!$B$12:$AU$603,31,FALSE)*$H49),0)</f>
        <v>10.633808199470792</v>
      </c>
      <c r="AQ49" s="22">
        <f ca="1">IF($L49&lt;&gt;0,VLOOKUP($N49,'Allocation Factors'!$B$12:$AU$603,32,FALSE)*$L49,0)+IF($H49&lt;&gt;0,(VLOOKUP($J49,'Allocation Factors'!$B$12:$AU$603,32,FALSE)*$H49),0)</f>
        <v>0</v>
      </c>
      <c r="AR49" s="22">
        <f ca="1">IF($L49&lt;&gt;0,VLOOKUP($N49,'Allocation Factors'!$B$12:$AU$603,33,FALSE)*$L49,0)+IF($H49&lt;&gt;0,(VLOOKUP($J49,'Allocation Factors'!$B$12:$AU$603,33,FALSE)*$H49),0)</f>
        <v>122.28879429391411</v>
      </c>
      <c r="AS49" s="22">
        <f ca="1">IF($L49&lt;&gt;0,VLOOKUP($N49,'Allocation Factors'!$B$12:$AU$603,34,FALSE)*$L49,0)+IF($H49&lt;&gt;0,(VLOOKUP($J49,'Allocation Factors'!$B$12:$AU$603,34,FALSE)*$H49),0)</f>
        <v>0</v>
      </c>
      <c r="AT49" s="22">
        <f ca="1">IF($L49&lt;&gt;0,VLOOKUP($N49,'Allocation Factors'!$B$12:$AU$603,35,FALSE)*$L49,0)+IF($H49&lt;&gt;0,(VLOOKUP($J49,'Allocation Factors'!$B$12:$AU$603,35,FALSE)*$H49),0)</f>
        <v>108.99653404457563</v>
      </c>
      <c r="AU49" s="22">
        <f ca="1">IF($L49&lt;&gt;0,VLOOKUP($N49,'Allocation Factors'!$B$12:$AU$603,36,FALSE)*$L49,0)+IF($H49&lt;&gt;0,(VLOOKUP($J49,'Allocation Factors'!$B$12:$AU$603,36,FALSE)*$H49),0)</f>
        <v>0</v>
      </c>
      <c r="AV49" s="22">
        <f ca="1">IF($L49&lt;&gt;0,VLOOKUP($N49,'Allocation Factors'!$B$12:$AU$603,37,FALSE)*$L49,0)+IF($H49&lt;&gt;0,(VLOOKUP($J49,'Allocation Factors'!$B$12:$AU$603,37,FALSE)*$H49),0)</f>
        <v>2.658452049867698</v>
      </c>
      <c r="AW49" s="22">
        <f ca="1">IF($L49&lt;&gt;0,VLOOKUP($N49,'Allocation Factors'!$B$12:$AU$603,38,FALSE)*$L49,0)+IF($H49&lt;&gt;0,(VLOOKUP($J49,'Allocation Factors'!$B$12:$AU$603,38,FALSE)*$H49),0)</f>
        <v>0</v>
      </c>
      <c r="AX49" s="22">
        <f ca="1">IF($L49&lt;&gt;0,VLOOKUP($N49,'Allocation Factors'!$B$12:$AU$603,39,FALSE)*$L49,0)+IF($H49&lt;&gt;0,(VLOOKUP($J49,'Allocation Factors'!$B$12:$AU$603,39,FALSE)*$H49),0)</f>
        <v>0</v>
      </c>
      <c r="AY49" s="22">
        <f ca="1">IF($L49&lt;&gt;0,VLOOKUP($N49,'Allocation Factors'!$B$12:$AU$603,40,FALSE)*$L49,0)+IF($H49&lt;&gt;0,(VLOOKUP($J49,'Allocation Factors'!$B$12:$AU$603,40,FALSE)*$H49),0)</f>
        <v>0</v>
      </c>
      <c r="AZ49" s="22">
        <f ca="1">IF($L49&lt;&gt;0,VLOOKUP($N49,'Allocation Factors'!$B$12:$AU$603,41,FALSE)*$L49,0)+IF($H49&lt;&gt;0,(VLOOKUP($J49,'Allocation Factors'!$B$12:$AU$603,41,FALSE)*$H49),0)</f>
        <v>0</v>
      </c>
      <c r="BA49" s="22">
        <f ca="1">IF($L49&lt;&gt;0,VLOOKUP($N49,'Allocation Factors'!$B$12:$AU$603,42,FALSE)*$L49,0)+IF($H49&lt;&gt;0,(VLOOKUP($J49,'Allocation Factors'!$B$12:$AU$603,42,FALSE)*$H49),0)</f>
        <v>0</v>
      </c>
      <c r="BB49" s="22">
        <f ca="1">IF($L49&lt;&gt;0,VLOOKUP($N49,'Allocation Factors'!$B$12:$AU$603,43,FALSE)*$L49,0)+IF($H49&lt;&gt;0,(VLOOKUP($J49,'Allocation Factors'!$B$12:$AU$603,43,FALSE)*$H49),0)</f>
        <v>21.017310653740001</v>
      </c>
      <c r="BC49" s="22">
        <f ca="1">IF($L49&lt;&gt;0,VLOOKUP($N49,'Allocation Factors'!$B$12:$AU$603,44,FALSE)*$L49,0)+IF($H49&lt;&gt;0,(VLOOKUP($J49,'Allocation Factors'!$B$12:$AU$603,44,FALSE)*$H49),0)</f>
        <v>0</v>
      </c>
      <c r="BD49" s="22">
        <f ca="1">IF($L49&lt;&gt;0,VLOOKUP($N49,'Allocation Factors'!$B$12:$AU$603,45,FALSE)*$L49,0)+IF($H49&lt;&gt;0,(VLOOKUP($J49,'Allocation Factors'!$B$12:$AU$603,45,FALSE)*$H49),0)</f>
        <v>0</v>
      </c>
      <c r="BE49" s="22">
        <f ca="1">IF($L49&lt;&gt;0,VLOOKUP($N49,'Allocation Factors'!$B$12:$AU$603,46,FALSE)*$L49,0)+IF($H49&lt;&gt;0,(VLOOKUP($J49,'Allocation Factors'!$B$12:$AU$603,46,FALSE)*$H49),0)</f>
        <v>0</v>
      </c>
      <c r="BF49" s="100"/>
    </row>
    <row r="50" spans="1:58" s="99" customFormat="1" x14ac:dyDescent="0.25">
      <c r="A50" s="2">
        <f t="shared" si="10"/>
        <v>32</v>
      </c>
      <c r="B50" s="206" t="s">
        <v>199</v>
      </c>
      <c r="D50" s="22">
        <f ca="1">'Total ALLOCATION'!D50-'Gas Cost ALLOCATION'!D50</f>
        <v>11724.443938772296</v>
      </c>
      <c r="E50" s="97"/>
      <c r="F50" s="22">
        <f ca="1">'Total ALLOCATION'!F50-'Gas Cost ALLOCATION'!F50</f>
        <v>11724.443938772296</v>
      </c>
      <c r="G50" s="97"/>
      <c r="H50" s="22"/>
      <c r="I50" s="97"/>
      <c r="J50" s="28"/>
      <c r="K50" s="97"/>
      <c r="L50" s="22">
        <f t="shared" ref="L50" ca="1" si="12">F50-H50</f>
        <v>11724.443938772296</v>
      </c>
      <c r="M50" s="97"/>
      <c r="N50" s="28" t="str">
        <f>'Total ALLOCATION'!N50</f>
        <v>CUST_EXCL_GS</v>
      </c>
      <c r="O50" s="97"/>
      <c r="P50" s="22">
        <f ca="1">IF($L50&lt;&gt;0,VLOOKUP($N50,'Allocation Factors'!$B$12:$AU$603,5,FALSE)*$L50,0)+IF($H50&lt;&gt;0,(VLOOKUP($J50,'Allocation Factors'!$B$12:$AU$603,5,FALSE)*$H50),0)</f>
        <v>0</v>
      </c>
      <c r="Q50" s="22">
        <f ca="1">IF($L50&lt;&gt;0,VLOOKUP($N50,'Allocation Factors'!$B$12:$AU$603,6,FALSE)*$L50,0)+IF($H50&lt;&gt;0,(VLOOKUP($J50,'Allocation Factors'!$B$12:$AU$603,6,FALSE)*$H50),0)</f>
        <v>0</v>
      </c>
      <c r="R50" s="22">
        <f ca="1">IF($L50&lt;&gt;0,VLOOKUP($N50,'Allocation Factors'!$B$12:$AU$603,7,FALSE)*$L50,0)+IF($H50&lt;&gt;0,(VLOOKUP($J50,'Allocation Factors'!$B$12:$AU$603,7,FALSE)*$H50),0)</f>
        <v>0</v>
      </c>
      <c r="S50" s="22">
        <f ca="1">IF($L50&lt;&gt;0,VLOOKUP($N50,'Allocation Factors'!$B$12:$AU$603,8,FALSE)*$L50,0)+IF($H50&lt;&gt;0,(VLOOKUP($J50,'Allocation Factors'!$B$12:$AU$603,8,FALSE)*$H50),0)</f>
        <v>163.00120669594054</v>
      </c>
      <c r="T50" s="22">
        <f ca="1">IF($L50&lt;&gt;0,VLOOKUP($N50,'Allocation Factors'!$B$12:$AU$603,9,FALSE)*$L50,0)+IF($H50&lt;&gt;0,(VLOOKUP($J50,'Allocation Factors'!$B$12:$AU$603,9,FALSE)*$H50),0)</f>
        <v>4843.464427536519</v>
      </c>
      <c r="U50" s="22">
        <f ca="1">IF($L50&lt;&gt;0,VLOOKUP($N50,'Allocation Factors'!$B$12:$AU$603,10,FALSE)*$L50,0)+IF($H50&lt;&gt;0,(VLOOKUP($J50,'Allocation Factors'!$B$12:$AU$603,10,FALSE)*$H50),0)</f>
        <v>256.14475337933516</v>
      </c>
      <c r="V50" s="22">
        <f ca="1">IF($L50&lt;&gt;0,VLOOKUP($N50,'Allocation Factors'!$B$12:$AU$603,11,FALSE)*$L50,0)+IF($H50&lt;&gt;0,(VLOOKUP($J50,'Allocation Factors'!$B$12:$AU$603,11,FALSE)*$H50),0)</f>
        <v>46.571773341697302</v>
      </c>
      <c r="W50" s="22">
        <f ca="1">IF($L50&lt;&gt;0,VLOOKUP($N50,'Allocation Factors'!$B$12:$AU$603,12,FALSE)*$L50,0)+IF($H50&lt;&gt;0,(VLOOKUP($J50,'Allocation Factors'!$B$12:$AU$603,12,FALSE)*$H50),0)</f>
        <v>477.36067675239735</v>
      </c>
      <c r="X50" s="22">
        <f ca="1">IF($L50&lt;&gt;0,VLOOKUP($N50,'Allocation Factors'!$B$12:$AU$603,13,FALSE)*$L50,0)+IF($H50&lt;&gt;0,(VLOOKUP($J50,'Allocation Factors'!$B$12:$AU$603,13,FALSE)*$H50),0)</f>
        <v>58.214716677121629</v>
      </c>
      <c r="Y50" s="22">
        <f ca="1">IF($L50&lt;&gt;0,VLOOKUP($N50,'Allocation Factors'!$B$12:$AU$603,14,FALSE)*$L50,0)+IF($H50&lt;&gt;0,(VLOOKUP($J50,'Allocation Factors'!$B$12:$AU$603,14,FALSE)*$H50),0)</f>
        <v>128.07237668966758</v>
      </c>
      <c r="Z50" s="22">
        <f ca="1">IF($L50&lt;&gt;0,VLOOKUP($N50,'Allocation Factors'!$B$12:$AU$603,15,FALSE)*$L50,0)+IF($H50&lt;&gt;0,(VLOOKUP($J50,'Allocation Factors'!$B$12:$AU$603,15,FALSE)*$H50),0)</f>
        <v>11.642943335424325</v>
      </c>
      <c r="AA50" s="22">
        <f ca="1">IF($L50&lt;&gt;0,VLOOKUP($N50,'Allocation Factors'!$B$12:$AU$603,16,FALSE)*$L50,0)+IF($H50&lt;&gt;0,(VLOOKUP($J50,'Allocation Factors'!$B$12:$AU$603,16,FALSE)*$H50),0)</f>
        <v>0</v>
      </c>
      <c r="AB50" s="22">
        <f ca="1">IF($L50&lt;&gt;0,VLOOKUP($N50,'Allocation Factors'!$B$12:$AU$603,17,FALSE)*$L50,0)+IF($H50&lt;&gt;0,(VLOOKUP($J50,'Allocation Factors'!$B$12:$AU$603,17,FALSE)*$H50),0)</f>
        <v>0</v>
      </c>
      <c r="AC50" s="22">
        <f ca="1">IF($L50&lt;&gt;0,VLOOKUP($N50,'Allocation Factors'!$B$12:$AU$603,18,FALSE)*$L50,0)+IF($H50&lt;&gt;0,(VLOOKUP($J50,'Allocation Factors'!$B$12:$AU$603,18,FALSE)*$H50),0)</f>
        <v>0</v>
      </c>
      <c r="AD50" s="22">
        <f ca="1">IF($L50&lt;&gt;0,VLOOKUP($N50,'Allocation Factors'!$B$12:$AU$603,19,FALSE)*$L50,0)+IF($H50&lt;&gt;0,(VLOOKUP($J50,'Allocation Factors'!$B$12:$AU$603,19,FALSE)*$H50),0)</f>
        <v>0</v>
      </c>
      <c r="AE50" s="22">
        <f ca="1">IF($L50&lt;&gt;0,VLOOKUP($N50,'Allocation Factors'!$B$12:$AU$603,20,FALSE)*$L50,0)+IF($H50&lt;&gt;0,(VLOOKUP($J50,'Allocation Factors'!$B$12:$AU$603,20,FALSE)*$H50),0)</f>
        <v>721.86248679630819</v>
      </c>
      <c r="AF50" s="22">
        <f ca="1">IF($L50&lt;&gt;0,VLOOKUP($N50,'Allocation Factors'!$B$12:$AU$603,21,FALSE)*$L50,0)+IF($H50&lt;&gt;0,(VLOOKUP($J50,'Allocation Factors'!$B$12:$AU$603,21,FALSE)*$H50),0)</f>
        <v>46.571773341697302</v>
      </c>
      <c r="AG50" s="22">
        <f ca="1">IF($L50&lt;&gt;0,VLOOKUP($N50,'Allocation Factors'!$B$12:$AU$603,22,FALSE)*$L50,0)+IF($H50&lt;&gt;0,(VLOOKUP($J50,'Allocation Factors'!$B$12:$AU$603,22,FALSE)*$H50),0)</f>
        <v>139.71532002509193</v>
      </c>
      <c r="AH50" s="22">
        <f ca="1">IF($L50&lt;&gt;0,VLOOKUP($N50,'Allocation Factors'!$B$12:$AU$603,23,FALSE)*$L50,0)+IF($H50&lt;&gt;0,(VLOOKUP($J50,'Allocation Factors'!$B$12:$AU$603,23,FALSE)*$H50),0)</f>
        <v>0</v>
      </c>
      <c r="AI50" s="22">
        <f ca="1">IF($L50&lt;&gt;0,VLOOKUP($N50,'Allocation Factors'!$B$12:$AU$603,24,FALSE)*$L50,0)+IF($H50&lt;&gt;0,(VLOOKUP($J50,'Allocation Factors'!$B$12:$AU$603,24,FALSE)*$H50),0)</f>
        <v>0</v>
      </c>
      <c r="AJ50" s="22">
        <f ca="1">IF($L50&lt;&gt;0,VLOOKUP($N50,'Allocation Factors'!$B$12:$AU$603,25,FALSE)*$L50,0)+IF($H50&lt;&gt;0,(VLOOKUP($J50,'Allocation Factors'!$B$12:$AU$603,25,FALSE)*$H50),0)</f>
        <v>2619.6622504704733</v>
      </c>
      <c r="AK50" s="22">
        <f ca="1">IF($L50&lt;&gt;0,VLOOKUP($N50,'Allocation Factors'!$B$12:$AU$603,26,FALSE)*$L50,0)+IF($H50&lt;&gt;0,(VLOOKUP($J50,'Allocation Factors'!$B$12:$AU$603,26,FALSE)*$H50),0)</f>
        <v>0</v>
      </c>
      <c r="AL50" s="22">
        <f ca="1">IF($L50&lt;&gt;0,VLOOKUP($N50,'Allocation Factors'!$B$12:$AU$603,27,FALSE)*$L50,0)+IF($H50&lt;&gt;0,(VLOOKUP($J50,'Allocation Factors'!$B$12:$AU$603,27,FALSE)*$H50),0)</f>
        <v>81.500603347970269</v>
      </c>
      <c r="AM50" s="22">
        <f ca="1">IF($L50&lt;&gt;0,VLOOKUP($N50,'Allocation Factors'!$B$12:$AU$603,28,FALSE)*$L50,0)+IF($H50&lt;&gt;0,(VLOOKUP($J50,'Allocation Factors'!$B$12:$AU$603,28,FALSE)*$H50),0)</f>
        <v>349.28830006272977</v>
      </c>
      <c r="AN50" s="22">
        <f ca="1">IF($L50&lt;&gt;0,VLOOKUP($N50,'Allocation Factors'!$B$12:$AU$603,29,FALSE)*$L50,0)+IF($H50&lt;&gt;0,(VLOOKUP($J50,'Allocation Factors'!$B$12:$AU$603,29,FALSE)*$H50),0)</f>
        <v>663.64777011918659</v>
      </c>
      <c r="AO50" s="22">
        <f ca="1">IF($L50&lt;&gt;0,VLOOKUP($N50,'Allocation Factors'!$B$12:$AU$603,30,FALSE)*$L50,0)+IF($H50&lt;&gt;0,(VLOOKUP($J50,'Allocation Factors'!$B$12:$AU$603,30,FALSE)*$H50),0)</f>
        <v>46.571773341697302</v>
      </c>
      <c r="AP50" s="22">
        <f ca="1">IF($L50&lt;&gt;0,VLOOKUP($N50,'Allocation Factors'!$B$12:$AU$603,31,FALSE)*$L50,0)+IF($H50&lt;&gt;0,(VLOOKUP($J50,'Allocation Factors'!$B$12:$AU$603,31,FALSE)*$H50),0)</f>
        <v>46.571773341697302</v>
      </c>
      <c r="AQ50" s="22">
        <f ca="1">IF($L50&lt;&gt;0,VLOOKUP($N50,'Allocation Factors'!$B$12:$AU$603,32,FALSE)*$L50,0)+IF($H50&lt;&gt;0,(VLOOKUP($J50,'Allocation Factors'!$B$12:$AU$603,32,FALSE)*$H50),0)</f>
        <v>0</v>
      </c>
      <c r="AR50" s="22">
        <f ca="1">IF($L50&lt;&gt;0,VLOOKUP($N50,'Allocation Factors'!$B$12:$AU$603,33,FALSE)*$L50,0)+IF($H50&lt;&gt;0,(VLOOKUP($J50,'Allocation Factors'!$B$12:$AU$603,33,FALSE)*$H50),0)</f>
        <v>535.57539342951895</v>
      </c>
      <c r="AS50" s="22">
        <f ca="1">IF($L50&lt;&gt;0,VLOOKUP($N50,'Allocation Factors'!$B$12:$AU$603,34,FALSE)*$L50,0)+IF($H50&lt;&gt;0,(VLOOKUP($J50,'Allocation Factors'!$B$12:$AU$603,34,FALSE)*$H50),0)</f>
        <v>0</v>
      </c>
      <c r="AT50" s="22">
        <f ca="1">IF($L50&lt;&gt;0,VLOOKUP($N50,'Allocation Factors'!$B$12:$AU$603,35,FALSE)*$L50,0)+IF($H50&lt;&gt;0,(VLOOKUP($J50,'Allocation Factors'!$B$12:$AU$603,35,FALSE)*$H50),0)</f>
        <v>477.36067675239735</v>
      </c>
      <c r="AU50" s="22">
        <f ca="1">IF($L50&lt;&gt;0,VLOOKUP($N50,'Allocation Factors'!$B$12:$AU$603,36,FALSE)*$L50,0)+IF($H50&lt;&gt;0,(VLOOKUP($J50,'Allocation Factors'!$B$12:$AU$603,36,FALSE)*$H50),0)</f>
        <v>0</v>
      </c>
      <c r="AV50" s="22">
        <f ca="1">IF($L50&lt;&gt;0,VLOOKUP($N50,'Allocation Factors'!$B$12:$AU$603,37,FALSE)*$L50,0)+IF($H50&lt;&gt;0,(VLOOKUP($J50,'Allocation Factors'!$B$12:$AU$603,37,FALSE)*$H50),0)</f>
        <v>11.642943335424325</v>
      </c>
      <c r="AW50" s="22">
        <f ca="1">IF($L50&lt;&gt;0,VLOOKUP($N50,'Allocation Factors'!$B$12:$AU$603,38,FALSE)*$L50,0)+IF($H50&lt;&gt;0,(VLOOKUP($J50,'Allocation Factors'!$B$12:$AU$603,38,FALSE)*$H50),0)</f>
        <v>0</v>
      </c>
      <c r="AX50" s="22">
        <f ca="1">IF($L50&lt;&gt;0,VLOOKUP($N50,'Allocation Factors'!$B$12:$AU$603,39,FALSE)*$L50,0)+IF($H50&lt;&gt;0,(VLOOKUP($J50,'Allocation Factors'!$B$12:$AU$603,39,FALSE)*$H50),0)</f>
        <v>0</v>
      </c>
      <c r="AY50" s="22">
        <f ca="1">IF($L50&lt;&gt;0,VLOOKUP($N50,'Allocation Factors'!$B$12:$AU$603,40,FALSE)*$L50,0)+IF($H50&lt;&gt;0,(VLOOKUP($J50,'Allocation Factors'!$B$12:$AU$603,40,FALSE)*$H50),0)</f>
        <v>0</v>
      </c>
      <c r="AZ50" s="22">
        <f ca="1">IF($L50&lt;&gt;0,VLOOKUP($N50,'Allocation Factors'!$B$12:$AU$603,41,FALSE)*$L50,0)+IF($H50&lt;&gt;0,(VLOOKUP($J50,'Allocation Factors'!$B$12:$AU$603,41,FALSE)*$H50),0)</f>
        <v>0</v>
      </c>
      <c r="BA50" s="22">
        <f ca="1">IF($L50&lt;&gt;0,VLOOKUP($N50,'Allocation Factors'!$B$12:$AU$603,42,FALSE)*$L50,0)+IF($H50&lt;&gt;0,(VLOOKUP($J50,'Allocation Factors'!$B$12:$AU$603,42,FALSE)*$H50),0)</f>
        <v>0</v>
      </c>
      <c r="BB50" s="22">
        <f ca="1">IF($L50&lt;&gt;0,VLOOKUP($N50,'Allocation Factors'!$B$12:$AU$603,43,FALSE)*$L50,0)+IF($H50&lt;&gt;0,(VLOOKUP($J50,'Allocation Factors'!$B$12:$AU$603,43,FALSE)*$H50),0)</f>
        <v>0</v>
      </c>
      <c r="BC50" s="22">
        <f ca="1">IF($L50&lt;&gt;0,VLOOKUP($N50,'Allocation Factors'!$B$12:$AU$603,44,FALSE)*$L50,0)+IF($H50&lt;&gt;0,(VLOOKUP($J50,'Allocation Factors'!$B$12:$AU$603,44,FALSE)*$H50),0)</f>
        <v>0</v>
      </c>
      <c r="BD50" s="22">
        <f ca="1">IF($L50&lt;&gt;0,VLOOKUP($N50,'Allocation Factors'!$B$12:$AU$603,45,FALSE)*$L50,0)+IF($H50&lt;&gt;0,(VLOOKUP($J50,'Allocation Factors'!$B$12:$AU$603,45,FALSE)*$H50),0)</f>
        <v>0</v>
      </c>
      <c r="BE50" s="22">
        <f ca="1">IF($L50&lt;&gt;0,VLOOKUP($N50,'Allocation Factors'!$B$12:$AU$603,46,FALSE)*$L50,0)+IF($H50&lt;&gt;0,(VLOOKUP($J50,'Allocation Factors'!$B$12:$AU$603,46,FALSE)*$H50),0)</f>
        <v>0</v>
      </c>
      <c r="BF50" s="100"/>
    </row>
    <row r="51" spans="1:58" x14ac:dyDescent="0.25">
      <c r="A51" s="2">
        <f t="shared" si="10"/>
        <v>33</v>
      </c>
      <c r="B51" s="73" t="s">
        <v>282</v>
      </c>
      <c r="D51" s="22">
        <f ca="1">'Total ALLOCATION'!D51-'Gas Cost ALLOCATION'!D51</f>
        <v>0</v>
      </c>
      <c r="F51" s="22">
        <f ca="1">'Total ALLOCATION'!F51-'Gas Cost ALLOCATION'!F51</f>
        <v>0</v>
      </c>
      <c r="L51" s="22">
        <f ca="1">F51-H51</f>
        <v>0</v>
      </c>
      <c r="N51" s="28" t="s">
        <v>249</v>
      </c>
      <c r="P51" s="22">
        <f ca="1">IF($L51&lt;&gt;0,VLOOKUP($N51,'Allocation Factors'!$B$12:$AU$603,5,FALSE)*$L51,0)+IF($H51&lt;&gt;0,(VLOOKUP($J51,'Allocation Factors'!$B$12:$AU$603,5,FALSE)*$H51),0)</f>
        <v>0</v>
      </c>
      <c r="Q51" s="22">
        <f ca="1">IF($L51&lt;&gt;0,VLOOKUP($N51,'Allocation Factors'!$B$12:$AU$603,6,FALSE)*$L51,0)+IF($H51&lt;&gt;0,(VLOOKUP($J51,'Allocation Factors'!$B$12:$AU$603,6,FALSE)*$H51),0)</f>
        <v>0</v>
      </c>
      <c r="R51" s="22">
        <f ca="1">IF($L51&lt;&gt;0,VLOOKUP($N51,'Allocation Factors'!$B$12:$AU$603,7,FALSE)*$L51,0)+IF($H51&lt;&gt;0,(VLOOKUP($J51,'Allocation Factors'!$B$12:$AU$603,7,FALSE)*$H51),0)</f>
        <v>0</v>
      </c>
      <c r="S51" s="22">
        <f ca="1">IF($L51&lt;&gt;0,VLOOKUP($N51,'Allocation Factors'!$B$12:$AU$603,8,FALSE)*$L51,0)+IF($H51&lt;&gt;0,(VLOOKUP($J51,'Allocation Factors'!$B$12:$AU$603,8,FALSE)*$H51),0)</f>
        <v>0</v>
      </c>
      <c r="T51" s="22">
        <f ca="1">IF($L51&lt;&gt;0,VLOOKUP($N51,'Allocation Factors'!$B$12:$AU$603,9,FALSE)*$L51,0)+IF($H51&lt;&gt;0,(VLOOKUP($J51,'Allocation Factors'!$B$12:$AU$603,9,FALSE)*$H51),0)</f>
        <v>0</v>
      </c>
      <c r="U51" s="22">
        <f ca="1">IF($L51&lt;&gt;0,VLOOKUP($N51,'Allocation Factors'!$B$12:$AU$603,10,FALSE)*$L51,0)+IF($H51&lt;&gt;0,(VLOOKUP($J51,'Allocation Factors'!$B$12:$AU$603,10,FALSE)*$H51),0)</f>
        <v>0</v>
      </c>
      <c r="V51" s="22">
        <f ca="1">IF($L51&lt;&gt;0,VLOOKUP($N51,'Allocation Factors'!$B$12:$AU$603,11,FALSE)*$L51,0)+IF($H51&lt;&gt;0,(VLOOKUP($J51,'Allocation Factors'!$B$12:$AU$603,11,FALSE)*$H51),0)</f>
        <v>0</v>
      </c>
      <c r="W51" s="22">
        <f ca="1">IF($L51&lt;&gt;0,VLOOKUP($N51,'Allocation Factors'!$B$12:$AU$603,12,FALSE)*$L51,0)+IF($H51&lt;&gt;0,(VLOOKUP($J51,'Allocation Factors'!$B$12:$AU$603,12,FALSE)*$H51),0)</f>
        <v>0</v>
      </c>
      <c r="X51" s="22">
        <f ca="1">IF($L51&lt;&gt;0,VLOOKUP($N51,'Allocation Factors'!$B$12:$AU$603,13,FALSE)*$L51,0)+IF($H51&lt;&gt;0,(VLOOKUP($J51,'Allocation Factors'!$B$12:$AU$603,13,FALSE)*$H51),0)</f>
        <v>0</v>
      </c>
      <c r="Y51" s="22">
        <f ca="1">IF($L51&lt;&gt;0,VLOOKUP($N51,'Allocation Factors'!$B$12:$AU$603,14,FALSE)*$L51,0)+IF($H51&lt;&gt;0,(VLOOKUP($J51,'Allocation Factors'!$B$12:$AU$603,14,FALSE)*$H51),0)</f>
        <v>0</v>
      </c>
      <c r="Z51" s="22">
        <f ca="1">IF($L51&lt;&gt;0,VLOOKUP($N51,'Allocation Factors'!$B$12:$AU$603,15,FALSE)*$L51,0)+IF($H51&lt;&gt;0,(VLOOKUP($J51,'Allocation Factors'!$B$12:$AU$603,15,FALSE)*$H51),0)</f>
        <v>0</v>
      </c>
      <c r="AA51" s="22">
        <f ca="1">IF($L51&lt;&gt;0,VLOOKUP($N51,'Allocation Factors'!$B$12:$AU$603,16,FALSE)*$L51,0)+IF($H51&lt;&gt;0,(VLOOKUP($J51,'Allocation Factors'!$B$12:$AU$603,16,FALSE)*$H51),0)</f>
        <v>0</v>
      </c>
      <c r="AB51" s="22">
        <f ca="1">IF($L51&lt;&gt;0,VLOOKUP($N51,'Allocation Factors'!$B$12:$AU$603,17,FALSE)*$L51,0)+IF($H51&lt;&gt;0,(VLOOKUP($J51,'Allocation Factors'!$B$12:$AU$603,17,FALSE)*$H51),0)</f>
        <v>0</v>
      </c>
      <c r="AC51" s="22">
        <f ca="1">IF($L51&lt;&gt;0,VLOOKUP($N51,'Allocation Factors'!$B$12:$AU$603,18,FALSE)*$L51,0)+IF($H51&lt;&gt;0,(VLOOKUP($J51,'Allocation Factors'!$B$12:$AU$603,18,FALSE)*$H51),0)</f>
        <v>0</v>
      </c>
      <c r="AD51" s="22">
        <f ca="1">IF($L51&lt;&gt;0,VLOOKUP($N51,'Allocation Factors'!$B$12:$AU$603,19,FALSE)*$L51,0)+IF($H51&lt;&gt;0,(VLOOKUP($J51,'Allocation Factors'!$B$12:$AU$603,19,FALSE)*$H51),0)</f>
        <v>0</v>
      </c>
      <c r="AE51" s="22">
        <f ca="1">IF($L51&lt;&gt;0,VLOOKUP($N51,'Allocation Factors'!$B$12:$AU$603,20,FALSE)*$L51,0)+IF($H51&lt;&gt;0,(VLOOKUP($J51,'Allocation Factors'!$B$12:$AU$603,20,FALSE)*$H51),0)</f>
        <v>0</v>
      </c>
      <c r="AF51" s="22">
        <f ca="1">IF($L51&lt;&gt;0,VLOOKUP($N51,'Allocation Factors'!$B$12:$AU$603,21,FALSE)*$L51,0)+IF($H51&lt;&gt;0,(VLOOKUP($J51,'Allocation Factors'!$B$12:$AU$603,21,FALSE)*$H51),0)</f>
        <v>0</v>
      </c>
      <c r="AG51" s="22">
        <f ca="1">IF($L51&lt;&gt;0,VLOOKUP($N51,'Allocation Factors'!$B$12:$AU$603,22,FALSE)*$L51,0)+IF($H51&lt;&gt;0,(VLOOKUP($J51,'Allocation Factors'!$B$12:$AU$603,22,FALSE)*$H51),0)</f>
        <v>0</v>
      </c>
      <c r="AH51" s="22">
        <f ca="1">IF($L51&lt;&gt;0,VLOOKUP($N51,'Allocation Factors'!$B$12:$AU$603,23,FALSE)*$L51,0)+IF($H51&lt;&gt;0,(VLOOKUP($J51,'Allocation Factors'!$B$12:$AU$603,23,FALSE)*$H51),0)</f>
        <v>0</v>
      </c>
      <c r="AI51" s="22">
        <f ca="1">IF($L51&lt;&gt;0,VLOOKUP($N51,'Allocation Factors'!$B$12:$AU$603,24,FALSE)*$L51,0)+IF($H51&lt;&gt;0,(VLOOKUP($J51,'Allocation Factors'!$B$12:$AU$603,24,FALSE)*$H51),0)</f>
        <v>0</v>
      </c>
      <c r="AJ51" s="22">
        <f ca="1">IF($L51&lt;&gt;0,VLOOKUP($N51,'Allocation Factors'!$B$12:$AU$603,25,FALSE)*$L51,0)+IF($H51&lt;&gt;0,(VLOOKUP($J51,'Allocation Factors'!$B$12:$AU$603,25,FALSE)*$H51),0)</f>
        <v>0</v>
      </c>
      <c r="AK51" s="22">
        <f ca="1">IF($L51&lt;&gt;0,VLOOKUP($N51,'Allocation Factors'!$B$12:$AU$603,26,FALSE)*$L51,0)+IF($H51&lt;&gt;0,(VLOOKUP($J51,'Allocation Factors'!$B$12:$AU$603,26,FALSE)*$H51),0)</f>
        <v>0</v>
      </c>
      <c r="AL51" s="22">
        <f ca="1">IF($L51&lt;&gt;0,VLOOKUP($N51,'Allocation Factors'!$B$12:$AU$603,27,FALSE)*$L51,0)+IF($H51&lt;&gt;0,(VLOOKUP($J51,'Allocation Factors'!$B$12:$AU$603,27,FALSE)*$H51),0)</f>
        <v>0</v>
      </c>
      <c r="AM51" s="22">
        <f ca="1">IF($L51&lt;&gt;0,VLOOKUP($N51,'Allocation Factors'!$B$12:$AU$603,28,FALSE)*$L51,0)+IF($H51&lt;&gt;0,(VLOOKUP($J51,'Allocation Factors'!$B$12:$AU$603,28,FALSE)*$H51),0)</f>
        <v>0</v>
      </c>
      <c r="AN51" s="22">
        <f ca="1">IF($L51&lt;&gt;0,VLOOKUP($N51,'Allocation Factors'!$B$12:$AU$603,29,FALSE)*$L51,0)+IF($H51&lt;&gt;0,(VLOOKUP($J51,'Allocation Factors'!$B$12:$AU$603,29,FALSE)*$H51),0)</f>
        <v>0</v>
      </c>
      <c r="AO51" s="22">
        <f ca="1">IF($L51&lt;&gt;0,VLOOKUP($N51,'Allocation Factors'!$B$12:$AU$603,30,FALSE)*$L51,0)+IF($H51&lt;&gt;0,(VLOOKUP($J51,'Allocation Factors'!$B$12:$AU$603,30,FALSE)*$H51),0)</f>
        <v>0</v>
      </c>
      <c r="AP51" s="22">
        <f ca="1">IF($L51&lt;&gt;0,VLOOKUP($N51,'Allocation Factors'!$B$12:$AU$603,31,FALSE)*$L51,0)+IF($H51&lt;&gt;0,(VLOOKUP($J51,'Allocation Factors'!$B$12:$AU$603,31,FALSE)*$H51),0)</f>
        <v>0</v>
      </c>
      <c r="AQ51" s="22">
        <f ca="1">IF($L51&lt;&gt;0,VLOOKUP($N51,'Allocation Factors'!$B$12:$AU$603,32,FALSE)*$L51,0)+IF($H51&lt;&gt;0,(VLOOKUP($J51,'Allocation Factors'!$B$12:$AU$603,32,FALSE)*$H51),0)</f>
        <v>0</v>
      </c>
      <c r="AR51" s="22">
        <f ca="1">IF($L51&lt;&gt;0,VLOOKUP($N51,'Allocation Factors'!$B$12:$AU$603,33,FALSE)*$L51,0)+IF($H51&lt;&gt;0,(VLOOKUP($J51,'Allocation Factors'!$B$12:$AU$603,33,FALSE)*$H51),0)</f>
        <v>0</v>
      </c>
      <c r="AS51" s="22">
        <f ca="1">IF($L51&lt;&gt;0,VLOOKUP($N51,'Allocation Factors'!$B$12:$AU$603,34,FALSE)*$L51,0)+IF($H51&lt;&gt;0,(VLOOKUP($J51,'Allocation Factors'!$B$12:$AU$603,34,FALSE)*$H51),0)</f>
        <v>0</v>
      </c>
      <c r="AT51" s="22">
        <f ca="1">IF($L51&lt;&gt;0,VLOOKUP($N51,'Allocation Factors'!$B$12:$AU$603,35,FALSE)*$L51,0)+IF($H51&lt;&gt;0,(VLOOKUP($J51,'Allocation Factors'!$B$12:$AU$603,35,FALSE)*$H51),0)</f>
        <v>0</v>
      </c>
      <c r="AU51" s="22">
        <f ca="1">IF($L51&lt;&gt;0,VLOOKUP($N51,'Allocation Factors'!$B$12:$AU$603,36,FALSE)*$L51,0)+IF($H51&lt;&gt;0,(VLOOKUP($J51,'Allocation Factors'!$B$12:$AU$603,36,FALSE)*$H51),0)</f>
        <v>0</v>
      </c>
      <c r="AV51" s="22">
        <f ca="1">IF($L51&lt;&gt;0,VLOOKUP($N51,'Allocation Factors'!$B$12:$AU$603,37,FALSE)*$L51,0)+IF($H51&lt;&gt;0,(VLOOKUP($J51,'Allocation Factors'!$B$12:$AU$603,37,FALSE)*$H51),0)</f>
        <v>0</v>
      </c>
      <c r="AW51" s="22">
        <f ca="1">IF($L51&lt;&gt;0,VLOOKUP($N51,'Allocation Factors'!$B$12:$AU$603,38,FALSE)*$L51,0)+IF($H51&lt;&gt;0,(VLOOKUP($J51,'Allocation Factors'!$B$12:$AU$603,38,FALSE)*$H51),0)</f>
        <v>0</v>
      </c>
      <c r="AX51" s="22">
        <f ca="1">IF($L51&lt;&gt;0,VLOOKUP($N51,'Allocation Factors'!$B$12:$AU$603,39,FALSE)*$L51,0)+IF($H51&lt;&gt;0,(VLOOKUP($J51,'Allocation Factors'!$B$12:$AU$603,39,FALSE)*$H51),0)</f>
        <v>0</v>
      </c>
      <c r="AY51" s="22">
        <f ca="1">IF($L51&lt;&gt;0,VLOOKUP($N51,'Allocation Factors'!$B$12:$AU$603,40,FALSE)*$L51,0)+IF($H51&lt;&gt;0,(VLOOKUP($J51,'Allocation Factors'!$B$12:$AU$603,40,FALSE)*$H51),0)</f>
        <v>0</v>
      </c>
      <c r="AZ51" s="22">
        <f ca="1">IF($L51&lt;&gt;0,VLOOKUP($N51,'Allocation Factors'!$B$12:$AU$603,41,FALSE)*$L51,0)+IF($H51&lt;&gt;0,(VLOOKUP($J51,'Allocation Factors'!$B$12:$AU$603,41,FALSE)*$H51),0)</f>
        <v>0</v>
      </c>
      <c r="BA51" s="22">
        <f ca="1">IF($L51&lt;&gt;0,VLOOKUP($N51,'Allocation Factors'!$B$12:$AU$603,42,FALSE)*$L51,0)+IF($H51&lt;&gt;0,(VLOOKUP($J51,'Allocation Factors'!$B$12:$AU$603,42,FALSE)*$H51),0)</f>
        <v>0</v>
      </c>
      <c r="BB51" s="22">
        <f ca="1">IF($L51&lt;&gt;0,VLOOKUP($N51,'Allocation Factors'!$B$12:$AU$603,43,FALSE)*$L51,0)+IF($H51&lt;&gt;0,(VLOOKUP($J51,'Allocation Factors'!$B$12:$AU$603,43,FALSE)*$H51),0)</f>
        <v>0</v>
      </c>
      <c r="BC51" s="22">
        <f ca="1">IF($L51&lt;&gt;0,VLOOKUP($N51,'Allocation Factors'!$B$12:$AU$603,44,FALSE)*$L51,0)+IF($H51&lt;&gt;0,(VLOOKUP($J51,'Allocation Factors'!$B$12:$AU$603,44,FALSE)*$H51),0)</f>
        <v>0</v>
      </c>
      <c r="BD51" s="22">
        <f ca="1">IF($L51&lt;&gt;0,VLOOKUP($N51,'Allocation Factors'!$B$12:$AU$603,45,FALSE)*$L51,0)+IF($H51&lt;&gt;0,(VLOOKUP($J51,'Allocation Factors'!$B$12:$AU$603,45,FALSE)*$H51),0)</f>
        <v>0</v>
      </c>
      <c r="BE51" s="22">
        <f ca="1">IF($L51&lt;&gt;0,VLOOKUP($N51,'Allocation Factors'!$B$12:$AU$603,46,FALSE)*$L51,0)+IF($H51&lt;&gt;0,(VLOOKUP($J51,'Allocation Factors'!$B$12:$AU$603,46,FALSE)*$H51),0)</f>
        <v>0</v>
      </c>
      <c r="BF51" s="9"/>
    </row>
    <row r="52" spans="1:58" s="73" customFormat="1" x14ac:dyDescent="0.25">
      <c r="A52" s="2">
        <f t="shared" si="10"/>
        <v>34</v>
      </c>
      <c r="B52" s="73" t="s">
        <v>460</v>
      </c>
      <c r="D52" s="79">
        <f ca="1">SUM(D37:D51)</f>
        <v>2529778.004750093</v>
      </c>
      <c r="E52" s="94"/>
      <c r="F52" s="79">
        <f ca="1">SUM(F37:F51)</f>
        <v>2464845.4196710968</v>
      </c>
      <c r="G52" s="94"/>
      <c r="H52" s="79">
        <f>SUM(H37:H51)</f>
        <v>11615.53513385792</v>
      </c>
      <c r="I52" s="94"/>
      <c r="J52" s="91"/>
      <c r="K52" s="94"/>
      <c r="L52" s="79">
        <f ca="1">SUM(L37:L51)</f>
        <v>2453229.8845372386</v>
      </c>
      <c r="M52" s="94"/>
      <c r="N52" s="91"/>
      <c r="O52" s="94"/>
      <c r="P52" s="79">
        <f t="shared" ref="P52:BE52" ca="1" si="13">SUM(P37:P51)</f>
        <v>1038342.1007665651</v>
      </c>
      <c r="Q52" s="79">
        <f t="shared" ca="1" si="13"/>
        <v>358200.72084274422</v>
      </c>
      <c r="R52" s="79">
        <f t="shared" ca="1" si="13"/>
        <v>0</v>
      </c>
      <c r="S52" s="79">
        <f t="shared" ca="1" si="13"/>
        <v>1263.7181827760987</v>
      </c>
      <c r="T52" s="79">
        <f t="shared" ca="1" si="13"/>
        <v>27593.459468758716</v>
      </c>
      <c r="U52" s="79">
        <f t="shared" ca="1" si="13"/>
        <v>3702.6317073811383</v>
      </c>
      <c r="V52" s="79">
        <f t="shared" ca="1" si="13"/>
        <v>11483.905408477051</v>
      </c>
      <c r="W52" s="79">
        <f t="shared" ca="1" si="13"/>
        <v>2453.6390294832222</v>
      </c>
      <c r="X52" s="79">
        <f t="shared" ca="1" si="13"/>
        <v>686.71572219188999</v>
      </c>
      <c r="Y52" s="79">
        <f t="shared" ca="1" si="13"/>
        <v>1051.4206005507981</v>
      </c>
      <c r="Z52" s="79">
        <f t="shared" ca="1" si="13"/>
        <v>1508.1606914021211</v>
      </c>
      <c r="AA52" s="79">
        <f t="shared" ca="1" si="13"/>
        <v>0</v>
      </c>
      <c r="AB52" s="79">
        <f t="shared" ca="1" si="13"/>
        <v>0</v>
      </c>
      <c r="AC52" s="79">
        <f t="shared" ca="1" si="13"/>
        <v>179449.2760278139</v>
      </c>
      <c r="AD52" s="79">
        <f t="shared" ca="1" si="13"/>
        <v>19483.61119100932</v>
      </c>
      <c r="AE52" s="79">
        <f t="shared" ca="1" si="13"/>
        <v>12935.217681020069</v>
      </c>
      <c r="AF52" s="79">
        <f t="shared" ca="1" si="13"/>
        <v>2826.4492740443775</v>
      </c>
      <c r="AG52" s="79">
        <f t="shared" ca="1" si="13"/>
        <v>5628.6311931301043</v>
      </c>
      <c r="AH52" s="79">
        <f t="shared" ca="1" si="13"/>
        <v>612197.74344937073</v>
      </c>
      <c r="AI52" s="79">
        <f t="shared" ca="1" si="13"/>
        <v>81581.997554083369</v>
      </c>
      <c r="AJ52" s="79">
        <f t="shared" ca="1" si="13"/>
        <v>25682.998093755694</v>
      </c>
      <c r="AK52" s="79">
        <f t="shared" ca="1" si="13"/>
        <v>5.4257928493065517</v>
      </c>
      <c r="AL52" s="79">
        <f t="shared" ca="1" si="13"/>
        <v>362.01592211923048</v>
      </c>
      <c r="AM52" s="79">
        <f t="shared" ca="1" si="13"/>
        <v>1307.1001831207955</v>
      </c>
      <c r="AN52" s="79">
        <f t="shared" ca="1" si="13"/>
        <v>22492.324337553771</v>
      </c>
      <c r="AO52" s="79">
        <f t="shared" ca="1" si="13"/>
        <v>835.12763209549257</v>
      </c>
      <c r="AP52" s="79">
        <f t="shared" ca="1" si="13"/>
        <v>814.22918788773086</v>
      </c>
      <c r="AQ52" s="79">
        <f t="shared" ca="1" si="13"/>
        <v>0</v>
      </c>
      <c r="AR52" s="79">
        <f t="shared" ca="1" si="13"/>
        <v>8004.3378328269464</v>
      </c>
      <c r="AS52" s="79">
        <f t="shared" ca="1" si="13"/>
        <v>120.98515801040281</v>
      </c>
      <c r="AT52" s="79">
        <f t="shared" ca="1" si="13"/>
        <v>40466.386269833449</v>
      </c>
      <c r="AU52" s="79">
        <f t="shared" ca="1" si="13"/>
        <v>584.2936619332628</v>
      </c>
      <c r="AV52" s="79">
        <f t="shared" ca="1" si="13"/>
        <v>3498.1508124026104</v>
      </c>
      <c r="AW52" s="79">
        <f t="shared" ca="1" si="13"/>
        <v>0</v>
      </c>
      <c r="AX52" s="79">
        <f t="shared" ca="1" si="13"/>
        <v>0</v>
      </c>
      <c r="AY52" s="79">
        <f t="shared" ca="1" si="13"/>
        <v>0</v>
      </c>
      <c r="AZ52" s="79">
        <f t="shared" ca="1" si="13"/>
        <v>0</v>
      </c>
      <c r="BA52" s="79">
        <f t="shared" ca="1" si="13"/>
        <v>0</v>
      </c>
      <c r="BB52" s="79">
        <f t="shared" ca="1" si="13"/>
        <v>21.017310653740001</v>
      </c>
      <c r="BC52" s="79">
        <f t="shared" ca="1" si="13"/>
        <v>0</v>
      </c>
      <c r="BD52" s="79">
        <f t="shared" ca="1" si="13"/>
        <v>0</v>
      </c>
      <c r="BE52" s="79">
        <f t="shared" ca="1" si="13"/>
        <v>261.62868525173172</v>
      </c>
    </row>
    <row r="53" spans="1:58" s="73" customFormat="1" x14ac:dyDescent="0.25">
      <c r="A53" s="2"/>
      <c r="D53" s="113"/>
      <c r="E53" s="94"/>
      <c r="F53" s="113"/>
      <c r="G53" s="94"/>
      <c r="H53" s="94"/>
      <c r="I53" s="94"/>
      <c r="J53" s="91"/>
      <c r="K53" s="94"/>
      <c r="L53" s="94"/>
      <c r="M53" s="94"/>
      <c r="N53" s="91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</row>
    <row r="54" spans="1:58" s="73" customFormat="1" ht="13" thickBot="1" x14ac:dyDescent="0.3">
      <c r="A54" s="2">
        <f>A52+1</f>
        <v>35</v>
      </c>
      <c r="B54" s="73" t="s">
        <v>173</v>
      </c>
      <c r="D54" s="207">
        <f ca="1">D17+D24+D34+D52</f>
        <v>3164262.8477431876</v>
      </c>
      <c r="E54" s="94"/>
      <c r="F54" s="207">
        <f ca="1">F17+F24+F34+F52</f>
        <v>3078629.4198153876</v>
      </c>
      <c r="G54" s="94"/>
      <c r="H54" s="207">
        <f ca="1">H17+H24+H34+H52</f>
        <v>43363.741592299557</v>
      </c>
      <c r="I54" s="94"/>
      <c r="J54" s="91"/>
      <c r="K54" s="94"/>
      <c r="L54" s="207">
        <f ca="1">L17+L24+L34+L52</f>
        <v>3035265.6782230879</v>
      </c>
      <c r="M54" s="94"/>
      <c r="N54" s="91"/>
      <c r="O54" s="94"/>
      <c r="P54" s="207">
        <f t="shared" ref="P54:BE54" ca="1" si="14">P17+P24+P34+P52</f>
        <v>1173607.2146969228</v>
      </c>
      <c r="Q54" s="207">
        <f t="shared" ca="1" si="14"/>
        <v>474389.00547638693</v>
      </c>
      <c r="R54" s="207">
        <f t="shared" ca="1" si="14"/>
        <v>0</v>
      </c>
      <c r="S54" s="207">
        <f t="shared" ca="1" si="14"/>
        <v>1657.7698796580842</v>
      </c>
      <c r="T54" s="207">
        <f t="shared" ca="1" si="14"/>
        <v>38663.413126014209</v>
      </c>
      <c r="U54" s="207">
        <f t="shared" ca="1" si="14"/>
        <v>5498.114969221152</v>
      </c>
      <c r="V54" s="207">
        <f t="shared" ca="1" si="14"/>
        <v>11499.643478305894</v>
      </c>
      <c r="W54" s="207">
        <f t="shared" ca="1" si="14"/>
        <v>2467.2289237792397</v>
      </c>
      <c r="X54" s="207">
        <f t="shared" ca="1" si="14"/>
        <v>723.30273179988762</v>
      </c>
      <c r="Y54" s="207">
        <f t="shared" ca="1" si="14"/>
        <v>1129.4224407125002</v>
      </c>
      <c r="Z54" s="207">
        <f t="shared" ca="1" si="14"/>
        <v>4677.7171684576433</v>
      </c>
      <c r="AA54" s="207">
        <f t="shared" ca="1" si="14"/>
        <v>0</v>
      </c>
      <c r="AB54" s="207">
        <f t="shared" ca="1" si="14"/>
        <v>742.57046430474588</v>
      </c>
      <c r="AC54" s="207">
        <f t="shared" ca="1" si="14"/>
        <v>204607.64254328463</v>
      </c>
      <c r="AD54" s="207">
        <f t="shared" ca="1" si="14"/>
        <v>26474.060070925363</v>
      </c>
      <c r="AE54" s="207">
        <f t="shared" ca="1" si="14"/>
        <v>14234.081745597216</v>
      </c>
      <c r="AF54" s="207">
        <f t="shared" ca="1" si="14"/>
        <v>2833.4369408299121</v>
      </c>
      <c r="AG54" s="207">
        <f t="shared" ca="1" si="14"/>
        <v>5649.1653906869742</v>
      </c>
      <c r="AH54" s="207">
        <f t="shared" ca="1" si="14"/>
        <v>692432.74196998763</v>
      </c>
      <c r="AI54" s="207">
        <f t="shared" ca="1" si="14"/>
        <v>109415.99963830225</v>
      </c>
      <c r="AJ54" s="207">
        <f t="shared" ca="1" si="14"/>
        <v>34248.708613831477</v>
      </c>
      <c r="AK54" s="207">
        <f t="shared" ca="1" si="14"/>
        <v>7.4264728526852561</v>
      </c>
      <c r="AL54" s="207">
        <f t="shared" ca="1" si="14"/>
        <v>434.24135982693463</v>
      </c>
      <c r="AM54" s="207">
        <f t="shared" ca="1" si="14"/>
        <v>1289.5611572523196</v>
      </c>
      <c r="AN54" s="207">
        <f t="shared" ca="1" si="14"/>
        <v>35382.443043473817</v>
      </c>
      <c r="AO54" s="207">
        <f t="shared" ca="1" si="14"/>
        <v>948.7075543361783</v>
      </c>
      <c r="AP54" s="207">
        <f t="shared" ca="1" si="14"/>
        <v>1833.4366962421986</v>
      </c>
      <c r="AQ54" s="207">
        <f t="shared" ca="1" si="14"/>
        <v>0</v>
      </c>
      <c r="AR54" s="207">
        <f t="shared" ca="1" si="14"/>
        <v>12283.622768040645</v>
      </c>
      <c r="AS54" s="207">
        <f t="shared" ca="1" si="14"/>
        <v>120.77219812404657</v>
      </c>
      <c r="AT54" s="207">
        <f t="shared" ca="1" si="14"/>
        <v>88368.92657587993</v>
      </c>
      <c r="AU54" s="207">
        <f t="shared" ca="1" si="14"/>
        <v>584.05672149059569</v>
      </c>
      <c r="AV54" s="207">
        <f t="shared" ca="1" si="14"/>
        <v>9346.7135886413525</v>
      </c>
      <c r="AW54" s="207">
        <f t="shared" ca="1" si="14"/>
        <v>5.5984842465225819</v>
      </c>
      <c r="AX54" s="207">
        <f t="shared" ca="1" si="14"/>
        <v>21757.081160885045</v>
      </c>
      <c r="AY54" s="207">
        <f t="shared" ca="1" si="14"/>
        <v>0</v>
      </c>
      <c r="AZ54" s="207">
        <f t="shared" ca="1" si="14"/>
        <v>1642.9740009843413</v>
      </c>
      <c r="BA54" s="207">
        <f t="shared" ca="1" si="14"/>
        <v>21.024242032685336</v>
      </c>
      <c r="BB54" s="207">
        <f t="shared" ca="1" si="14"/>
        <v>99155.914967241086</v>
      </c>
      <c r="BC54" s="207">
        <f t="shared" ca="1" si="14"/>
        <v>2.2058360187833879</v>
      </c>
      <c r="BD54" s="207">
        <f t="shared" ca="1" si="14"/>
        <v>5.0133959794646312</v>
      </c>
      <c r="BE54" s="207">
        <f t="shared" ca="1" si="14"/>
        <v>488.45932283011723</v>
      </c>
    </row>
    <row r="55" spans="1:58" ht="13" thickTop="1" x14ac:dyDescent="0.25"/>
  </sheetData>
  <mergeCells count="2">
    <mergeCell ref="B2:N2"/>
    <mergeCell ref="B3:N3"/>
  </mergeCells>
  <pageMargins left="0.7" right="0.7" top="0.75" bottom="0.75" header="0.3" footer="0.3"/>
  <pageSetup scale="55" fitToWidth="4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FC6-A1D1-453E-9107-C2BDC76C11F1}">
  <sheetPr>
    <tabColor theme="0" tint="-0.249977111117893"/>
  </sheetPr>
  <dimension ref="A2:BF58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5.7265625" style="2" customWidth="1"/>
    <col min="2" max="2" width="44.54296875" style="1" customWidth="1"/>
    <col min="3" max="3" width="1.7265625" style="1" customWidth="1"/>
    <col min="4" max="4" width="20.1796875" style="97" customWidth="1"/>
    <col min="5" max="5" width="1.7265625" style="97" customWidth="1"/>
    <col min="6" max="6" width="20.1796875" style="97" customWidth="1"/>
    <col min="7" max="7" width="1.7265625" style="97" customWidth="1"/>
    <col min="8" max="8" width="17.1796875" style="97" customWidth="1"/>
    <col min="9" max="9" width="1.7265625" style="97" customWidth="1"/>
    <col min="10" max="10" width="19.7265625" style="28" customWidth="1"/>
    <col min="11" max="11" width="1.7265625" style="97" customWidth="1"/>
    <col min="12" max="12" width="17.1796875" style="97" customWidth="1"/>
    <col min="13" max="13" width="1.7265625" style="97" customWidth="1"/>
    <col min="14" max="14" width="20" style="28" customWidth="1"/>
    <col min="15" max="15" width="1.7265625" style="97" customWidth="1"/>
    <col min="16" max="17" width="12.81640625" style="97" customWidth="1"/>
    <col min="18" max="28" width="10.7265625" style="97" customWidth="1"/>
    <col min="29" max="32" width="10.54296875" style="97" customWidth="1"/>
    <col min="33" max="33" width="9.1796875" style="97" customWidth="1"/>
    <col min="34" max="34" width="11.26953125" style="97" customWidth="1"/>
    <col min="35" max="48" width="10.7265625" style="97" customWidth="1"/>
    <col min="49" max="51" width="11.26953125" style="97" customWidth="1"/>
    <col min="52" max="57" width="10.54296875" style="97" customWidth="1"/>
    <col min="58" max="58" width="2.7265625" style="1" customWidth="1"/>
    <col min="59" max="16384" width="9.1796875" style="1"/>
  </cols>
  <sheetData>
    <row r="2" spans="1:58" x14ac:dyDescent="0.25">
      <c r="B2" s="263" t="s">
        <v>412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58" x14ac:dyDescent="0.25">
      <c r="B3" s="263" t="s">
        <v>456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5" spans="1:58" x14ac:dyDescent="0.25">
      <c r="F5" s="28" t="s">
        <v>174</v>
      </c>
    </row>
    <row r="6" spans="1:58" s="73" customFormat="1" x14ac:dyDescent="0.25">
      <c r="A6" s="2" t="s">
        <v>2</v>
      </c>
      <c r="D6" s="91" t="s">
        <v>174</v>
      </c>
      <c r="E6" s="94"/>
      <c r="F6" s="91" t="s">
        <v>5</v>
      </c>
      <c r="G6" s="94"/>
      <c r="H6" s="91" t="s">
        <v>192</v>
      </c>
      <c r="I6" s="94"/>
      <c r="J6" s="91" t="s">
        <v>193</v>
      </c>
      <c r="K6" s="91"/>
      <c r="L6" s="91" t="s">
        <v>194</v>
      </c>
      <c r="M6" s="94"/>
      <c r="N6" s="91" t="s">
        <v>127</v>
      </c>
      <c r="O6" s="94"/>
      <c r="P6" s="91" t="s">
        <v>82</v>
      </c>
      <c r="Q6" s="91" t="s">
        <v>82</v>
      </c>
      <c r="R6" s="91" t="s">
        <v>82</v>
      </c>
      <c r="S6" s="91" t="s">
        <v>82</v>
      </c>
      <c r="T6" s="91" t="s">
        <v>82</v>
      </c>
      <c r="U6" s="91" t="s">
        <v>82</v>
      </c>
      <c r="V6" s="91" t="s">
        <v>82</v>
      </c>
      <c r="W6" s="91" t="s">
        <v>82</v>
      </c>
      <c r="X6" s="91" t="s">
        <v>82</v>
      </c>
      <c r="Y6" s="91" t="s">
        <v>82</v>
      </c>
      <c r="Z6" s="91" t="s">
        <v>82</v>
      </c>
      <c r="AA6" s="91" t="s">
        <v>82</v>
      </c>
      <c r="AB6" s="91" t="s">
        <v>384</v>
      </c>
      <c r="AC6" s="91" t="s">
        <v>82</v>
      </c>
      <c r="AD6" s="91" t="s">
        <v>82</v>
      </c>
      <c r="AE6" s="91" t="s">
        <v>82</v>
      </c>
      <c r="AF6" s="91" t="s">
        <v>82</v>
      </c>
      <c r="AG6" s="91" t="s">
        <v>82</v>
      </c>
      <c r="AH6" s="91" t="s">
        <v>82</v>
      </c>
      <c r="AI6" s="91" t="s">
        <v>82</v>
      </c>
      <c r="AJ6" s="91" t="s">
        <v>82</v>
      </c>
      <c r="AK6" s="91" t="s">
        <v>82</v>
      </c>
      <c r="AL6" s="91" t="s">
        <v>82</v>
      </c>
      <c r="AM6" s="91" t="s">
        <v>82</v>
      </c>
      <c r="AN6" s="91" t="s">
        <v>82</v>
      </c>
      <c r="AO6" s="91" t="s">
        <v>82</v>
      </c>
      <c r="AP6" s="91" t="s">
        <v>82</v>
      </c>
      <c r="AQ6" s="91" t="s">
        <v>82</v>
      </c>
      <c r="AR6" s="91" t="s">
        <v>82</v>
      </c>
      <c r="AS6" s="91" t="s">
        <v>82</v>
      </c>
      <c r="AT6" s="91" t="s">
        <v>82</v>
      </c>
      <c r="AU6" s="91" t="s">
        <v>82</v>
      </c>
      <c r="AV6" s="91" t="s">
        <v>82</v>
      </c>
      <c r="AW6" s="91" t="s">
        <v>82</v>
      </c>
      <c r="AX6" s="91" t="s">
        <v>82</v>
      </c>
      <c r="AY6" s="91" t="s">
        <v>82</v>
      </c>
      <c r="AZ6" s="91" t="s">
        <v>82</v>
      </c>
      <c r="BA6" s="91" t="s">
        <v>82</v>
      </c>
      <c r="BB6" s="91" t="s">
        <v>82</v>
      </c>
      <c r="BC6" s="91" t="s">
        <v>82</v>
      </c>
      <c r="BD6" s="91" t="s">
        <v>82</v>
      </c>
      <c r="BE6" s="91" t="s">
        <v>82</v>
      </c>
    </row>
    <row r="7" spans="1:58" s="73" customFormat="1" x14ac:dyDescent="0.25">
      <c r="A7" s="57" t="s">
        <v>4</v>
      </c>
      <c r="B7" s="201" t="s">
        <v>449</v>
      </c>
      <c r="D7" s="202" t="s">
        <v>175</v>
      </c>
      <c r="E7" s="94"/>
      <c r="F7" s="202" t="s">
        <v>176</v>
      </c>
      <c r="G7" s="94"/>
      <c r="H7" s="202" t="s">
        <v>154</v>
      </c>
      <c r="I7" s="94"/>
      <c r="J7" s="202" t="s">
        <v>6</v>
      </c>
      <c r="K7" s="42"/>
      <c r="L7" s="202" t="s">
        <v>195</v>
      </c>
      <c r="M7" s="94"/>
      <c r="N7" s="202" t="s">
        <v>6</v>
      </c>
      <c r="O7" s="94"/>
      <c r="P7" s="202">
        <v>1</v>
      </c>
      <c r="Q7" s="202">
        <v>6</v>
      </c>
      <c r="R7" s="202">
        <v>9</v>
      </c>
      <c r="S7" s="202">
        <v>100</v>
      </c>
      <c r="T7" s="202">
        <v>110</v>
      </c>
      <c r="U7" s="202">
        <v>115</v>
      </c>
      <c r="V7" s="202">
        <v>125</v>
      </c>
      <c r="W7" s="202">
        <v>135</v>
      </c>
      <c r="X7" s="202">
        <v>145</v>
      </c>
      <c r="Y7" s="202">
        <v>170</v>
      </c>
      <c r="Z7" s="202">
        <v>200</v>
      </c>
      <c r="AA7" s="202">
        <v>300</v>
      </c>
      <c r="AB7" s="202" t="s">
        <v>8</v>
      </c>
      <c r="AC7" s="203" t="s">
        <v>103</v>
      </c>
      <c r="AD7" s="202">
        <v>10</v>
      </c>
      <c r="AE7" s="202">
        <v>20</v>
      </c>
      <c r="AF7" s="202">
        <v>25</v>
      </c>
      <c r="AG7" s="202">
        <v>100</v>
      </c>
      <c r="AH7" s="202" t="s">
        <v>83</v>
      </c>
      <c r="AI7" s="202" t="s">
        <v>84</v>
      </c>
      <c r="AJ7" s="202" t="s">
        <v>85</v>
      </c>
      <c r="AK7" s="202" t="s">
        <v>86</v>
      </c>
      <c r="AL7" s="202" t="s">
        <v>87</v>
      </c>
      <c r="AM7" s="202" t="s">
        <v>88</v>
      </c>
      <c r="AN7" s="202" t="s">
        <v>89</v>
      </c>
      <c r="AO7" s="202" t="s">
        <v>90</v>
      </c>
      <c r="AP7" s="202" t="s">
        <v>91</v>
      </c>
      <c r="AQ7" s="202" t="s">
        <v>92</v>
      </c>
      <c r="AR7" s="202" t="s">
        <v>93</v>
      </c>
      <c r="AS7" s="202" t="s">
        <v>94</v>
      </c>
      <c r="AT7" s="202" t="s">
        <v>95</v>
      </c>
      <c r="AU7" s="202" t="s">
        <v>96</v>
      </c>
      <c r="AV7" s="202" t="s">
        <v>97</v>
      </c>
      <c r="AW7" s="202">
        <v>331</v>
      </c>
      <c r="AX7" s="202">
        <v>332</v>
      </c>
      <c r="AY7" s="202">
        <v>401</v>
      </c>
      <c r="AZ7" s="202" t="s">
        <v>98</v>
      </c>
      <c r="BA7" s="202" t="s">
        <v>259</v>
      </c>
      <c r="BB7" s="202" t="s">
        <v>99</v>
      </c>
      <c r="BC7" s="202" t="s">
        <v>100</v>
      </c>
      <c r="BD7" s="202" t="s">
        <v>101</v>
      </c>
      <c r="BE7" s="202" t="s">
        <v>102</v>
      </c>
    </row>
    <row r="8" spans="1:58" s="73" customFormat="1" x14ac:dyDescent="0.25">
      <c r="A8" s="56"/>
      <c r="B8" s="156"/>
      <c r="D8" s="211" t="s">
        <v>12</v>
      </c>
      <c r="E8" s="94"/>
      <c r="F8" s="211" t="s">
        <v>13</v>
      </c>
      <c r="G8" s="94"/>
      <c r="H8" s="211" t="s">
        <v>14</v>
      </c>
      <c r="I8" s="94"/>
      <c r="J8" s="211" t="s">
        <v>415</v>
      </c>
      <c r="L8" s="211" t="s">
        <v>15</v>
      </c>
      <c r="M8" s="94"/>
      <c r="N8" s="211" t="s">
        <v>16</v>
      </c>
      <c r="O8" s="94"/>
      <c r="P8" s="211" t="s">
        <v>59</v>
      </c>
      <c r="Q8" s="211" t="s">
        <v>61</v>
      </c>
      <c r="R8" s="211" t="s">
        <v>62</v>
      </c>
      <c r="S8" s="211" t="s">
        <v>105</v>
      </c>
      <c r="T8" s="211" t="s">
        <v>166</v>
      </c>
      <c r="U8" s="211" t="s">
        <v>167</v>
      </c>
      <c r="V8" s="211" t="s">
        <v>168</v>
      </c>
      <c r="W8" s="211" t="s">
        <v>209</v>
      </c>
      <c r="X8" s="211" t="s">
        <v>218</v>
      </c>
      <c r="Y8" s="211" t="s">
        <v>420</v>
      </c>
      <c r="Z8" s="211" t="s">
        <v>421</v>
      </c>
      <c r="AA8" s="211" t="s">
        <v>422</v>
      </c>
      <c r="AB8" s="211" t="s">
        <v>423</v>
      </c>
      <c r="AC8" s="211" t="s">
        <v>424</v>
      </c>
      <c r="AD8" s="211" t="s">
        <v>425</v>
      </c>
      <c r="AE8" s="211" t="s">
        <v>426</v>
      </c>
      <c r="AF8" s="211" t="s">
        <v>427</v>
      </c>
      <c r="AG8" s="211" t="s">
        <v>428</v>
      </c>
      <c r="AH8" s="211" t="s">
        <v>429</v>
      </c>
      <c r="AI8" s="211" t="s">
        <v>430</v>
      </c>
      <c r="AJ8" s="211" t="s">
        <v>431</v>
      </c>
      <c r="AK8" s="211" t="s">
        <v>432</v>
      </c>
      <c r="AL8" s="211" t="s">
        <v>433</v>
      </c>
      <c r="AM8" s="211" t="s">
        <v>434</v>
      </c>
      <c r="AN8" s="211" t="s">
        <v>435</v>
      </c>
      <c r="AO8" s="211" t="s">
        <v>436</v>
      </c>
      <c r="AP8" s="211" t="s">
        <v>437</v>
      </c>
      <c r="AQ8" s="211" t="s">
        <v>438</v>
      </c>
      <c r="AR8" s="211" t="s">
        <v>439</v>
      </c>
      <c r="AS8" s="211" t="s">
        <v>440</v>
      </c>
      <c r="AT8" s="211" t="s">
        <v>441</v>
      </c>
      <c r="AU8" s="211" t="s">
        <v>442</v>
      </c>
      <c r="AV8" s="211" t="s">
        <v>443</v>
      </c>
      <c r="AW8" s="211" t="s">
        <v>444</v>
      </c>
      <c r="AX8" s="211" t="s">
        <v>445</v>
      </c>
      <c r="AY8" s="211" t="s">
        <v>446</v>
      </c>
      <c r="AZ8" s="211" t="s">
        <v>447</v>
      </c>
      <c r="BA8" s="211" t="s">
        <v>466</v>
      </c>
      <c r="BB8" s="211" t="s">
        <v>467</v>
      </c>
      <c r="BC8" s="211" t="s">
        <v>468</v>
      </c>
      <c r="BD8" s="211" t="s">
        <v>469</v>
      </c>
      <c r="BE8" s="211" t="s">
        <v>470</v>
      </c>
    </row>
    <row r="10" spans="1:58" x14ac:dyDescent="0.25">
      <c r="B10" s="197" t="s">
        <v>462</v>
      </c>
    </row>
    <row r="11" spans="1:58" x14ac:dyDescent="0.25">
      <c r="A11" s="2">
        <v>1</v>
      </c>
      <c r="B11" s="73" t="s">
        <v>155</v>
      </c>
      <c r="D11" s="22">
        <f ca="1">SUM('Gas Supply Class'!P116:P120,'Gas Supply Class'!P122)</f>
        <v>2728040.5732561182</v>
      </c>
      <c r="E11" s="22"/>
      <c r="F11" s="22">
        <f ca="1">D11</f>
        <v>2728040.5732561182</v>
      </c>
      <c r="L11" s="22">
        <f ca="1">F11-H11</f>
        <v>2728040.5732561182</v>
      </c>
      <c r="N11" s="28" t="str">
        <f>'Total ALLOCATION'!N11</f>
        <v>SUPPLY_VOL</v>
      </c>
      <c r="P11" s="22">
        <f ca="1">IF($L11&lt;&gt;0,VLOOKUP($N11,'Allocation Factors'!$B$12:$AU$603,5,FALSE)*$L11,0)+IF($H11&lt;&gt;0,(VLOOKUP($J11,'Allocation Factors'!$B$12:$AU$603,5,FALSE)*$H11),0)</f>
        <v>1019989.7454302686</v>
      </c>
      <c r="Q11" s="22">
        <f ca="1">IF($L11&lt;&gt;0,VLOOKUP($N11,'Allocation Factors'!$B$12:$AU$603,6,FALSE)*$L11,0)+IF($H11&lt;&gt;0,(VLOOKUP($J11,'Allocation Factors'!$B$12:$AU$603,6,FALSE)*$H11),0)</f>
        <v>616434.06273054087</v>
      </c>
      <c r="R11" s="22">
        <f ca="1">IF($L11&lt;&gt;0,VLOOKUP($N11,'Allocation Factors'!$B$12:$AU$603,7,FALSE)*$L11,0)+IF($H11&lt;&gt;0,(VLOOKUP($J11,'Allocation Factors'!$B$12:$AU$603,7,FALSE)*$H11),0)</f>
        <v>0</v>
      </c>
      <c r="S11" s="22">
        <f ca="1">IF($L11&lt;&gt;0,VLOOKUP($N11,'Allocation Factors'!$B$12:$AU$603,8,FALSE)*$L11,0)+IF($H11&lt;&gt;0,(VLOOKUP($J11,'Allocation Factors'!$B$12:$AU$603,8,FALSE)*$H11),0)</f>
        <v>3061.9026086228887</v>
      </c>
      <c r="T11" s="22">
        <f ca="1">IF($L11&lt;&gt;0,VLOOKUP($N11,'Allocation Factors'!$B$12:$AU$603,9,FALSE)*$L11,0)+IF($H11&lt;&gt;0,(VLOOKUP($J11,'Allocation Factors'!$B$12:$AU$603,9,FALSE)*$H11),0)</f>
        <v>21205.166030894859</v>
      </c>
      <c r="U11" s="22">
        <f ca="1">IF($L11&lt;&gt;0,VLOOKUP($N11,'Allocation Factors'!$B$12:$AU$603,10,FALSE)*$L11,0)+IF($H11&lt;&gt;0,(VLOOKUP($J11,'Allocation Factors'!$B$12:$AU$603,10,FALSE)*$H11),0)</f>
        <v>342.5997466617282</v>
      </c>
      <c r="V11" s="22">
        <f ca="1">IF($L11&lt;&gt;0,VLOOKUP($N11,'Allocation Factors'!$B$12:$AU$603,11,FALSE)*$L11,0)+IF($H11&lt;&gt;0,(VLOOKUP($J11,'Allocation Factors'!$B$12:$AU$603,11,FALSE)*$H11),0)</f>
        <v>0</v>
      </c>
      <c r="W11" s="22">
        <f ca="1">IF($L11&lt;&gt;0,VLOOKUP($N11,'Allocation Factors'!$B$12:$AU$603,12,FALSE)*$L11,0)+IF($H11&lt;&gt;0,(VLOOKUP($J11,'Allocation Factors'!$B$12:$AU$603,12,FALSE)*$H11),0)</f>
        <v>911.20796730958568</v>
      </c>
      <c r="X11" s="22">
        <f ca="1">IF($L11&lt;&gt;0,VLOOKUP($N11,'Allocation Factors'!$B$12:$AU$603,13,FALSE)*$L11,0)+IF($H11&lt;&gt;0,(VLOOKUP($J11,'Allocation Factors'!$B$12:$AU$603,13,FALSE)*$H11),0)</f>
        <v>119.02327979123238</v>
      </c>
      <c r="Y11" s="22">
        <f ca="1">IF($L11&lt;&gt;0,VLOOKUP($N11,'Allocation Factors'!$B$12:$AU$603,14,FALSE)*$L11,0)+IF($H11&lt;&gt;0,(VLOOKUP($J11,'Allocation Factors'!$B$12:$AU$603,14,FALSE)*$H11),0)</f>
        <v>1112.2057559780535</v>
      </c>
      <c r="Z11" s="22">
        <f ca="1">IF($L11&lt;&gt;0,VLOOKUP($N11,'Allocation Factors'!$B$12:$AU$603,15,FALSE)*$L11,0)+IF($H11&lt;&gt;0,(VLOOKUP($J11,'Allocation Factors'!$B$12:$AU$603,15,FALSE)*$H11),0)</f>
        <v>29112.458732969579</v>
      </c>
      <c r="AA11" s="22">
        <f ca="1">IF($L11&lt;&gt;0,VLOOKUP($N11,'Allocation Factors'!$B$12:$AU$603,16,FALSE)*$L11,0)+IF($H11&lt;&gt;0,(VLOOKUP($J11,'Allocation Factors'!$B$12:$AU$603,16,FALSE)*$H11),0)</f>
        <v>0</v>
      </c>
      <c r="AB11" s="22">
        <f ca="1">IF($L11&lt;&gt;0,VLOOKUP($N11,'Allocation Factors'!$B$12:$AU$603,17,FALSE)*$L11,0)+IF($H11&lt;&gt;0,(VLOOKUP($J11,'Allocation Factors'!$B$12:$AU$603,17,FALSE)*$H11),0)</f>
        <v>0</v>
      </c>
      <c r="AC11" s="22">
        <f ca="1">IF($L11&lt;&gt;0,VLOOKUP($N11,'Allocation Factors'!$B$12:$AU$603,18,FALSE)*$L11,0)+IF($H11&lt;&gt;0,(VLOOKUP($J11,'Allocation Factors'!$B$12:$AU$603,18,FALSE)*$H11),0)</f>
        <v>193220.38768988085</v>
      </c>
      <c r="AD11" s="22">
        <f ca="1">IF($L11&lt;&gt;0,VLOOKUP($N11,'Allocation Factors'!$B$12:$AU$603,19,FALSE)*$L11,0)+IF($H11&lt;&gt;0,(VLOOKUP($J11,'Allocation Factors'!$B$12:$AU$603,19,FALSE)*$H11),0)</f>
        <v>34151.345115240692</v>
      </c>
      <c r="AE11" s="22">
        <f ca="1">IF($L11&lt;&gt;0,VLOOKUP($N11,'Allocation Factors'!$B$12:$AU$603,20,FALSE)*$L11,0)+IF($H11&lt;&gt;0,(VLOOKUP($J11,'Allocation Factors'!$B$12:$AU$603,20,FALSE)*$H11),0)</f>
        <v>3243.3385333600131</v>
      </c>
      <c r="AF11" s="22">
        <f ca="1">IF($L11&lt;&gt;0,VLOOKUP($N11,'Allocation Factors'!$B$12:$AU$603,21,FALSE)*$L11,0)+IF($H11&lt;&gt;0,(VLOOKUP($J11,'Allocation Factors'!$B$12:$AU$603,21,FALSE)*$H11),0)</f>
        <v>1183.283319342823</v>
      </c>
      <c r="AG11" s="22">
        <f ca="1">IF($L11&lt;&gt;0,VLOOKUP($N11,'Allocation Factors'!$B$12:$AU$603,22,FALSE)*$L11,0)+IF($H11&lt;&gt;0,(VLOOKUP($J11,'Allocation Factors'!$B$12:$AU$603,22,FALSE)*$H11),0)</f>
        <v>0</v>
      </c>
      <c r="AH11" s="22">
        <f ca="1">IF($L11&lt;&gt;0,VLOOKUP($N11,'Allocation Factors'!$B$12:$AU$603,23,FALSE)*$L11,0)+IF($H11&lt;&gt;0,(VLOOKUP($J11,'Allocation Factors'!$B$12:$AU$603,23,FALSE)*$H11),0)</f>
        <v>637685.63760125893</v>
      </c>
      <c r="AI11" s="22">
        <f ca="1">IF($L11&lt;&gt;0,VLOOKUP($N11,'Allocation Factors'!$B$12:$AU$603,24,FALSE)*$L11,0)+IF($H11&lt;&gt;0,(VLOOKUP($J11,'Allocation Factors'!$B$12:$AU$603,24,FALSE)*$H11),0)</f>
        <v>142834.02358739416</v>
      </c>
      <c r="AJ11" s="22">
        <f ca="1">IF($L11&lt;&gt;0,VLOOKUP($N11,'Allocation Factors'!$B$12:$AU$603,25,FALSE)*$L11,0)+IF($H11&lt;&gt;0,(VLOOKUP($J11,'Allocation Factors'!$B$12:$AU$603,25,FALSE)*$H11),0)</f>
        <v>12317.119625111889</v>
      </c>
      <c r="AK11" s="22">
        <f ca="1">IF($L11&lt;&gt;0,VLOOKUP($N11,'Allocation Factors'!$B$12:$AU$603,26,FALSE)*$L11,0)+IF($H11&lt;&gt;0,(VLOOKUP($J11,'Allocation Factors'!$B$12:$AU$603,26,FALSE)*$H11),0)</f>
        <v>0</v>
      </c>
      <c r="AL11" s="22">
        <f ca="1">IF($L11&lt;&gt;0,VLOOKUP($N11,'Allocation Factors'!$B$12:$AU$603,27,FALSE)*$L11,0)+IF($H11&lt;&gt;0,(VLOOKUP($J11,'Allocation Factors'!$B$12:$AU$603,27,FALSE)*$H11),0)</f>
        <v>63.02485779526161</v>
      </c>
      <c r="AM11" s="22">
        <f ca="1">IF($L11&lt;&gt;0,VLOOKUP($N11,'Allocation Factors'!$B$12:$AU$603,28,FALSE)*$L11,0)+IF($H11&lt;&gt;0,(VLOOKUP($J11,'Allocation Factors'!$B$12:$AU$603,28,FALSE)*$H11),0)</f>
        <v>385.9833639956247</v>
      </c>
      <c r="AN11" s="22">
        <f ca="1">IF($L11&lt;&gt;0,VLOOKUP($N11,'Allocation Factors'!$B$12:$AU$603,29,FALSE)*$L11,0)+IF($H11&lt;&gt;0,(VLOOKUP($J11,'Allocation Factors'!$B$12:$AU$603,29,FALSE)*$H11),0)</f>
        <v>6939.5411928437325</v>
      </c>
      <c r="AO11" s="22">
        <f ca="1">IF($L11&lt;&gt;0,VLOOKUP($N11,'Allocation Factors'!$B$12:$AU$603,30,FALSE)*$L11,0)+IF($H11&lt;&gt;0,(VLOOKUP($J11,'Allocation Factors'!$B$12:$AU$603,30,FALSE)*$H11),0)</f>
        <v>451.09415098859853</v>
      </c>
      <c r="AP11" s="22">
        <f ca="1">IF($L11&lt;&gt;0,VLOOKUP($N11,'Allocation Factors'!$B$12:$AU$603,31,FALSE)*$L11,0)+IF($H11&lt;&gt;0,(VLOOKUP($J11,'Allocation Factors'!$B$12:$AU$603,31,FALSE)*$H11),0)</f>
        <v>3277.4219358687674</v>
      </c>
      <c r="AQ11" s="22">
        <f ca="1">IF($L11&lt;&gt;0,VLOOKUP($N11,'Allocation Factors'!$B$12:$AU$603,32,FALSE)*$L11,0)+IF($H11&lt;&gt;0,(VLOOKUP($J11,'Allocation Factors'!$B$12:$AU$603,32,FALSE)*$H11),0)</f>
        <v>0</v>
      </c>
      <c r="AR11" s="22">
        <f ca="1">IF($L11&lt;&gt;0,VLOOKUP($N11,'Allocation Factors'!$B$12:$AU$603,33,FALSE)*$L11,0)+IF($H11&lt;&gt;0,(VLOOKUP($J11,'Allocation Factors'!$B$12:$AU$603,33,FALSE)*$H11),0)</f>
        <v>0</v>
      </c>
      <c r="AS11" s="22">
        <f ca="1">IF($L11&lt;&gt;0,VLOOKUP($N11,'Allocation Factors'!$B$12:$AU$603,34,FALSE)*$L11,0)+IF($H11&lt;&gt;0,(VLOOKUP($J11,'Allocation Factors'!$B$12:$AU$603,34,FALSE)*$H11),0)</f>
        <v>0</v>
      </c>
      <c r="AT11" s="22">
        <f ca="1">IF($L11&lt;&gt;0,VLOOKUP($N11,'Allocation Factors'!$B$12:$AU$603,35,FALSE)*$L11,0)+IF($H11&lt;&gt;0,(VLOOKUP($J11,'Allocation Factors'!$B$12:$AU$603,35,FALSE)*$H11),0)</f>
        <v>0</v>
      </c>
      <c r="AU11" s="22">
        <f ca="1">IF($L11&lt;&gt;0,VLOOKUP($N11,'Allocation Factors'!$B$12:$AU$603,36,FALSE)*$L11,0)+IF($H11&lt;&gt;0,(VLOOKUP($J11,'Allocation Factors'!$B$12:$AU$603,36,FALSE)*$H11),0)</f>
        <v>0</v>
      </c>
      <c r="AV11" s="22">
        <f ca="1">IF($L11&lt;&gt;0,VLOOKUP($N11,'Allocation Factors'!$B$12:$AU$603,37,FALSE)*$L11,0)+IF($H11&lt;&gt;0,(VLOOKUP($J11,'Allocation Factors'!$B$12:$AU$603,37,FALSE)*$H11),0)</f>
        <v>0</v>
      </c>
      <c r="AW11" s="22">
        <f ca="1">IF($L11&lt;&gt;0,VLOOKUP($N11,'Allocation Factors'!$B$12:$AU$603,38,FALSE)*$L11,0)+IF($H11&lt;&gt;0,(VLOOKUP($J11,'Allocation Factors'!$B$12:$AU$603,38,FALSE)*$H11),0)</f>
        <v>0</v>
      </c>
      <c r="AX11" s="22">
        <f ca="1">IF($L11&lt;&gt;0,VLOOKUP($N11,'Allocation Factors'!$B$12:$AU$603,39,FALSE)*$L11,0)+IF($H11&lt;&gt;0,(VLOOKUP($J11,'Allocation Factors'!$B$12:$AU$603,39,FALSE)*$H11),0)</f>
        <v>0</v>
      </c>
      <c r="AY11" s="22">
        <f ca="1">IF($L11&lt;&gt;0,VLOOKUP($N11,'Allocation Factors'!$B$12:$AU$603,40,FALSE)*$L11,0)+IF($H11&lt;&gt;0,(VLOOKUP($J11,'Allocation Factors'!$B$12:$AU$603,40,FALSE)*$H11),0)</f>
        <v>0</v>
      </c>
      <c r="AZ11" s="22">
        <f ca="1">IF($L11&lt;&gt;0,VLOOKUP($N11,'Allocation Factors'!$B$12:$AU$603,41,FALSE)*$L11,0)+IF($H11&lt;&gt;0,(VLOOKUP($J11,'Allocation Factors'!$B$12:$AU$603,41,FALSE)*$H11),0)</f>
        <v>0</v>
      </c>
      <c r="BA11" s="22">
        <f ca="1">IF($L11&lt;&gt;0,VLOOKUP($N11,'Allocation Factors'!$B$12:$AU$603,42,FALSE)*$L11,0)+IF($H11&lt;&gt;0,(VLOOKUP($J11,'Allocation Factors'!$B$12:$AU$603,42,FALSE)*$H11),0)</f>
        <v>0</v>
      </c>
      <c r="BB11" s="22">
        <f ca="1">IF($L11&lt;&gt;0,VLOOKUP($N11,'Allocation Factors'!$B$12:$AU$603,43,FALSE)*$L11,0)+IF($H11&lt;&gt;0,(VLOOKUP($J11,'Allocation Factors'!$B$12:$AU$603,43,FALSE)*$H11),0)</f>
        <v>0</v>
      </c>
      <c r="BC11" s="22">
        <f ca="1">IF($L11&lt;&gt;0,VLOOKUP($N11,'Allocation Factors'!$B$12:$AU$603,44,FALSE)*$L11,0)+IF($H11&lt;&gt;0,(VLOOKUP($J11,'Allocation Factors'!$B$12:$AU$603,44,FALSE)*$H11),0)</f>
        <v>0</v>
      </c>
      <c r="BD11" s="22">
        <f ca="1">IF($L11&lt;&gt;0,VLOOKUP($N11,'Allocation Factors'!$B$12:$AU$603,45,FALSE)*$L11,0)+IF($H11&lt;&gt;0,(VLOOKUP($J11,'Allocation Factors'!$B$12:$AU$603,45,FALSE)*$H11),0)</f>
        <v>0</v>
      </c>
      <c r="BE11" s="22">
        <f ca="1">IF($L11&lt;&gt;0,VLOOKUP($N11,'Allocation Factors'!$B$12:$AU$603,46,FALSE)*$L11,0)+IF($H11&lt;&gt;0,(VLOOKUP($J11,'Allocation Factors'!$B$12:$AU$603,46,FALSE)*$H11),0)</f>
        <v>0</v>
      </c>
      <c r="BF11" s="9"/>
    </row>
    <row r="12" spans="1:58" x14ac:dyDescent="0.25">
      <c r="A12" s="2">
        <f>A11+1</f>
        <v>2</v>
      </c>
      <c r="B12" s="73" t="s">
        <v>463</v>
      </c>
      <c r="D12" s="22">
        <f ca="1">SUM('Gas Supply Class'!R116:R120,'Gas Supply Class'!R122)</f>
        <v>175236.13783085361</v>
      </c>
      <c r="E12" s="22"/>
      <c r="F12" s="22">
        <f t="shared" ref="F12:F15" ca="1" si="0">D12</f>
        <v>175236.13783085361</v>
      </c>
      <c r="L12" s="22">
        <f t="shared" ref="L12:L16" ca="1" si="1">F12-H12</f>
        <v>175236.13783085361</v>
      </c>
      <c r="N12" s="28" t="str">
        <f>'Total ALLOCATION'!N12</f>
        <v>LOAD_BALANCING</v>
      </c>
      <c r="P12" s="22">
        <f ca="1">IF($L12&lt;&gt;0,VLOOKUP($N12,'Allocation Factors'!$B$12:$AU$603,5,FALSE)*$L12,0)+IF($H12&lt;&gt;0,(VLOOKUP($J12,'Allocation Factors'!$B$12:$AU$603,5,FALSE)*$H12),0)</f>
        <v>55261.44133689953</v>
      </c>
      <c r="Q12" s="22">
        <f ca="1">IF($L12&lt;&gt;0,VLOOKUP($N12,'Allocation Factors'!$B$12:$AU$603,6,FALSE)*$L12,0)+IF($H12&lt;&gt;0,(VLOOKUP($J12,'Allocation Factors'!$B$12:$AU$603,6,FALSE)*$H12),0)</f>
        <v>48028.839900511281</v>
      </c>
      <c r="R12" s="22">
        <f ca="1">IF($L12&lt;&gt;0,VLOOKUP($N12,'Allocation Factors'!$B$12:$AU$603,7,FALSE)*$L12,0)+IF($H12&lt;&gt;0,(VLOOKUP($J12,'Allocation Factors'!$B$12:$AU$603,7,FALSE)*$H12),0)</f>
        <v>0</v>
      </c>
      <c r="S12" s="22">
        <f ca="1">IF($L12&lt;&gt;0,VLOOKUP($N12,'Allocation Factors'!$B$12:$AU$603,8,FALSE)*$L12,0)+IF($H12&lt;&gt;0,(VLOOKUP($J12,'Allocation Factors'!$B$12:$AU$603,8,FALSE)*$H12),0)</f>
        <v>128.77632282556704</v>
      </c>
      <c r="T12" s="22">
        <f ca="1">IF($L12&lt;&gt;0,VLOOKUP($N12,'Allocation Factors'!$B$12:$AU$603,9,FALSE)*$L12,0)+IF($H12&lt;&gt;0,(VLOOKUP($J12,'Allocation Factors'!$B$12:$AU$603,9,FALSE)*$H12),0)</f>
        <v>3509.2950074189293</v>
      </c>
      <c r="U12" s="22">
        <f ca="1">IF($L12&lt;&gt;0,VLOOKUP($N12,'Allocation Factors'!$B$12:$AU$603,10,FALSE)*$L12,0)+IF($H12&lt;&gt;0,(VLOOKUP($J12,'Allocation Factors'!$B$12:$AU$603,10,FALSE)*$H12),0)</f>
        <v>129.42678070845795</v>
      </c>
      <c r="V12" s="22">
        <f ca="1">IF($L12&lt;&gt;0,VLOOKUP($N12,'Allocation Factors'!$B$12:$AU$603,11,FALSE)*$L12,0)+IF($H12&lt;&gt;0,(VLOOKUP($J12,'Allocation Factors'!$B$12:$AU$603,11,FALSE)*$H12),0)</f>
        <v>0</v>
      </c>
      <c r="W12" s="22">
        <f ca="1">IF($L12&lt;&gt;0,VLOOKUP($N12,'Allocation Factors'!$B$12:$AU$603,12,FALSE)*$L12,0)+IF($H12&lt;&gt;0,(VLOOKUP($J12,'Allocation Factors'!$B$12:$AU$603,12,FALSE)*$H12),0)</f>
        <v>0</v>
      </c>
      <c r="X12" s="22">
        <f ca="1">IF($L12&lt;&gt;0,VLOOKUP($N12,'Allocation Factors'!$B$12:$AU$603,13,FALSE)*$L12,0)+IF($H12&lt;&gt;0,(VLOOKUP($J12,'Allocation Factors'!$B$12:$AU$603,13,FALSE)*$H12),0)</f>
        <v>0</v>
      </c>
      <c r="Y12" s="22">
        <f ca="1">IF($L12&lt;&gt;0,VLOOKUP($N12,'Allocation Factors'!$B$12:$AU$603,14,FALSE)*$L12,0)+IF($H12&lt;&gt;0,(VLOOKUP($J12,'Allocation Factors'!$B$12:$AU$603,14,FALSE)*$H12),0)</f>
        <v>0</v>
      </c>
      <c r="Z12" s="22">
        <f ca="1">IF($L12&lt;&gt;0,VLOOKUP($N12,'Allocation Factors'!$B$12:$AU$603,15,FALSE)*$L12,0)+IF($H12&lt;&gt;0,(VLOOKUP($J12,'Allocation Factors'!$B$12:$AU$603,15,FALSE)*$H12),0)</f>
        <v>1041.0808784147146</v>
      </c>
      <c r="AA12" s="22">
        <f ca="1">IF($L12&lt;&gt;0,VLOOKUP($N12,'Allocation Factors'!$B$12:$AU$603,16,FALSE)*$L12,0)+IF($H12&lt;&gt;0,(VLOOKUP($J12,'Allocation Factors'!$B$12:$AU$603,16,FALSE)*$H12),0)</f>
        <v>0</v>
      </c>
      <c r="AB12" s="22">
        <f ca="1">IF($L12&lt;&gt;0,VLOOKUP($N12,'Allocation Factors'!$B$12:$AU$603,17,FALSE)*$L12,0)+IF($H12&lt;&gt;0,(VLOOKUP($J12,'Allocation Factors'!$B$12:$AU$603,17,FALSE)*$H12),0)</f>
        <v>1798.5082446242629</v>
      </c>
      <c r="AC12" s="22">
        <f ca="1">IF($L12&lt;&gt;0,VLOOKUP($N12,'Allocation Factors'!$B$12:$AU$603,18,FALSE)*$L12,0)+IF($H12&lt;&gt;0,(VLOOKUP($J12,'Allocation Factors'!$B$12:$AU$603,18,FALSE)*$H12),0)</f>
        <v>9908.4860253864426</v>
      </c>
      <c r="AD12" s="22">
        <f ca="1">IF($L12&lt;&gt;0,VLOOKUP($N12,'Allocation Factors'!$B$12:$AU$603,19,FALSE)*$L12,0)+IF($H12&lt;&gt;0,(VLOOKUP($J12,'Allocation Factors'!$B$12:$AU$603,19,FALSE)*$H12),0)</f>
        <v>2801.0437947301357</v>
      </c>
      <c r="AE12" s="22">
        <f ca="1">IF($L12&lt;&gt;0,VLOOKUP($N12,'Allocation Factors'!$B$12:$AU$603,20,FALSE)*$L12,0)+IF($H12&lt;&gt;0,(VLOOKUP($J12,'Allocation Factors'!$B$12:$AU$603,20,FALSE)*$H12),0)</f>
        <v>396.12084894520325</v>
      </c>
      <c r="AF12" s="22">
        <f ca="1">IF($L12&lt;&gt;0,VLOOKUP($N12,'Allocation Factors'!$B$12:$AU$603,21,FALSE)*$L12,0)+IF($H12&lt;&gt;0,(VLOOKUP($J12,'Allocation Factors'!$B$12:$AU$603,21,FALSE)*$H12),0)</f>
        <v>0</v>
      </c>
      <c r="AG12" s="22">
        <f ca="1">IF($L12&lt;&gt;0,VLOOKUP($N12,'Allocation Factors'!$B$12:$AU$603,22,FALSE)*$L12,0)+IF($H12&lt;&gt;0,(VLOOKUP($J12,'Allocation Factors'!$B$12:$AU$603,22,FALSE)*$H12),0)</f>
        <v>0</v>
      </c>
      <c r="AH12" s="22">
        <f ca="1">IF($L12&lt;&gt;0,VLOOKUP($N12,'Allocation Factors'!$B$12:$AU$603,23,FALSE)*$L12,0)+IF($H12&lt;&gt;0,(VLOOKUP($J12,'Allocation Factors'!$B$12:$AU$603,23,FALSE)*$H12),0)</f>
        <v>31354.020733836118</v>
      </c>
      <c r="AI12" s="22">
        <f ca="1">IF($L12&lt;&gt;0,VLOOKUP($N12,'Allocation Factors'!$B$12:$AU$603,24,FALSE)*$L12,0)+IF($H12&lt;&gt;0,(VLOOKUP($J12,'Allocation Factors'!$B$12:$AU$603,24,FALSE)*$H12),0)</f>
        <v>11179.939558464597</v>
      </c>
      <c r="AJ12" s="22">
        <f ca="1">IF($L12&lt;&gt;0,VLOOKUP($N12,'Allocation Factors'!$B$12:$AU$603,25,FALSE)*$L12,0)+IF($H12&lt;&gt;0,(VLOOKUP($J12,'Allocation Factors'!$B$12:$AU$603,25,FALSE)*$H12),0)</f>
        <v>3500.5078027469058</v>
      </c>
      <c r="AK12" s="22">
        <f ca="1">IF($L12&lt;&gt;0,VLOOKUP($N12,'Allocation Factors'!$B$12:$AU$603,26,FALSE)*$L12,0)+IF($H12&lt;&gt;0,(VLOOKUP($J12,'Allocation Factors'!$B$12:$AU$603,26,FALSE)*$H12),0)</f>
        <v>0</v>
      </c>
      <c r="AL12" s="22">
        <f ca="1">IF($L12&lt;&gt;0,VLOOKUP($N12,'Allocation Factors'!$B$12:$AU$603,27,FALSE)*$L12,0)+IF($H12&lt;&gt;0,(VLOOKUP($J12,'Allocation Factors'!$B$12:$AU$603,27,FALSE)*$H12),0)</f>
        <v>33.878245939593775</v>
      </c>
      <c r="AM12" s="22">
        <f ca="1">IF($L12&lt;&gt;0,VLOOKUP($N12,'Allocation Factors'!$B$12:$AU$603,28,FALSE)*$L12,0)+IF($H12&lt;&gt;0,(VLOOKUP($J12,'Allocation Factors'!$B$12:$AU$603,28,FALSE)*$H12),0)</f>
        <v>0</v>
      </c>
      <c r="AN12" s="22">
        <f ca="1">IF($L12&lt;&gt;0,VLOOKUP($N12,'Allocation Factors'!$B$12:$AU$603,29,FALSE)*$L12,0)+IF($H12&lt;&gt;0,(VLOOKUP($J12,'Allocation Factors'!$B$12:$AU$603,29,FALSE)*$H12),0)</f>
        <v>5813.1133956464337</v>
      </c>
      <c r="AO12" s="22">
        <f ca="1">IF($L12&lt;&gt;0,VLOOKUP($N12,'Allocation Factors'!$B$12:$AU$603,30,FALSE)*$L12,0)+IF($H12&lt;&gt;0,(VLOOKUP($J12,'Allocation Factors'!$B$12:$AU$603,30,FALSE)*$H12),0)</f>
        <v>0</v>
      </c>
      <c r="AP12" s="22">
        <f ca="1">IF($L12&lt;&gt;0,VLOOKUP($N12,'Allocation Factors'!$B$12:$AU$603,31,FALSE)*$L12,0)+IF($H12&lt;&gt;0,(VLOOKUP($J12,'Allocation Factors'!$B$12:$AU$603,31,FALSE)*$H12),0)</f>
        <v>351.65895375544835</v>
      </c>
      <c r="AQ12" s="22">
        <f ca="1">IF($L12&lt;&gt;0,VLOOKUP($N12,'Allocation Factors'!$B$12:$AU$603,32,FALSE)*$L12,0)+IF($H12&lt;&gt;0,(VLOOKUP($J12,'Allocation Factors'!$B$12:$AU$603,32,FALSE)*$H12),0)</f>
        <v>0</v>
      </c>
      <c r="AR12" s="22">
        <f ca="1">IF($L12&lt;&gt;0,VLOOKUP($N12,'Allocation Factors'!$B$12:$AU$603,33,FALSE)*$L12,0)+IF($H12&lt;&gt;0,(VLOOKUP($J12,'Allocation Factors'!$B$12:$AU$603,33,FALSE)*$H12),0)</f>
        <v>0</v>
      </c>
      <c r="AS12" s="22">
        <f ca="1">IF($L12&lt;&gt;0,VLOOKUP($N12,'Allocation Factors'!$B$12:$AU$603,34,FALSE)*$L12,0)+IF($H12&lt;&gt;0,(VLOOKUP($J12,'Allocation Factors'!$B$12:$AU$603,34,FALSE)*$H12),0)</f>
        <v>0</v>
      </c>
      <c r="AT12" s="22">
        <f ca="1">IF($L12&lt;&gt;0,VLOOKUP($N12,'Allocation Factors'!$B$12:$AU$603,35,FALSE)*$L12,0)+IF($H12&lt;&gt;0,(VLOOKUP($J12,'Allocation Factors'!$B$12:$AU$603,35,FALSE)*$H12),0)</f>
        <v>0</v>
      </c>
      <c r="AU12" s="22">
        <f ca="1">IF($L12&lt;&gt;0,VLOOKUP($N12,'Allocation Factors'!$B$12:$AU$603,36,FALSE)*$L12,0)+IF($H12&lt;&gt;0,(VLOOKUP($J12,'Allocation Factors'!$B$12:$AU$603,36,FALSE)*$H12),0)</f>
        <v>0</v>
      </c>
      <c r="AV12" s="22">
        <f ca="1">IF($L12&lt;&gt;0,VLOOKUP($N12,'Allocation Factors'!$B$12:$AU$603,37,FALSE)*$L12,0)+IF($H12&lt;&gt;0,(VLOOKUP($J12,'Allocation Factors'!$B$12:$AU$603,37,FALSE)*$H12),0)</f>
        <v>0</v>
      </c>
      <c r="AW12" s="22">
        <f ca="1">IF($L12&lt;&gt;0,VLOOKUP($N12,'Allocation Factors'!$B$12:$AU$603,38,FALSE)*$L12,0)+IF($H12&lt;&gt;0,(VLOOKUP($J12,'Allocation Factors'!$B$12:$AU$603,38,FALSE)*$H12),0)</f>
        <v>0</v>
      </c>
      <c r="AX12" s="22">
        <f ca="1">IF($L12&lt;&gt;0,VLOOKUP($N12,'Allocation Factors'!$B$12:$AU$603,39,FALSE)*$L12,0)+IF($H12&lt;&gt;0,(VLOOKUP($J12,'Allocation Factors'!$B$12:$AU$603,39,FALSE)*$H12),0)</f>
        <v>0</v>
      </c>
      <c r="AY12" s="22">
        <f ca="1">IF($L12&lt;&gt;0,VLOOKUP($N12,'Allocation Factors'!$B$12:$AU$603,40,FALSE)*$L12,0)+IF($H12&lt;&gt;0,(VLOOKUP($J12,'Allocation Factors'!$B$12:$AU$603,40,FALSE)*$H12),0)</f>
        <v>0</v>
      </c>
      <c r="AZ12" s="22">
        <f ca="1">IF($L12&lt;&gt;0,VLOOKUP($N12,'Allocation Factors'!$B$12:$AU$603,41,FALSE)*$L12,0)+IF($H12&lt;&gt;0,(VLOOKUP($J12,'Allocation Factors'!$B$12:$AU$603,41,FALSE)*$H12),0)</f>
        <v>0</v>
      </c>
      <c r="BA12" s="22">
        <f ca="1">IF($L12&lt;&gt;0,VLOOKUP($N12,'Allocation Factors'!$B$12:$AU$603,42,FALSE)*$L12,0)+IF($H12&lt;&gt;0,(VLOOKUP($J12,'Allocation Factors'!$B$12:$AU$603,42,FALSE)*$H12),0)</f>
        <v>0</v>
      </c>
      <c r="BB12" s="22">
        <f ca="1">IF($L12&lt;&gt;0,VLOOKUP($N12,'Allocation Factors'!$B$12:$AU$603,43,FALSE)*$L12,0)+IF($H12&lt;&gt;0,(VLOOKUP($J12,'Allocation Factors'!$B$12:$AU$603,43,FALSE)*$H12),0)</f>
        <v>0</v>
      </c>
      <c r="BC12" s="22">
        <f ca="1">IF($L12&lt;&gt;0,VLOOKUP($N12,'Allocation Factors'!$B$12:$AU$603,44,FALSE)*$L12,0)+IF($H12&lt;&gt;0,(VLOOKUP($J12,'Allocation Factors'!$B$12:$AU$603,44,FALSE)*$H12),0)</f>
        <v>0</v>
      </c>
      <c r="BD12" s="22">
        <f ca="1">IF($L12&lt;&gt;0,VLOOKUP($N12,'Allocation Factors'!$B$12:$AU$603,45,FALSE)*$L12,0)+IF($H12&lt;&gt;0,(VLOOKUP($J12,'Allocation Factors'!$B$12:$AU$603,45,FALSE)*$H12),0)</f>
        <v>0</v>
      </c>
      <c r="BE12" s="22">
        <f ca="1">IF($L12&lt;&gt;0,VLOOKUP($N12,'Allocation Factors'!$B$12:$AU$603,46,FALSE)*$L12,0)+IF($H12&lt;&gt;0,(VLOOKUP($J12,'Allocation Factors'!$B$12:$AU$603,46,FALSE)*$H12),0)</f>
        <v>0</v>
      </c>
      <c r="BF12" s="9"/>
    </row>
    <row r="13" spans="1:58" s="99" customFormat="1" x14ac:dyDescent="0.25">
      <c r="A13" s="2">
        <f t="shared" ref="A13:A17" si="2">A12+1</f>
        <v>3</v>
      </c>
      <c r="B13" s="73" t="s">
        <v>464</v>
      </c>
      <c r="D13" s="22">
        <f ca="1">SUM('Gas Supply Class'!T116:T120,'Gas Supply Class'!T122)</f>
        <v>23590.657623593441</v>
      </c>
      <c r="E13" s="22"/>
      <c r="F13" s="22">
        <f t="shared" ca="1" si="0"/>
        <v>23590.657623593441</v>
      </c>
      <c r="G13" s="97"/>
      <c r="H13" s="97"/>
      <c r="I13" s="97"/>
      <c r="J13" s="28"/>
      <c r="K13" s="97"/>
      <c r="L13" s="22">
        <f t="shared" ca="1" si="1"/>
        <v>23590.657623593441</v>
      </c>
      <c r="M13" s="97"/>
      <c r="N13" s="28" t="str">
        <f>'Total ALLOCATION'!N13</f>
        <v>NETFROMSTOR</v>
      </c>
      <c r="O13" s="97"/>
      <c r="P13" s="22">
        <f ca="1">IF($L13&lt;&gt;0,VLOOKUP($N13,'Allocation Factors'!$B$12:$AU$603,5,FALSE)*$L13,0)+IF($H13&lt;&gt;0,(VLOOKUP($J13,'Allocation Factors'!$B$12:$AU$603,5,FALSE)*$H13),0)</f>
        <v>7058.9650746348625</v>
      </c>
      <c r="Q13" s="22">
        <f ca="1">IF($L13&lt;&gt;0,VLOOKUP($N13,'Allocation Factors'!$B$12:$AU$603,6,FALSE)*$L13,0)+IF($H13&lt;&gt;0,(VLOOKUP($J13,'Allocation Factors'!$B$12:$AU$603,6,FALSE)*$H13),0)</f>
        <v>6135.0897702075772</v>
      </c>
      <c r="R13" s="22">
        <f ca="1">IF($L13&lt;&gt;0,VLOOKUP($N13,'Allocation Factors'!$B$12:$AU$603,7,FALSE)*$L13,0)+IF($H13&lt;&gt;0,(VLOOKUP($J13,'Allocation Factors'!$B$12:$AU$603,7,FALSE)*$H13),0)</f>
        <v>0</v>
      </c>
      <c r="S13" s="22">
        <f ca="1">IF($L13&lt;&gt;0,VLOOKUP($N13,'Allocation Factors'!$B$12:$AU$603,8,FALSE)*$L13,0)+IF($H13&lt;&gt;0,(VLOOKUP($J13,'Allocation Factors'!$B$12:$AU$603,8,FALSE)*$H13),0)</f>
        <v>16.449581177655606</v>
      </c>
      <c r="T13" s="22">
        <f ca="1">IF($L13&lt;&gt;0,VLOOKUP($N13,'Allocation Factors'!$B$12:$AU$603,9,FALSE)*$L13,0)+IF($H13&lt;&gt;0,(VLOOKUP($J13,'Allocation Factors'!$B$12:$AU$603,9,FALSE)*$H13),0)</f>
        <v>448.26899723695414</v>
      </c>
      <c r="U13" s="22">
        <f ca="1">IF($L13&lt;&gt;0,VLOOKUP($N13,'Allocation Factors'!$B$12:$AU$603,10,FALSE)*$L13,0)+IF($H13&lt;&gt;0,(VLOOKUP($J13,'Allocation Factors'!$B$12:$AU$603,10,FALSE)*$H13),0)</f>
        <v>16.532669120473745</v>
      </c>
      <c r="V13" s="22">
        <f ca="1">IF($L13&lt;&gt;0,VLOOKUP($N13,'Allocation Factors'!$B$12:$AU$603,11,FALSE)*$L13,0)+IF($H13&lt;&gt;0,(VLOOKUP($J13,'Allocation Factors'!$B$12:$AU$603,11,FALSE)*$H13),0)</f>
        <v>0</v>
      </c>
      <c r="W13" s="22">
        <f ca="1">IF($L13&lt;&gt;0,VLOOKUP($N13,'Allocation Factors'!$B$12:$AU$603,12,FALSE)*$L13,0)+IF($H13&lt;&gt;0,(VLOOKUP($J13,'Allocation Factors'!$B$12:$AU$603,12,FALSE)*$H13),0)</f>
        <v>0</v>
      </c>
      <c r="X13" s="22">
        <f ca="1">IF($L13&lt;&gt;0,VLOOKUP($N13,'Allocation Factors'!$B$12:$AU$603,13,FALSE)*$L13,0)+IF($H13&lt;&gt;0,(VLOOKUP($J13,'Allocation Factors'!$B$12:$AU$603,13,FALSE)*$H13),0)</f>
        <v>0</v>
      </c>
      <c r="Y13" s="22">
        <f ca="1">IF($L13&lt;&gt;0,VLOOKUP($N13,'Allocation Factors'!$B$12:$AU$603,14,FALSE)*$L13,0)+IF($H13&lt;&gt;0,(VLOOKUP($J13,'Allocation Factors'!$B$12:$AU$603,14,FALSE)*$H13),0)</f>
        <v>0</v>
      </c>
      <c r="Z13" s="22">
        <f ca="1">IF($L13&lt;&gt;0,VLOOKUP($N13,'Allocation Factors'!$B$12:$AU$603,15,FALSE)*$L13,0)+IF($H13&lt;&gt;0,(VLOOKUP($J13,'Allocation Factors'!$B$12:$AU$603,15,FALSE)*$H13),0)</f>
        <v>132.98519515256589</v>
      </c>
      <c r="AA13" s="22">
        <f ca="1">IF($L13&lt;&gt;0,VLOOKUP($N13,'Allocation Factors'!$B$12:$AU$603,16,FALSE)*$L13,0)+IF($H13&lt;&gt;0,(VLOOKUP($J13,'Allocation Factors'!$B$12:$AU$603,16,FALSE)*$H13),0)</f>
        <v>0</v>
      </c>
      <c r="AB13" s="22">
        <f ca="1">IF($L13&lt;&gt;0,VLOOKUP($N13,'Allocation Factors'!$B$12:$AU$603,17,FALSE)*$L13,0)+IF($H13&lt;&gt;0,(VLOOKUP($J13,'Allocation Factors'!$B$12:$AU$603,17,FALSE)*$H13),0)</f>
        <v>54.512124223278057</v>
      </c>
      <c r="AC13" s="22">
        <f ca="1">IF($L13&lt;&gt;0,VLOOKUP($N13,'Allocation Factors'!$B$12:$AU$603,18,FALSE)*$L13,0)+IF($H13&lt;&gt;0,(VLOOKUP($J13,'Allocation Factors'!$B$12:$AU$603,18,FALSE)*$H13),0)</f>
        <v>1265.6864371180864</v>
      </c>
      <c r="AD13" s="22">
        <f ca="1">IF($L13&lt;&gt;0,VLOOKUP($N13,'Allocation Factors'!$B$12:$AU$603,19,FALSE)*$L13,0)+IF($H13&lt;&gt;0,(VLOOKUP($J13,'Allocation Factors'!$B$12:$AU$603,19,FALSE)*$H13),0)</f>
        <v>357.79867193438787</v>
      </c>
      <c r="AE13" s="22">
        <f ca="1">IF($L13&lt;&gt;0,VLOOKUP($N13,'Allocation Factors'!$B$12:$AU$603,20,FALSE)*$L13,0)+IF($H13&lt;&gt;0,(VLOOKUP($J13,'Allocation Factors'!$B$12:$AU$603,20,FALSE)*$H13),0)</f>
        <v>50.599535053599894</v>
      </c>
      <c r="AF13" s="22">
        <f ca="1">IF($L13&lt;&gt;0,VLOOKUP($N13,'Allocation Factors'!$B$12:$AU$603,21,FALSE)*$L13,0)+IF($H13&lt;&gt;0,(VLOOKUP($J13,'Allocation Factors'!$B$12:$AU$603,21,FALSE)*$H13),0)</f>
        <v>0</v>
      </c>
      <c r="AG13" s="22">
        <f ca="1">IF($L13&lt;&gt;0,VLOOKUP($N13,'Allocation Factors'!$B$12:$AU$603,22,FALSE)*$L13,0)+IF($H13&lt;&gt;0,(VLOOKUP($J13,'Allocation Factors'!$B$12:$AU$603,22,FALSE)*$H13),0)</f>
        <v>0</v>
      </c>
      <c r="AH13" s="22">
        <f ca="1">IF($L13&lt;&gt;0,VLOOKUP($N13,'Allocation Factors'!$B$12:$AU$603,23,FALSE)*$L13,0)+IF($H13&lt;&gt;0,(VLOOKUP($J13,'Allocation Factors'!$B$12:$AU$603,23,FALSE)*$H13),0)</f>
        <v>4005.0880316388102</v>
      </c>
      <c r="AI13" s="22">
        <f ca="1">IF($L13&lt;&gt;0,VLOOKUP($N13,'Allocation Factors'!$B$12:$AU$603,24,FALSE)*$L13,0)+IF($H13&lt;&gt;0,(VLOOKUP($J13,'Allocation Factors'!$B$12:$AU$603,24,FALSE)*$H13),0)</f>
        <v>1428.0988872259861</v>
      </c>
      <c r="AJ13" s="22">
        <f ca="1">IF($L13&lt;&gt;0,VLOOKUP($N13,'Allocation Factors'!$B$12:$AU$603,25,FALSE)*$L13,0)+IF($H13&lt;&gt;0,(VLOOKUP($J13,'Allocation Factors'!$B$12:$AU$603,25,FALSE)*$H13),0)</f>
        <v>447.14654061289815</v>
      </c>
      <c r="AK13" s="22">
        <f ca="1">IF($L13&lt;&gt;0,VLOOKUP($N13,'Allocation Factors'!$B$12:$AU$603,26,FALSE)*$L13,0)+IF($H13&lt;&gt;0,(VLOOKUP($J13,'Allocation Factors'!$B$12:$AU$603,26,FALSE)*$H13),0)</f>
        <v>0</v>
      </c>
      <c r="AL13" s="22">
        <f ca="1">IF($L13&lt;&gt;0,VLOOKUP($N13,'Allocation Factors'!$B$12:$AU$603,27,FALSE)*$L13,0)+IF($H13&lt;&gt;0,(VLOOKUP($J13,'Allocation Factors'!$B$12:$AU$603,27,FALSE)*$H13),0)</f>
        <v>4.3275265554429021</v>
      </c>
      <c r="AM13" s="22">
        <f ca="1">IF($L13&lt;&gt;0,VLOOKUP($N13,'Allocation Factors'!$B$12:$AU$603,28,FALSE)*$L13,0)+IF($H13&lt;&gt;0,(VLOOKUP($J13,'Allocation Factors'!$B$12:$AU$603,28,FALSE)*$H13),0)</f>
        <v>0</v>
      </c>
      <c r="AN13" s="22">
        <f ca="1">IF($L13&lt;&gt;0,VLOOKUP($N13,'Allocation Factors'!$B$12:$AU$603,29,FALSE)*$L13,0)+IF($H13&lt;&gt;0,(VLOOKUP($J13,'Allocation Factors'!$B$12:$AU$603,29,FALSE)*$H13),0)</f>
        <v>742.55327841694191</v>
      </c>
      <c r="AO13" s="22">
        <f ca="1">IF($L13&lt;&gt;0,VLOOKUP($N13,'Allocation Factors'!$B$12:$AU$603,30,FALSE)*$L13,0)+IF($H13&lt;&gt;0,(VLOOKUP($J13,'Allocation Factors'!$B$12:$AU$603,30,FALSE)*$H13),0)</f>
        <v>0</v>
      </c>
      <c r="AP13" s="22">
        <f ca="1">IF($L13&lt;&gt;0,VLOOKUP($N13,'Allocation Factors'!$B$12:$AU$603,31,FALSE)*$L13,0)+IF($H13&lt;&gt;0,(VLOOKUP($J13,'Allocation Factors'!$B$12:$AU$603,31,FALSE)*$H13),0)</f>
        <v>44.920078316611281</v>
      </c>
      <c r="AQ13" s="22">
        <f ca="1">IF($L13&lt;&gt;0,VLOOKUP($N13,'Allocation Factors'!$B$12:$AU$603,32,FALSE)*$L13,0)+IF($H13&lt;&gt;0,(VLOOKUP($J13,'Allocation Factors'!$B$12:$AU$603,32,FALSE)*$H13),0)</f>
        <v>0</v>
      </c>
      <c r="AR13" s="22">
        <f ca="1">IF($L13&lt;&gt;0,VLOOKUP($N13,'Allocation Factors'!$B$12:$AU$603,33,FALSE)*$L13,0)+IF($H13&lt;&gt;0,(VLOOKUP($J13,'Allocation Factors'!$B$12:$AU$603,33,FALSE)*$H13),0)</f>
        <v>156.30484664232657</v>
      </c>
      <c r="AS13" s="22">
        <f ca="1">IF($L13&lt;&gt;0,VLOOKUP($N13,'Allocation Factors'!$B$12:$AU$603,34,FALSE)*$L13,0)+IF($H13&lt;&gt;0,(VLOOKUP($J13,'Allocation Factors'!$B$12:$AU$603,34,FALSE)*$H13),0)</f>
        <v>0</v>
      </c>
      <c r="AT13" s="22">
        <f ca="1">IF($L13&lt;&gt;0,VLOOKUP($N13,'Allocation Factors'!$B$12:$AU$603,35,FALSE)*$L13,0)+IF($H13&lt;&gt;0,(VLOOKUP($J13,'Allocation Factors'!$B$12:$AU$603,35,FALSE)*$H13),0)</f>
        <v>975.0563032466282</v>
      </c>
      <c r="AU13" s="22">
        <f ca="1">IF($L13&lt;&gt;0,VLOOKUP($N13,'Allocation Factors'!$B$12:$AU$603,36,FALSE)*$L13,0)+IF($H13&lt;&gt;0,(VLOOKUP($J13,'Allocation Factors'!$B$12:$AU$603,36,FALSE)*$H13),0)</f>
        <v>0</v>
      </c>
      <c r="AV13" s="22">
        <f ca="1">IF($L13&lt;&gt;0,VLOOKUP($N13,'Allocation Factors'!$B$12:$AU$603,37,FALSE)*$L13,0)+IF($H13&lt;&gt;0,(VLOOKUP($J13,'Allocation Factors'!$B$12:$AU$603,37,FALSE)*$H13),0)</f>
        <v>250.2740750783625</v>
      </c>
      <c r="AW13" s="22">
        <f ca="1">IF($L13&lt;&gt;0,VLOOKUP($N13,'Allocation Factors'!$B$12:$AU$603,38,FALSE)*$L13,0)+IF($H13&lt;&gt;0,(VLOOKUP($J13,'Allocation Factors'!$B$12:$AU$603,38,FALSE)*$H13),0)</f>
        <v>0</v>
      </c>
      <c r="AX13" s="22">
        <f ca="1">IF($L13&lt;&gt;0,VLOOKUP($N13,'Allocation Factors'!$B$12:$AU$603,39,FALSE)*$L13,0)+IF($H13&lt;&gt;0,(VLOOKUP($J13,'Allocation Factors'!$B$12:$AU$603,39,FALSE)*$H13),0)</f>
        <v>0</v>
      </c>
      <c r="AY13" s="22">
        <f ca="1">IF($L13&lt;&gt;0,VLOOKUP($N13,'Allocation Factors'!$B$12:$AU$603,40,FALSE)*$L13,0)+IF($H13&lt;&gt;0,(VLOOKUP($J13,'Allocation Factors'!$B$12:$AU$603,40,FALSE)*$H13),0)</f>
        <v>0</v>
      </c>
      <c r="AZ13" s="22">
        <f ca="1">IF($L13&lt;&gt;0,VLOOKUP($N13,'Allocation Factors'!$B$12:$AU$603,41,FALSE)*$L13,0)+IF($H13&lt;&gt;0,(VLOOKUP($J13,'Allocation Factors'!$B$12:$AU$603,41,FALSE)*$H13),0)</f>
        <v>0</v>
      </c>
      <c r="BA13" s="22">
        <f ca="1">IF($L13&lt;&gt;0,VLOOKUP($N13,'Allocation Factors'!$B$12:$AU$603,42,FALSE)*$L13,0)+IF($H13&lt;&gt;0,(VLOOKUP($J13,'Allocation Factors'!$B$12:$AU$603,42,FALSE)*$H13),0)</f>
        <v>0</v>
      </c>
      <c r="BB13" s="22">
        <f ca="1">IF($L13&lt;&gt;0,VLOOKUP($N13,'Allocation Factors'!$B$12:$AU$603,43,FALSE)*$L13,0)+IF($H13&lt;&gt;0,(VLOOKUP($J13,'Allocation Factors'!$B$12:$AU$603,43,FALSE)*$H13),0)</f>
        <v>0</v>
      </c>
      <c r="BC13" s="22">
        <f ca="1">IF($L13&lt;&gt;0,VLOOKUP($N13,'Allocation Factors'!$B$12:$AU$603,44,FALSE)*$L13,0)+IF($H13&lt;&gt;0,(VLOOKUP($J13,'Allocation Factors'!$B$12:$AU$603,44,FALSE)*$H13),0)</f>
        <v>0</v>
      </c>
      <c r="BD13" s="22">
        <f ca="1">IF($L13&lt;&gt;0,VLOOKUP($N13,'Allocation Factors'!$B$12:$AU$603,45,FALSE)*$L13,0)+IF($H13&lt;&gt;0,(VLOOKUP($J13,'Allocation Factors'!$B$12:$AU$603,45,FALSE)*$H13),0)</f>
        <v>0</v>
      </c>
      <c r="BE13" s="22">
        <f ca="1">IF($L13&lt;&gt;0,VLOOKUP($N13,'Allocation Factors'!$B$12:$AU$603,46,FALSE)*$L13,0)+IF($H13&lt;&gt;0,(VLOOKUP($J13,'Allocation Factors'!$B$12:$AU$603,46,FALSE)*$H13),0)</f>
        <v>0</v>
      </c>
      <c r="BF13" s="100"/>
    </row>
    <row r="14" spans="1:58" x14ac:dyDescent="0.25">
      <c r="A14" s="2">
        <f t="shared" si="2"/>
        <v>4</v>
      </c>
      <c r="B14" s="73" t="s">
        <v>138</v>
      </c>
      <c r="D14" s="22">
        <f ca="1">SUM('Gas Supply Class'!V116:V120,'Gas Supply Class'!V122)</f>
        <v>162050.40026244638</v>
      </c>
      <c r="E14" s="22"/>
      <c r="F14" s="22">
        <f t="shared" ca="1" si="0"/>
        <v>162050.40026244638</v>
      </c>
      <c r="H14" s="23">
        <f ca="1">F14-D14</f>
        <v>0</v>
      </c>
      <c r="J14" s="28" t="str">
        <f>+'Total ALLOCATION'!J14</f>
        <v>TRANSPT_DEMAND_OPT</v>
      </c>
      <c r="L14" s="22">
        <f t="shared" ca="1" si="1"/>
        <v>162050.40026244638</v>
      </c>
      <c r="N14" s="28" t="str">
        <f>'Total ALLOCATION'!N14</f>
        <v>TRANS_DEMAND</v>
      </c>
      <c r="P14" s="22">
        <f ca="1">IF($L14&lt;&gt;0,VLOOKUP($N14,'Allocation Factors'!$B$12:$AU$603,5,FALSE)*$L14,0)+IF($H14&lt;&gt;0,(VLOOKUP($J14,'Allocation Factors'!$B$12:$AU$603,5,FALSE)*$H14),0)</f>
        <v>40424.90321575581</v>
      </c>
      <c r="Q14" s="22">
        <f ca="1">IF($L14&lt;&gt;0,VLOOKUP($N14,'Allocation Factors'!$B$12:$AU$603,6,FALSE)*$L14,0)+IF($H14&lt;&gt;0,(VLOOKUP($J14,'Allocation Factors'!$B$12:$AU$603,6,FALSE)*$H14),0)</f>
        <v>41798.158078949709</v>
      </c>
      <c r="R14" s="22">
        <f ca="1">IF($L14&lt;&gt;0,VLOOKUP($N14,'Allocation Factors'!$B$12:$AU$603,7,FALSE)*$L14,0)+IF($H14&lt;&gt;0,(VLOOKUP($J14,'Allocation Factors'!$B$12:$AU$603,7,FALSE)*$H14),0)</f>
        <v>0</v>
      </c>
      <c r="S14" s="22">
        <f ca="1">IF($L14&lt;&gt;0,VLOOKUP($N14,'Allocation Factors'!$B$12:$AU$603,8,FALSE)*$L14,0)+IF($H14&lt;&gt;0,(VLOOKUP($J14,'Allocation Factors'!$B$12:$AU$603,8,FALSE)*$H14),0)</f>
        <v>220.18361997490831</v>
      </c>
      <c r="T14" s="22">
        <f ca="1">IF($L14&lt;&gt;0,VLOOKUP($N14,'Allocation Factors'!$B$12:$AU$603,9,FALSE)*$L14,0)+IF($H14&lt;&gt;0,(VLOOKUP($J14,'Allocation Factors'!$B$12:$AU$603,9,FALSE)*$H14),0)</f>
        <v>8783.6318982213306</v>
      </c>
      <c r="U14" s="22">
        <f ca="1">IF($L14&lt;&gt;0,VLOOKUP($N14,'Allocation Factors'!$B$12:$AU$603,10,FALSE)*$L14,0)+IF($H14&lt;&gt;0,(VLOOKUP($J14,'Allocation Factors'!$B$12:$AU$603,10,FALSE)*$H14),0)</f>
        <v>3065.4311665968694</v>
      </c>
      <c r="V14" s="22">
        <f ca="1">IF($L14&lt;&gt;0,VLOOKUP($N14,'Allocation Factors'!$B$12:$AU$603,11,FALSE)*$L14,0)+IF($H14&lt;&gt;0,(VLOOKUP($J14,'Allocation Factors'!$B$12:$AU$603,11,FALSE)*$H14),0)</f>
        <v>0</v>
      </c>
      <c r="W14" s="22">
        <f ca="1">IF($L14&lt;&gt;0,VLOOKUP($N14,'Allocation Factors'!$B$12:$AU$603,12,FALSE)*$L14,0)+IF($H14&lt;&gt;0,(VLOOKUP($J14,'Allocation Factors'!$B$12:$AU$603,12,FALSE)*$H14),0)</f>
        <v>422.61231843132771</v>
      </c>
      <c r="X14" s="22">
        <f ca="1">IF($L14&lt;&gt;0,VLOOKUP($N14,'Allocation Factors'!$B$12:$AU$603,13,FALSE)*$L14,0)+IF($H14&lt;&gt;0,(VLOOKUP($J14,'Allocation Factors'!$B$12:$AU$603,13,FALSE)*$H14),0)</f>
        <v>126.13919193313612</v>
      </c>
      <c r="Y14" s="22">
        <f ca="1">IF($L14&lt;&gt;0,VLOOKUP($N14,'Allocation Factors'!$B$12:$AU$603,14,FALSE)*$L14,0)+IF($H14&lt;&gt;0,(VLOOKUP($J14,'Allocation Factors'!$B$12:$AU$603,14,FALSE)*$H14),0)</f>
        <v>2594.8737248980988</v>
      </c>
      <c r="Z14" s="22">
        <f ca="1">IF($L14&lt;&gt;0,VLOOKUP($N14,'Allocation Factors'!$B$12:$AU$603,15,FALSE)*$L14,0)+IF($H14&lt;&gt;0,(VLOOKUP($J14,'Allocation Factors'!$B$12:$AU$603,15,FALSE)*$H14),0)</f>
        <v>1516.0207935659805</v>
      </c>
      <c r="AA14" s="22">
        <f ca="1">IF($L14&lt;&gt;0,VLOOKUP($N14,'Allocation Factors'!$B$12:$AU$603,16,FALSE)*$L14,0)+IF($H14&lt;&gt;0,(VLOOKUP($J14,'Allocation Factors'!$B$12:$AU$603,16,FALSE)*$H14),0)</f>
        <v>0</v>
      </c>
      <c r="AB14" s="22">
        <f ca="1">IF($L14&lt;&gt;0,VLOOKUP($N14,'Allocation Factors'!$B$12:$AU$603,17,FALSE)*$L14,0)+IF($H14&lt;&gt;0,(VLOOKUP($J14,'Allocation Factors'!$B$12:$AU$603,17,FALSE)*$H14),0)</f>
        <v>247.65091569573761</v>
      </c>
      <c r="AC14" s="22">
        <f ca="1">IF($L14&lt;&gt;0,VLOOKUP($N14,'Allocation Factors'!$B$12:$AU$603,18,FALSE)*$L14,0)+IF($H14&lt;&gt;0,(VLOOKUP($J14,'Allocation Factors'!$B$12:$AU$603,18,FALSE)*$H14),0)</f>
        <v>8177.3803873951783</v>
      </c>
      <c r="AD14" s="22">
        <f ca="1">IF($L14&lt;&gt;0,VLOOKUP($N14,'Allocation Factors'!$B$12:$AU$603,19,FALSE)*$L14,0)+IF($H14&lt;&gt;0,(VLOOKUP($J14,'Allocation Factors'!$B$12:$AU$603,19,FALSE)*$H14),0)</f>
        <v>3258.8679196701123</v>
      </c>
      <c r="AE14" s="22">
        <f ca="1">IF($L14&lt;&gt;0,VLOOKUP($N14,'Allocation Factors'!$B$12:$AU$603,20,FALSE)*$L14,0)+IF($H14&lt;&gt;0,(VLOOKUP($J14,'Allocation Factors'!$B$12:$AU$603,20,FALSE)*$H14),0)</f>
        <v>1630.4982290425596</v>
      </c>
      <c r="AF14" s="22">
        <f ca="1">IF($L14&lt;&gt;0,VLOOKUP($N14,'Allocation Factors'!$B$12:$AU$603,21,FALSE)*$L14,0)+IF($H14&lt;&gt;0,(VLOOKUP($J14,'Allocation Factors'!$B$12:$AU$603,21,FALSE)*$H14),0)</f>
        <v>45.778075728808922</v>
      </c>
      <c r="AG14" s="22">
        <f ca="1">IF($L14&lt;&gt;0,VLOOKUP($N14,'Allocation Factors'!$B$12:$AU$603,22,FALSE)*$L14,0)+IF($H14&lt;&gt;0,(VLOOKUP($J14,'Allocation Factors'!$B$12:$AU$603,22,FALSE)*$H14),0)</f>
        <v>0</v>
      </c>
      <c r="AH14" s="22">
        <f ca="1">IF($L14&lt;&gt;0,VLOOKUP($N14,'Allocation Factors'!$B$12:$AU$603,23,FALSE)*$L14,0)+IF($H14&lt;&gt;0,(VLOOKUP($J14,'Allocation Factors'!$B$12:$AU$603,23,FALSE)*$H14),0)</f>
        <v>26130.1132922504</v>
      </c>
      <c r="AI14" s="22">
        <f ca="1">IF($L14&lt;&gt;0,VLOOKUP($N14,'Allocation Factors'!$B$12:$AU$603,24,FALSE)*$L14,0)+IF($H14&lt;&gt;0,(VLOOKUP($J14,'Allocation Factors'!$B$12:$AU$603,24,FALSE)*$H14),0)</f>
        <v>10591.107661436998</v>
      </c>
      <c r="AJ14" s="22">
        <f ca="1">IF($L14&lt;&gt;0,VLOOKUP($N14,'Allocation Factors'!$B$12:$AU$603,25,FALSE)*$L14,0)+IF($H14&lt;&gt;0,(VLOOKUP($J14,'Allocation Factors'!$B$12:$AU$603,25,FALSE)*$H14),0)</f>
        <v>4765.5328666283085</v>
      </c>
      <c r="AK14" s="22">
        <f ca="1">IF($L14&lt;&gt;0,VLOOKUP($N14,'Allocation Factors'!$B$12:$AU$603,26,FALSE)*$L14,0)+IF($H14&lt;&gt;0,(VLOOKUP($J14,'Allocation Factors'!$B$12:$AU$603,26,FALSE)*$H14),0)</f>
        <v>1.9105887622520268</v>
      </c>
      <c r="AL14" s="22">
        <f ca="1">IF($L14&lt;&gt;0,VLOOKUP($N14,'Allocation Factors'!$B$12:$AU$603,27,FALSE)*$L14,0)+IF($H14&lt;&gt;0,(VLOOKUP($J14,'Allocation Factors'!$B$12:$AU$603,27,FALSE)*$H14),0)</f>
        <v>35.36756002999681</v>
      </c>
      <c r="AM14" s="22">
        <f ca="1">IF($L14&lt;&gt;0,VLOOKUP($N14,'Allocation Factors'!$B$12:$AU$603,28,FALSE)*$L14,0)+IF($H14&lt;&gt;0,(VLOOKUP($J14,'Allocation Factors'!$B$12:$AU$603,28,FALSE)*$H14),0)</f>
        <v>442.20329878018322</v>
      </c>
      <c r="AN14" s="22">
        <f ca="1">IF($L14&lt;&gt;0,VLOOKUP($N14,'Allocation Factors'!$B$12:$AU$603,29,FALSE)*$L14,0)+IF($H14&lt;&gt;0,(VLOOKUP($J14,'Allocation Factors'!$B$12:$AU$603,29,FALSE)*$H14),0)</f>
        <v>5729.4281341365904</v>
      </c>
      <c r="AO14" s="22">
        <f ca="1">IF($L14&lt;&gt;0,VLOOKUP($N14,'Allocation Factors'!$B$12:$AU$603,30,FALSE)*$L14,0)+IF($H14&lt;&gt;0,(VLOOKUP($J14,'Allocation Factors'!$B$12:$AU$603,30,FALSE)*$H14),0)</f>
        <v>610.0714249310314</v>
      </c>
      <c r="AP14" s="22">
        <f ca="1">IF($L14&lt;&gt;0,VLOOKUP($N14,'Allocation Factors'!$B$12:$AU$603,31,FALSE)*$L14,0)+IF($H14&lt;&gt;0,(VLOOKUP($J14,'Allocation Factors'!$B$12:$AU$603,31,FALSE)*$H14),0)</f>
        <v>723.05170122950381</v>
      </c>
      <c r="AQ14" s="22">
        <f ca="1">IF($L14&lt;&gt;0,VLOOKUP($N14,'Allocation Factors'!$B$12:$AU$603,32,FALSE)*$L14,0)+IF($H14&lt;&gt;0,(VLOOKUP($J14,'Allocation Factors'!$B$12:$AU$603,32,FALSE)*$H14),0)</f>
        <v>0</v>
      </c>
      <c r="AR14" s="22">
        <f ca="1">IF($L14&lt;&gt;0,VLOOKUP($N14,'Allocation Factors'!$B$12:$AU$603,33,FALSE)*$L14,0)+IF($H14&lt;&gt;0,(VLOOKUP($J14,'Allocation Factors'!$B$12:$AU$603,33,FALSE)*$H14),0)</f>
        <v>49.130443540286912</v>
      </c>
      <c r="AS14" s="22">
        <f ca="1">IF($L14&lt;&gt;0,VLOOKUP($N14,'Allocation Factors'!$B$12:$AU$603,34,FALSE)*$L14,0)+IF($H14&lt;&gt;0,(VLOOKUP($J14,'Allocation Factors'!$B$12:$AU$603,34,FALSE)*$H14),0)</f>
        <v>4.683472050780459</v>
      </c>
      <c r="AT14" s="22">
        <f ca="1">IF($L14&lt;&gt;0,VLOOKUP($N14,'Allocation Factors'!$B$12:$AU$603,35,FALSE)*$L14,0)+IF($H14&lt;&gt;0,(VLOOKUP($J14,'Allocation Factors'!$B$12:$AU$603,35,FALSE)*$H14),0)</f>
        <v>619.36560897105062</v>
      </c>
      <c r="AU14" s="22">
        <f ca="1">IF($L14&lt;&gt;0,VLOOKUP($N14,'Allocation Factors'!$B$12:$AU$603,36,FALSE)*$L14,0)+IF($H14&lt;&gt;0,(VLOOKUP($J14,'Allocation Factors'!$B$12:$AU$603,36,FALSE)*$H14),0)</f>
        <v>5.2108590022186148</v>
      </c>
      <c r="AV14" s="22">
        <f ca="1">IF($L14&lt;&gt;0,VLOOKUP($N14,'Allocation Factors'!$B$12:$AU$603,37,FALSE)*$L14,0)+IF($H14&lt;&gt;0,(VLOOKUP($J14,'Allocation Factors'!$B$12:$AU$603,37,FALSE)*$H14),0)</f>
        <v>31.093814837155374</v>
      </c>
      <c r="AW14" s="22">
        <f ca="1">IF($L14&lt;&gt;0,VLOOKUP($N14,'Allocation Factors'!$B$12:$AU$603,38,FALSE)*$L14,0)+IF($H14&lt;&gt;0,(VLOOKUP($J14,'Allocation Factors'!$B$12:$AU$603,38,FALSE)*$H14),0)</f>
        <v>0</v>
      </c>
      <c r="AX14" s="22">
        <f ca="1">IF($L14&lt;&gt;0,VLOOKUP($N14,'Allocation Factors'!$B$12:$AU$603,39,FALSE)*$L14,0)+IF($H14&lt;&gt;0,(VLOOKUP($J14,'Allocation Factors'!$B$12:$AU$603,39,FALSE)*$H14),0)</f>
        <v>0</v>
      </c>
      <c r="AY14" s="22">
        <f ca="1">IF($L14&lt;&gt;0,VLOOKUP($N14,'Allocation Factors'!$B$12:$AU$603,40,FALSE)*$L14,0)+IF($H14&lt;&gt;0,(VLOOKUP($J14,'Allocation Factors'!$B$12:$AU$603,40,FALSE)*$H14),0)</f>
        <v>0</v>
      </c>
      <c r="AZ14" s="22">
        <f ca="1">IF($L14&lt;&gt;0,VLOOKUP($N14,'Allocation Factors'!$B$12:$AU$603,41,FALSE)*$L14,0)+IF($H14&lt;&gt;0,(VLOOKUP($J14,'Allocation Factors'!$B$12:$AU$603,41,FALSE)*$H14),0)</f>
        <v>0</v>
      </c>
      <c r="BA14" s="22">
        <f ca="1">IF($L14&lt;&gt;0,VLOOKUP($N14,'Allocation Factors'!$B$12:$AU$603,42,FALSE)*$L14,0)+IF($H14&lt;&gt;0,(VLOOKUP($J14,'Allocation Factors'!$B$12:$AU$603,42,FALSE)*$H14),0)</f>
        <v>0</v>
      </c>
      <c r="BB14" s="22">
        <f ca="1">IF($L14&lt;&gt;0,VLOOKUP($N14,'Allocation Factors'!$B$12:$AU$603,43,FALSE)*$L14,0)+IF($H14&lt;&gt;0,(VLOOKUP($J14,'Allocation Factors'!$B$12:$AU$603,43,FALSE)*$H14),0)</f>
        <v>0</v>
      </c>
      <c r="BC14" s="22">
        <f ca="1">IF($L14&lt;&gt;0,VLOOKUP($N14,'Allocation Factors'!$B$12:$AU$603,44,FALSE)*$L14,0)+IF($H14&lt;&gt;0,(VLOOKUP($J14,'Allocation Factors'!$B$12:$AU$603,44,FALSE)*$H14),0)</f>
        <v>0</v>
      </c>
      <c r="BD14" s="22">
        <f ca="1">IF($L14&lt;&gt;0,VLOOKUP($N14,'Allocation Factors'!$B$12:$AU$603,45,FALSE)*$L14,0)+IF($H14&lt;&gt;0,(VLOOKUP($J14,'Allocation Factors'!$B$12:$AU$603,45,FALSE)*$H14),0)</f>
        <v>0</v>
      </c>
      <c r="BE14" s="22">
        <f ca="1">IF($L14&lt;&gt;0,VLOOKUP($N14,'Allocation Factors'!$B$12:$AU$603,46,FALSE)*$L14,0)+IF($H14&lt;&gt;0,(VLOOKUP($J14,'Allocation Factors'!$B$12:$AU$603,46,FALSE)*$H14),0)</f>
        <v>0</v>
      </c>
      <c r="BF14" s="9"/>
    </row>
    <row r="15" spans="1:58" x14ac:dyDescent="0.25">
      <c r="A15" s="2">
        <f t="shared" si="2"/>
        <v>5</v>
      </c>
      <c r="B15" s="73" t="s">
        <v>156</v>
      </c>
      <c r="D15" s="22">
        <f ca="1">SUM('Gas Supply Class'!X116:X120,'Gas Supply Class'!X122)</f>
        <v>23898.700496907863</v>
      </c>
      <c r="E15" s="22"/>
      <c r="F15" s="22">
        <f t="shared" ca="1" si="0"/>
        <v>23898.700496907863</v>
      </c>
      <c r="L15" s="22">
        <f t="shared" ca="1" si="1"/>
        <v>23898.700496907863</v>
      </c>
      <c r="N15" s="28" t="str">
        <f>'Total ALLOCATION'!N15</f>
        <v>TRANS_FUEL</v>
      </c>
      <c r="P15" s="22">
        <f ca="1">IF($L15&lt;&gt;0,VLOOKUP($N15,'Allocation Factors'!$B$12:$AU$603,5,FALSE)*$L15,0)+IF($H15&lt;&gt;0,(VLOOKUP($J15,'Allocation Factors'!$B$12:$AU$603,5,FALSE)*$H15),0)</f>
        <v>6125.7510426480694</v>
      </c>
      <c r="Q15" s="22">
        <f ca="1">IF($L15&lt;&gt;0,VLOOKUP($N15,'Allocation Factors'!$B$12:$AU$603,6,FALSE)*$L15,0)+IF($H15&lt;&gt;0,(VLOOKUP($J15,'Allocation Factors'!$B$12:$AU$603,6,FALSE)*$H15),0)</f>
        <v>5874.2384491795456</v>
      </c>
      <c r="R15" s="22">
        <f ca="1">IF($L15&lt;&gt;0,VLOOKUP($N15,'Allocation Factors'!$B$12:$AU$603,7,FALSE)*$L15,0)+IF($H15&lt;&gt;0,(VLOOKUP($J15,'Allocation Factors'!$B$12:$AU$603,7,FALSE)*$H15),0)</f>
        <v>0</v>
      </c>
      <c r="S15" s="22">
        <f ca="1">IF($L15&lt;&gt;0,VLOOKUP($N15,'Allocation Factors'!$B$12:$AU$603,8,FALSE)*$L15,0)+IF($H15&lt;&gt;0,(VLOOKUP($J15,'Allocation Factors'!$B$12:$AU$603,8,FALSE)*$H15),0)</f>
        <v>33.597928529908032</v>
      </c>
      <c r="T15" s="22">
        <f ca="1">IF($L15&lt;&gt;0,VLOOKUP($N15,'Allocation Factors'!$B$12:$AU$603,9,FALSE)*$L15,0)+IF($H15&lt;&gt;0,(VLOOKUP($J15,'Allocation Factors'!$B$12:$AU$603,9,FALSE)*$H15),0)</f>
        <v>1308.5361750890627</v>
      </c>
      <c r="U15" s="22">
        <f ca="1">IF($L15&lt;&gt;0,VLOOKUP($N15,'Allocation Factors'!$B$12:$AU$603,10,FALSE)*$L15,0)+IF($H15&lt;&gt;0,(VLOOKUP($J15,'Allocation Factors'!$B$12:$AU$603,10,FALSE)*$H15),0)</f>
        <v>467.75567256279555</v>
      </c>
      <c r="V15" s="22">
        <f ca="1">IF($L15&lt;&gt;0,VLOOKUP($N15,'Allocation Factors'!$B$12:$AU$603,11,FALSE)*$L15,0)+IF($H15&lt;&gt;0,(VLOOKUP($J15,'Allocation Factors'!$B$12:$AU$603,11,FALSE)*$H15),0)</f>
        <v>0</v>
      </c>
      <c r="W15" s="22">
        <f ca="1">IF($L15&lt;&gt;0,VLOOKUP($N15,'Allocation Factors'!$B$12:$AU$603,12,FALSE)*$L15,0)+IF($H15&lt;&gt;0,(VLOOKUP($J15,'Allocation Factors'!$B$12:$AU$603,12,FALSE)*$H15),0)</f>
        <v>64.486624718644208</v>
      </c>
      <c r="X15" s="22">
        <f ca="1">IF($L15&lt;&gt;0,VLOOKUP($N15,'Allocation Factors'!$B$12:$AU$603,13,FALSE)*$L15,0)+IF($H15&lt;&gt;0,(VLOOKUP($J15,'Allocation Factors'!$B$12:$AU$603,13,FALSE)*$H15),0)</f>
        <v>19.247642289979677</v>
      </c>
      <c r="Y15" s="22">
        <f ca="1">IF($L15&lt;&gt;0,VLOOKUP($N15,'Allocation Factors'!$B$12:$AU$603,14,FALSE)*$L15,0)+IF($H15&lt;&gt;0,(VLOOKUP($J15,'Allocation Factors'!$B$12:$AU$603,14,FALSE)*$H15),0)</f>
        <v>395.95307754136155</v>
      </c>
      <c r="Z15" s="22">
        <f ca="1">IF($L15&lt;&gt;0,VLOOKUP($N15,'Allocation Factors'!$B$12:$AU$603,15,FALSE)*$L15,0)+IF($H15&lt;&gt;0,(VLOOKUP($J15,'Allocation Factors'!$B$12:$AU$603,15,FALSE)*$H15),0)</f>
        <v>231.32468760967902</v>
      </c>
      <c r="AA15" s="22">
        <f ca="1">IF($L15&lt;&gt;0,VLOOKUP($N15,'Allocation Factors'!$B$12:$AU$603,16,FALSE)*$L15,0)+IF($H15&lt;&gt;0,(VLOOKUP($J15,'Allocation Factors'!$B$12:$AU$603,16,FALSE)*$H15),0)</f>
        <v>0</v>
      </c>
      <c r="AB15" s="22">
        <f ca="1">IF($L15&lt;&gt;0,VLOOKUP($N15,'Allocation Factors'!$B$12:$AU$603,17,FALSE)*$L15,0)+IF($H15&lt;&gt;0,(VLOOKUP($J15,'Allocation Factors'!$B$12:$AU$603,17,FALSE)*$H15),0)</f>
        <v>19.662249806094451</v>
      </c>
      <c r="AC15" s="22">
        <f ca="1">IF($L15&lt;&gt;0,VLOOKUP($N15,'Allocation Factors'!$B$12:$AU$603,18,FALSE)*$L15,0)+IF($H15&lt;&gt;0,(VLOOKUP($J15,'Allocation Factors'!$B$12:$AU$603,18,FALSE)*$H15),0)</f>
        <v>1211.4304519863383</v>
      </c>
      <c r="AD15" s="22">
        <f ca="1">IF($L15&lt;&gt;0,VLOOKUP($N15,'Allocation Factors'!$B$12:$AU$603,19,FALSE)*$L15,0)+IF($H15&lt;&gt;0,(VLOOKUP($J15,'Allocation Factors'!$B$12:$AU$603,19,FALSE)*$H15),0)</f>
        <v>396.98125616745489</v>
      </c>
      <c r="AE15" s="22">
        <f ca="1">IF($L15&lt;&gt;0,VLOOKUP($N15,'Allocation Factors'!$B$12:$AU$603,20,FALSE)*$L15,0)+IF($H15&lt;&gt;0,(VLOOKUP($J15,'Allocation Factors'!$B$12:$AU$603,20,FALSE)*$H15),0)</f>
        <v>165.75927617033878</v>
      </c>
      <c r="AF15" s="22">
        <f ca="1">IF($L15&lt;&gt;0,VLOOKUP($N15,'Allocation Factors'!$B$12:$AU$603,21,FALSE)*$L15,0)+IF($H15&lt;&gt;0,(VLOOKUP($J15,'Allocation Factors'!$B$12:$AU$603,21,FALSE)*$H15),0)</f>
        <v>6.9852994366634213</v>
      </c>
      <c r="AG15" s="22">
        <f ca="1">IF($L15&lt;&gt;0,VLOOKUP($N15,'Allocation Factors'!$B$12:$AU$603,22,FALSE)*$L15,0)+IF($H15&lt;&gt;0,(VLOOKUP($J15,'Allocation Factors'!$B$12:$AU$603,22,FALSE)*$H15),0)</f>
        <v>0</v>
      </c>
      <c r="AH15" s="22">
        <f ca="1">IF($L15&lt;&gt;0,VLOOKUP($N15,'Allocation Factors'!$B$12:$AU$603,23,FALSE)*$L15,0)+IF($H15&lt;&gt;0,(VLOOKUP($J15,'Allocation Factors'!$B$12:$AU$603,23,FALSE)*$H15),0)</f>
        <v>3987.2070364338383</v>
      </c>
      <c r="AI15" s="22">
        <f ca="1">IF($L15&lt;&gt;0,VLOOKUP($N15,'Allocation Factors'!$B$12:$AU$603,24,FALSE)*$L15,0)+IF($H15&lt;&gt;0,(VLOOKUP($J15,'Allocation Factors'!$B$12:$AU$603,24,FALSE)*$H15),0)</f>
        <v>1616.102407173033</v>
      </c>
      <c r="AJ15" s="22">
        <f ca="1">IF($L15&lt;&gt;0,VLOOKUP($N15,'Allocation Factors'!$B$12:$AU$603,25,FALSE)*$L15,0)+IF($H15&lt;&gt;0,(VLOOKUP($J15,'Allocation Factors'!$B$12:$AU$603,25,FALSE)*$H15),0)</f>
        <v>727.17503998776874</v>
      </c>
      <c r="AK15" s="22">
        <f ca="1">IF($L15&lt;&gt;0,VLOOKUP($N15,'Allocation Factors'!$B$12:$AU$603,26,FALSE)*$L15,0)+IF($H15&lt;&gt;0,(VLOOKUP($J15,'Allocation Factors'!$B$12:$AU$603,26,FALSE)*$H15),0)</f>
        <v>0.29153769336476626</v>
      </c>
      <c r="AL15" s="22">
        <f ca="1">IF($L15&lt;&gt;0,VLOOKUP($N15,'Allocation Factors'!$B$12:$AU$603,27,FALSE)*$L15,0)+IF($H15&lt;&gt;0,(VLOOKUP($J15,'Allocation Factors'!$B$12:$AU$603,27,FALSE)*$H15),0)</f>
        <v>5.3967536472534992</v>
      </c>
      <c r="AM15" s="22">
        <f ca="1">IF($L15&lt;&gt;0,VLOOKUP($N15,'Allocation Factors'!$B$12:$AU$603,28,FALSE)*$L15,0)+IF($H15&lt;&gt;0,(VLOOKUP($J15,'Allocation Factors'!$B$12:$AU$603,28,FALSE)*$H15),0)</f>
        <v>67.476022193654771</v>
      </c>
      <c r="AN15" s="22">
        <f ca="1">IF($L15&lt;&gt;0,VLOOKUP($N15,'Allocation Factors'!$B$12:$AU$603,29,FALSE)*$L15,0)+IF($H15&lt;&gt;0,(VLOOKUP($J15,'Allocation Factors'!$B$12:$AU$603,29,FALSE)*$H15),0)</f>
        <v>874.25630021843619</v>
      </c>
      <c r="AO15" s="22">
        <f ca="1">IF($L15&lt;&gt;0,VLOOKUP($N15,'Allocation Factors'!$B$12:$AU$603,30,FALSE)*$L15,0)+IF($H15&lt;&gt;0,(VLOOKUP($J15,'Allocation Factors'!$B$12:$AU$603,30,FALSE)*$H15),0)</f>
        <v>93.091103395010762</v>
      </c>
      <c r="AP15" s="22">
        <f ca="1">IF($L15&lt;&gt;0,VLOOKUP($N15,'Allocation Factors'!$B$12:$AU$603,31,FALSE)*$L15,0)+IF($H15&lt;&gt;0,(VLOOKUP($J15,'Allocation Factors'!$B$12:$AU$603,31,FALSE)*$H15),0)</f>
        <v>110.33082017684001</v>
      </c>
      <c r="AQ15" s="22">
        <f ca="1">IF($L15&lt;&gt;0,VLOOKUP($N15,'Allocation Factors'!$B$12:$AU$603,32,FALSE)*$L15,0)+IF($H15&lt;&gt;0,(VLOOKUP($J15,'Allocation Factors'!$B$12:$AU$603,32,FALSE)*$H15),0)</f>
        <v>0</v>
      </c>
      <c r="AR15" s="22">
        <f ca="1">IF($L15&lt;&gt;0,VLOOKUP($N15,'Allocation Factors'!$B$12:$AU$603,33,FALSE)*$L15,0)+IF($H15&lt;&gt;0,(VLOOKUP($J15,'Allocation Factors'!$B$12:$AU$603,33,FALSE)*$H15),0)</f>
        <v>6.624526924130822</v>
      </c>
      <c r="AS15" s="22">
        <f ca="1">IF($L15&lt;&gt;0,VLOOKUP($N15,'Allocation Factors'!$B$12:$AU$603,34,FALSE)*$L15,0)+IF($H15&lt;&gt;0,(VLOOKUP($J15,'Allocation Factors'!$B$12:$AU$603,34,FALSE)*$H15),0)</f>
        <v>0.63149820077175245</v>
      </c>
      <c r="AT15" s="22">
        <f ca="1">IF($L15&lt;&gt;0,VLOOKUP($N15,'Allocation Factors'!$B$12:$AU$603,35,FALSE)*$L15,0)+IF($H15&lt;&gt;0,(VLOOKUP($J15,'Allocation Factors'!$B$12:$AU$603,35,FALSE)*$H15),0)</f>
        <v>83.512459014235219</v>
      </c>
      <c r="AU15" s="22">
        <f ca="1">IF($L15&lt;&gt;0,VLOOKUP($N15,'Allocation Factors'!$B$12:$AU$603,36,FALSE)*$L15,0)+IF($H15&lt;&gt;0,(VLOOKUP($J15,'Allocation Factors'!$B$12:$AU$603,36,FALSE)*$H15),0)</f>
        <v>0.70260867337256483</v>
      </c>
      <c r="AV15" s="22">
        <f ca="1">IF($L15&lt;&gt;0,VLOOKUP($N15,'Allocation Factors'!$B$12:$AU$603,37,FALSE)*$L15,0)+IF($H15&lt;&gt;0,(VLOOKUP($J15,'Allocation Factors'!$B$12:$AU$603,37,FALSE)*$H15),0)</f>
        <v>4.1925494402217112</v>
      </c>
      <c r="AW15" s="22">
        <f ca="1">IF($L15&lt;&gt;0,VLOOKUP($N15,'Allocation Factors'!$B$12:$AU$603,38,FALSE)*$L15,0)+IF($H15&lt;&gt;0,(VLOOKUP($J15,'Allocation Factors'!$B$12:$AU$603,38,FALSE)*$H15),0)</f>
        <v>0</v>
      </c>
      <c r="AX15" s="22">
        <f ca="1">IF($L15&lt;&gt;0,VLOOKUP($N15,'Allocation Factors'!$B$12:$AU$603,39,FALSE)*$L15,0)+IF($H15&lt;&gt;0,(VLOOKUP($J15,'Allocation Factors'!$B$12:$AU$603,39,FALSE)*$H15),0)</f>
        <v>0</v>
      </c>
      <c r="AY15" s="22">
        <f ca="1">IF($L15&lt;&gt;0,VLOOKUP($N15,'Allocation Factors'!$B$12:$AU$603,40,FALSE)*$L15,0)+IF($H15&lt;&gt;0,(VLOOKUP($J15,'Allocation Factors'!$B$12:$AU$603,40,FALSE)*$H15),0)</f>
        <v>0</v>
      </c>
      <c r="AZ15" s="22">
        <f ca="1">IF($L15&lt;&gt;0,VLOOKUP($N15,'Allocation Factors'!$B$12:$AU$603,41,FALSE)*$L15,0)+IF($H15&lt;&gt;0,(VLOOKUP($J15,'Allocation Factors'!$B$12:$AU$603,41,FALSE)*$H15),0)</f>
        <v>0</v>
      </c>
      <c r="BA15" s="22">
        <f ca="1">IF($L15&lt;&gt;0,VLOOKUP($N15,'Allocation Factors'!$B$12:$AU$603,42,FALSE)*$L15,0)+IF($H15&lt;&gt;0,(VLOOKUP($J15,'Allocation Factors'!$B$12:$AU$603,42,FALSE)*$H15),0)</f>
        <v>0</v>
      </c>
      <c r="BB15" s="22">
        <f ca="1">IF($L15&lt;&gt;0,VLOOKUP($N15,'Allocation Factors'!$B$12:$AU$603,43,FALSE)*$L15,0)+IF($H15&lt;&gt;0,(VLOOKUP($J15,'Allocation Factors'!$B$12:$AU$603,43,FALSE)*$H15),0)</f>
        <v>0</v>
      </c>
      <c r="BC15" s="22">
        <f ca="1">IF($L15&lt;&gt;0,VLOOKUP($N15,'Allocation Factors'!$B$12:$AU$603,44,FALSE)*$L15,0)+IF($H15&lt;&gt;0,(VLOOKUP($J15,'Allocation Factors'!$B$12:$AU$603,44,FALSE)*$H15),0)</f>
        <v>0</v>
      </c>
      <c r="BD15" s="22">
        <f ca="1">IF($L15&lt;&gt;0,VLOOKUP($N15,'Allocation Factors'!$B$12:$AU$603,45,FALSE)*$L15,0)+IF($H15&lt;&gt;0,(VLOOKUP($J15,'Allocation Factors'!$B$12:$AU$603,45,FALSE)*$H15),0)</f>
        <v>0</v>
      </c>
      <c r="BE15" s="22">
        <f ca="1">IF($L15&lt;&gt;0,VLOOKUP($N15,'Allocation Factors'!$B$12:$AU$603,46,FALSE)*$L15,0)+IF($H15&lt;&gt;0,(VLOOKUP($J15,'Allocation Factors'!$B$12:$AU$603,46,FALSE)*$H15),0)</f>
        <v>0</v>
      </c>
      <c r="BF15" s="9"/>
    </row>
    <row r="16" spans="1:58" x14ac:dyDescent="0.25">
      <c r="A16" s="2">
        <f t="shared" si="2"/>
        <v>6</v>
      </c>
      <c r="B16" s="73" t="s">
        <v>158</v>
      </c>
      <c r="D16" s="22">
        <f ca="1">SUM('Gas Supply Class'!X117:X121,'Gas Supply Class'!X123)</f>
        <v>0</v>
      </c>
      <c r="E16" s="22"/>
      <c r="F16" s="22">
        <f ca="1">D16</f>
        <v>0</v>
      </c>
      <c r="L16" s="22">
        <f t="shared" ca="1" si="1"/>
        <v>0</v>
      </c>
      <c r="N16" s="28" t="str">
        <f>'Total ALLOCATION'!N16</f>
        <v>SUPPLY_VOL</v>
      </c>
      <c r="P16" s="22">
        <f ca="1">IF($L16&lt;&gt;0,VLOOKUP($N16,'Allocation Factors'!$B$12:$AU$603,5,FALSE)*$L16,0)+IF($H16&lt;&gt;0,(VLOOKUP($J16,'Allocation Factors'!$B$12:$AU$603,5,FALSE)*$H16),0)</f>
        <v>0</v>
      </c>
      <c r="Q16" s="22">
        <f ca="1">IF($L16&lt;&gt;0,VLOOKUP($N16,'Allocation Factors'!$B$12:$AU$603,6,FALSE)*$L16,0)+IF($H16&lt;&gt;0,(VLOOKUP($J16,'Allocation Factors'!$B$12:$AU$603,6,FALSE)*$H16),0)</f>
        <v>0</v>
      </c>
      <c r="R16" s="22">
        <f ca="1">IF($L16&lt;&gt;0,VLOOKUP($N16,'Allocation Factors'!$B$12:$AU$603,7,FALSE)*$L16,0)+IF($H16&lt;&gt;0,(VLOOKUP($J16,'Allocation Factors'!$B$12:$AU$603,7,FALSE)*$H16),0)</f>
        <v>0</v>
      </c>
      <c r="S16" s="22">
        <f ca="1">IF($L16&lt;&gt;0,VLOOKUP($N16,'Allocation Factors'!$B$12:$AU$603,8,FALSE)*$L16,0)+IF($H16&lt;&gt;0,(VLOOKUP($J16,'Allocation Factors'!$B$12:$AU$603,8,FALSE)*$H16),0)</f>
        <v>0</v>
      </c>
      <c r="T16" s="22">
        <f ca="1">IF($L16&lt;&gt;0,VLOOKUP($N16,'Allocation Factors'!$B$12:$AU$603,9,FALSE)*$L16,0)+IF($H16&lt;&gt;0,(VLOOKUP($J16,'Allocation Factors'!$B$12:$AU$603,9,FALSE)*$H16),0)</f>
        <v>0</v>
      </c>
      <c r="U16" s="22">
        <f ca="1">IF($L16&lt;&gt;0,VLOOKUP($N16,'Allocation Factors'!$B$12:$AU$603,10,FALSE)*$L16,0)+IF($H16&lt;&gt;0,(VLOOKUP($J16,'Allocation Factors'!$B$12:$AU$603,10,FALSE)*$H16),0)</f>
        <v>0</v>
      </c>
      <c r="V16" s="22">
        <f ca="1">IF($L16&lt;&gt;0,VLOOKUP($N16,'Allocation Factors'!$B$12:$AU$603,11,FALSE)*$L16,0)+IF($H16&lt;&gt;0,(VLOOKUP($J16,'Allocation Factors'!$B$12:$AU$603,11,FALSE)*$H16),0)</f>
        <v>0</v>
      </c>
      <c r="W16" s="22">
        <f ca="1">IF($L16&lt;&gt;0,VLOOKUP($N16,'Allocation Factors'!$B$12:$AU$603,12,FALSE)*$L16,0)+IF($H16&lt;&gt;0,(VLOOKUP($J16,'Allocation Factors'!$B$12:$AU$603,12,FALSE)*$H16),0)</f>
        <v>0</v>
      </c>
      <c r="X16" s="22">
        <f ca="1">IF($L16&lt;&gt;0,VLOOKUP($N16,'Allocation Factors'!$B$12:$AU$603,13,FALSE)*$L16,0)+IF($H16&lt;&gt;0,(VLOOKUP($J16,'Allocation Factors'!$B$12:$AU$603,13,FALSE)*$H16),0)</f>
        <v>0</v>
      </c>
      <c r="Y16" s="22">
        <f ca="1">IF($L16&lt;&gt;0,VLOOKUP($N16,'Allocation Factors'!$B$12:$AU$603,14,FALSE)*$L16,0)+IF($H16&lt;&gt;0,(VLOOKUP($J16,'Allocation Factors'!$B$12:$AU$603,14,FALSE)*$H16),0)</f>
        <v>0</v>
      </c>
      <c r="Z16" s="22">
        <f ca="1">IF($L16&lt;&gt;0,VLOOKUP($N16,'Allocation Factors'!$B$12:$AU$603,15,FALSE)*$L16,0)+IF($H16&lt;&gt;0,(VLOOKUP($J16,'Allocation Factors'!$B$12:$AU$603,15,FALSE)*$H16),0)</f>
        <v>0</v>
      </c>
      <c r="AA16" s="22">
        <f ca="1">IF($L16&lt;&gt;0,VLOOKUP($N16,'Allocation Factors'!$B$12:$AU$603,16,FALSE)*$L16,0)+IF($H16&lt;&gt;0,(VLOOKUP($J16,'Allocation Factors'!$B$12:$AU$603,16,FALSE)*$H16),0)</f>
        <v>0</v>
      </c>
      <c r="AB16" s="22">
        <f ca="1">IF($L16&lt;&gt;0,VLOOKUP($N16,'Allocation Factors'!$B$12:$AU$603,17,FALSE)*$L16,0)+IF($H16&lt;&gt;0,(VLOOKUP($J16,'Allocation Factors'!$B$12:$AU$603,17,FALSE)*$H16),0)</f>
        <v>0</v>
      </c>
      <c r="AC16" s="22">
        <f ca="1">IF($L16&lt;&gt;0,VLOOKUP($N16,'Allocation Factors'!$B$12:$AU$603,18,FALSE)*$L16,0)+IF($H16&lt;&gt;0,(VLOOKUP($J16,'Allocation Factors'!$B$12:$AU$603,18,FALSE)*$H16),0)</f>
        <v>0</v>
      </c>
      <c r="AD16" s="22">
        <f ca="1">IF($L16&lt;&gt;0,VLOOKUP($N16,'Allocation Factors'!$B$12:$AU$603,19,FALSE)*$L16,0)+IF($H16&lt;&gt;0,(VLOOKUP($J16,'Allocation Factors'!$B$12:$AU$603,19,FALSE)*$H16),0)</f>
        <v>0</v>
      </c>
      <c r="AE16" s="22">
        <f ca="1">IF($L16&lt;&gt;0,VLOOKUP($N16,'Allocation Factors'!$B$12:$AU$603,20,FALSE)*$L16,0)+IF($H16&lt;&gt;0,(VLOOKUP($J16,'Allocation Factors'!$B$12:$AU$603,20,FALSE)*$H16),0)</f>
        <v>0</v>
      </c>
      <c r="AF16" s="22">
        <f ca="1">IF($L16&lt;&gt;0,VLOOKUP($N16,'Allocation Factors'!$B$12:$AU$603,21,FALSE)*$L16,0)+IF($H16&lt;&gt;0,(VLOOKUP($J16,'Allocation Factors'!$B$12:$AU$603,21,FALSE)*$H16),0)</f>
        <v>0</v>
      </c>
      <c r="AG16" s="22">
        <f ca="1">IF($L16&lt;&gt;0,VLOOKUP($N16,'Allocation Factors'!$B$12:$AU$603,22,FALSE)*$L16,0)+IF($H16&lt;&gt;0,(VLOOKUP($J16,'Allocation Factors'!$B$12:$AU$603,22,FALSE)*$H16),0)</f>
        <v>0</v>
      </c>
      <c r="AH16" s="22">
        <f ca="1">IF($L16&lt;&gt;0,VLOOKUP($N16,'Allocation Factors'!$B$12:$AU$603,23,FALSE)*$L16,0)+IF($H16&lt;&gt;0,(VLOOKUP($J16,'Allocation Factors'!$B$12:$AU$603,23,FALSE)*$H16),0)</f>
        <v>0</v>
      </c>
      <c r="AI16" s="22">
        <f ca="1">IF($L16&lt;&gt;0,VLOOKUP($N16,'Allocation Factors'!$B$12:$AU$603,24,FALSE)*$L16,0)+IF($H16&lt;&gt;0,(VLOOKUP($J16,'Allocation Factors'!$B$12:$AU$603,24,FALSE)*$H16),0)</f>
        <v>0</v>
      </c>
      <c r="AJ16" s="22">
        <f ca="1">IF($L16&lt;&gt;0,VLOOKUP($N16,'Allocation Factors'!$B$12:$AU$603,25,FALSE)*$L16,0)+IF($H16&lt;&gt;0,(VLOOKUP($J16,'Allocation Factors'!$B$12:$AU$603,25,FALSE)*$H16),0)</f>
        <v>0</v>
      </c>
      <c r="AK16" s="22">
        <f ca="1">IF($L16&lt;&gt;0,VLOOKUP($N16,'Allocation Factors'!$B$12:$AU$603,26,FALSE)*$L16,0)+IF($H16&lt;&gt;0,(VLOOKUP($J16,'Allocation Factors'!$B$12:$AU$603,26,FALSE)*$H16),0)</f>
        <v>0</v>
      </c>
      <c r="AL16" s="22">
        <f ca="1">IF($L16&lt;&gt;0,VLOOKUP($N16,'Allocation Factors'!$B$12:$AU$603,27,FALSE)*$L16,0)+IF($H16&lt;&gt;0,(VLOOKUP($J16,'Allocation Factors'!$B$12:$AU$603,27,FALSE)*$H16),0)</f>
        <v>0</v>
      </c>
      <c r="AM16" s="22">
        <f ca="1">IF($L16&lt;&gt;0,VLOOKUP($N16,'Allocation Factors'!$B$12:$AU$603,28,FALSE)*$L16,0)+IF($H16&lt;&gt;0,(VLOOKUP($J16,'Allocation Factors'!$B$12:$AU$603,28,FALSE)*$H16),0)</f>
        <v>0</v>
      </c>
      <c r="AN16" s="22">
        <f ca="1">IF($L16&lt;&gt;0,VLOOKUP($N16,'Allocation Factors'!$B$12:$AU$603,29,FALSE)*$L16,0)+IF($H16&lt;&gt;0,(VLOOKUP($J16,'Allocation Factors'!$B$12:$AU$603,29,FALSE)*$H16),0)</f>
        <v>0</v>
      </c>
      <c r="AO16" s="22">
        <f ca="1">IF($L16&lt;&gt;0,VLOOKUP($N16,'Allocation Factors'!$B$12:$AU$603,30,FALSE)*$L16,0)+IF($H16&lt;&gt;0,(VLOOKUP($J16,'Allocation Factors'!$B$12:$AU$603,30,FALSE)*$H16),0)</f>
        <v>0</v>
      </c>
      <c r="AP16" s="22">
        <f ca="1">IF($L16&lt;&gt;0,VLOOKUP($N16,'Allocation Factors'!$B$12:$AU$603,31,FALSE)*$L16,0)+IF($H16&lt;&gt;0,(VLOOKUP($J16,'Allocation Factors'!$B$12:$AU$603,31,FALSE)*$H16),0)</f>
        <v>0</v>
      </c>
      <c r="AQ16" s="22">
        <f ca="1">IF($L16&lt;&gt;0,VLOOKUP($N16,'Allocation Factors'!$B$12:$AU$603,32,FALSE)*$L16,0)+IF($H16&lt;&gt;0,(VLOOKUP($J16,'Allocation Factors'!$B$12:$AU$603,32,FALSE)*$H16),0)</f>
        <v>0</v>
      </c>
      <c r="AR16" s="22">
        <f ca="1">IF($L16&lt;&gt;0,VLOOKUP($N16,'Allocation Factors'!$B$12:$AU$603,33,FALSE)*$L16,0)+IF($H16&lt;&gt;0,(VLOOKUP($J16,'Allocation Factors'!$B$12:$AU$603,33,FALSE)*$H16),0)</f>
        <v>0</v>
      </c>
      <c r="AS16" s="22">
        <f ca="1">IF($L16&lt;&gt;0,VLOOKUP($N16,'Allocation Factors'!$B$12:$AU$603,34,FALSE)*$L16,0)+IF($H16&lt;&gt;0,(VLOOKUP($J16,'Allocation Factors'!$B$12:$AU$603,34,FALSE)*$H16),0)</f>
        <v>0</v>
      </c>
      <c r="AT16" s="22">
        <f ca="1">IF($L16&lt;&gt;0,VLOOKUP($N16,'Allocation Factors'!$B$12:$AU$603,35,FALSE)*$L16,0)+IF($H16&lt;&gt;0,(VLOOKUP($J16,'Allocation Factors'!$B$12:$AU$603,35,FALSE)*$H16),0)</f>
        <v>0</v>
      </c>
      <c r="AU16" s="22">
        <f ca="1">IF($L16&lt;&gt;0,VLOOKUP($N16,'Allocation Factors'!$B$12:$AU$603,36,FALSE)*$L16,0)+IF($H16&lt;&gt;0,(VLOOKUP($J16,'Allocation Factors'!$B$12:$AU$603,36,FALSE)*$H16),0)</f>
        <v>0</v>
      </c>
      <c r="AV16" s="22">
        <f ca="1">IF($L16&lt;&gt;0,VLOOKUP($N16,'Allocation Factors'!$B$12:$AU$603,37,FALSE)*$L16,0)+IF($H16&lt;&gt;0,(VLOOKUP($J16,'Allocation Factors'!$B$12:$AU$603,37,FALSE)*$H16),0)</f>
        <v>0</v>
      </c>
      <c r="AW16" s="22">
        <f ca="1">IF($L16&lt;&gt;0,VLOOKUP($N16,'Allocation Factors'!$B$12:$AU$603,38,FALSE)*$L16,0)+IF($H16&lt;&gt;0,(VLOOKUP($J16,'Allocation Factors'!$B$12:$AU$603,38,FALSE)*$H16),0)</f>
        <v>0</v>
      </c>
      <c r="AX16" s="22">
        <f ca="1">IF($L16&lt;&gt;0,VLOOKUP($N16,'Allocation Factors'!$B$12:$AU$603,39,FALSE)*$L16,0)+IF($H16&lt;&gt;0,(VLOOKUP($J16,'Allocation Factors'!$B$12:$AU$603,39,FALSE)*$H16),0)</f>
        <v>0</v>
      </c>
      <c r="AY16" s="22">
        <f ca="1">IF($L16&lt;&gt;0,VLOOKUP($N16,'Allocation Factors'!$B$12:$AU$603,40,FALSE)*$L16,0)+IF($H16&lt;&gt;0,(VLOOKUP($J16,'Allocation Factors'!$B$12:$AU$603,40,FALSE)*$H16),0)</f>
        <v>0</v>
      </c>
      <c r="AZ16" s="22">
        <f ca="1">IF($L16&lt;&gt;0,VLOOKUP($N16,'Allocation Factors'!$B$12:$AU$603,41,FALSE)*$L16,0)+IF($H16&lt;&gt;0,(VLOOKUP($J16,'Allocation Factors'!$B$12:$AU$603,41,FALSE)*$H16),0)</f>
        <v>0</v>
      </c>
      <c r="BA16" s="22">
        <f ca="1">IF($L16&lt;&gt;0,VLOOKUP($N16,'Allocation Factors'!$B$12:$AU$603,42,FALSE)*$L16,0)+IF($H16&lt;&gt;0,(VLOOKUP($J16,'Allocation Factors'!$B$12:$AU$603,42,FALSE)*$H16),0)</f>
        <v>0</v>
      </c>
      <c r="BB16" s="22">
        <f ca="1">IF($L16&lt;&gt;0,VLOOKUP($N16,'Allocation Factors'!$B$12:$AU$603,43,FALSE)*$L16,0)+IF($H16&lt;&gt;0,(VLOOKUP($J16,'Allocation Factors'!$B$12:$AU$603,43,FALSE)*$H16),0)</f>
        <v>0</v>
      </c>
      <c r="BC16" s="22">
        <f ca="1">IF($L16&lt;&gt;0,VLOOKUP($N16,'Allocation Factors'!$B$12:$AU$603,44,FALSE)*$L16,0)+IF($H16&lt;&gt;0,(VLOOKUP($J16,'Allocation Factors'!$B$12:$AU$603,44,FALSE)*$H16),0)</f>
        <v>0</v>
      </c>
      <c r="BD16" s="22">
        <f ca="1">IF($L16&lt;&gt;0,VLOOKUP($N16,'Allocation Factors'!$B$12:$AU$603,45,FALSE)*$L16,0)+IF($H16&lt;&gt;0,(VLOOKUP($J16,'Allocation Factors'!$B$12:$AU$603,45,FALSE)*$H16),0)</f>
        <v>0</v>
      </c>
      <c r="BE16" s="22">
        <f ca="1">IF($L16&lt;&gt;0,VLOOKUP($N16,'Allocation Factors'!$B$12:$AU$603,46,FALSE)*$L16,0)+IF($H16&lt;&gt;0,(VLOOKUP($J16,'Allocation Factors'!$B$12:$AU$603,46,FALSE)*$H16),0)</f>
        <v>0</v>
      </c>
      <c r="BF16" s="9"/>
    </row>
    <row r="17" spans="1:58" s="73" customFormat="1" x14ac:dyDescent="0.25">
      <c r="A17" s="2">
        <f t="shared" si="2"/>
        <v>7</v>
      </c>
      <c r="B17" s="73" t="s">
        <v>461</v>
      </c>
      <c r="D17" s="204">
        <f ca="1">SUM(D11:D16)</f>
        <v>3112816.4694699193</v>
      </c>
      <c r="E17" s="200"/>
      <c r="F17" s="204">
        <f ca="1">SUM(F11:F16)</f>
        <v>3112816.4694699193</v>
      </c>
      <c r="G17" s="94"/>
      <c r="H17" s="204">
        <f ca="1">SUM(H11:H16)</f>
        <v>0</v>
      </c>
      <c r="I17" s="94"/>
      <c r="J17" s="91"/>
      <c r="K17" s="94"/>
      <c r="L17" s="79">
        <f ca="1">SUM(L11:L16)</f>
        <v>3112816.4694699193</v>
      </c>
      <c r="M17" s="94"/>
      <c r="N17" s="91"/>
      <c r="O17" s="94"/>
      <c r="P17" s="79">
        <f t="shared" ref="P17:BE17" ca="1" si="3">SUM(P11:P16)</f>
        <v>1128860.8061002067</v>
      </c>
      <c r="Q17" s="79">
        <f t="shared" ca="1" si="3"/>
        <v>718270.38892938895</v>
      </c>
      <c r="R17" s="79">
        <f t="shared" ca="1" si="3"/>
        <v>0</v>
      </c>
      <c r="S17" s="79">
        <f t="shared" ca="1" si="3"/>
        <v>3460.9100611309277</v>
      </c>
      <c r="T17" s="79">
        <f t="shared" ca="1" si="3"/>
        <v>35254.89810886114</v>
      </c>
      <c r="U17" s="79">
        <f t="shared" ca="1" si="3"/>
        <v>4021.7460356503248</v>
      </c>
      <c r="V17" s="79">
        <f t="shared" ca="1" si="3"/>
        <v>0</v>
      </c>
      <c r="W17" s="79">
        <f t="shared" ca="1" si="3"/>
        <v>1398.3069104595575</v>
      </c>
      <c r="X17" s="79">
        <f t="shared" ca="1" si="3"/>
        <v>264.41011401434821</v>
      </c>
      <c r="Y17" s="79">
        <f t="shared" ca="1" si="3"/>
        <v>4103.0325584175134</v>
      </c>
      <c r="Z17" s="79">
        <f t="shared" ca="1" si="3"/>
        <v>32033.870287712522</v>
      </c>
      <c r="AA17" s="79">
        <f t="shared" ca="1" si="3"/>
        <v>0</v>
      </c>
      <c r="AB17" s="79">
        <f t="shared" ca="1" si="3"/>
        <v>2120.3335343493727</v>
      </c>
      <c r="AC17" s="79">
        <f t="shared" ca="1" si="3"/>
        <v>213783.37099176692</v>
      </c>
      <c r="AD17" s="79">
        <f t="shared" ca="1" si="3"/>
        <v>40966.036757742782</v>
      </c>
      <c r="AE17" s="79">
        <f t="shared" ca="1" si="3"/>
        <v>5486.3164225717146</v>
      </c>
      <c r="AF17" s="79">
        <f t="shared" ca="1" si="3"/>
        <v>1236.0466945082953</v>
      </c>
      <c r="AG17" s="79">
        <f t="shared" ca="1" si="3"/>
        <v>0</v>
      </c>
      <c r="AH17" s="79">
        <f t="shared" ca="1" si="3"/>
        <v>703162.06669541809</v>
      </c>
      <c r="AI17" s="79">
        <f t="shared" ca="1" si="3"/>
        <v>167649.27210169478</v>
      </c>
      <c r="AJ17" s="79">
        <f t="shared" ca="1" si="3"/>
        <v>21757.481875087768</v>
      </c>
      <c r="AK17" s="79">
        <f t="shared" ca="1" si="3"/>
        <v>2.202126455616793</v>
      </c>
      <c r="AL17" s="79">
        <f t="shared" ca="1" si="3"/>
        <v>141.99494396754858</v>
      </c>
      <c r="AM17" s="79">
        <f t="shared" ca="1" si="3"/>
        <v>895.6626849694627</v>
      </c>
      <c r="AN17" s="79">
        <f t="shared" ca="1" si="3"/>
        <v>20098.892301262134</v>
      </c>
      <c r="AO17" s="79">
        <f t="shared" ca="1" si="3"/>
        <v>1154.2566793146407</v>
      </c>
      <c r="AP17" s="79">
        <f t="shared" ca="1" si="3"/>
        <v>4507.3834893471703</v>
      </c>
      <c r="AQ17" s="79">
        <f t="shared" ca="1" si="3"/>
        <v>0</v>
      </c>
      <c r="AR17" s="79">
        <f t="shared" ca="1" si="3"/>
        <v>212.0598171067443</v>
      </c>
      <c r="AS17" s="79">
        <f t="shared" ca="1" si="3"/>
        <v>5.3149702515522117</v>
      </c>
      <c r="AT17" s="79">
        <f t="shared" ca="1" si="3"/>
        <v>1677.9343712319139</v>
      </c>
      <c r="AU17" s="79">
        <f t="shared" ca="1" si="3"/>
        <v>5.9134676755911793</v>
      </c>
      <c r="AV17" s="79">
        <f t="shared" ca="1" si="3"/>
        <v>285.56043935573962</v>
      </c>
      <c r="AW17" s="79">
        <f t="shared" ca="1" si="3"/>
        <v>0</v>
      </c>
      <c r="AX17" s="79">
        <f t="shared" ca="1" si="3"/>
        <v>0</v>
      </c>
      <c r="AY17" s="79">
        <f t="shared" ca="1" si="3"/>
        <v>0</v>
      </c>
      <c r="AZ17" s="79">
        <f t="shared" ca="1" si="3"/>
        <v>0</v>
      </c>
      <c r="BA17" s="79">
        <f t="shared" ca="1" si="3"/>
        <v>0</v>
      </c>
      <c r="BB17" s="79">
        <f t="shared" ca="1" si="3"/>
        <v>0</v>
      </c>
      <c r="BC17" s="79">
        <f t="shared" ca="1" si="3"/>
        <v>0</v>
      </c>
      <c r="BD17" s="79">
        <f t="shared" ca="1" si="3"/>
        <v>0</v>
      </c>
      <c r="BE17" s="79">
        <f t="shared" ca="1" si="3"/>
        <v>0</v>
      </c>
    </row>
    <row r="18" spans="1:58" x14ac:dyDescent="0.25">
      <c r="B18" s="73"/>
      <c r="D18" s="22"/>
      <c r="E18" s="22"/>
      <c r="F18" s="22"/>
      <c r="L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x14ac:dyDescent="0.25">
      <c r="B19" s="197" t="s">
        <v>120</v>
      </c>
      <c r="D19" s="22"/>
      <c r="E19" s="22"/>
      <c r="F19" s="22"/>
      <c r="L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x14ac:dyDescent="0.25">
      <c r="A20" s="2">
        <f>A17+1</f>
        <v>8</v>
      </c>
      <c r="B20" s="73" t="s">
        <v>112</v>
      </c>
      <c r="D20" s="22">
        <f ca="1">SUM('Storage Class'!P116:P120,'Storage Class'!P122)</f>
        <v>9952.0457581929568</v>
      </c>
      <c r="E20" s="22"/>
      <c r="F20" s="22">
        <f t="shared" ref="F20:F23" ca="1" si="4">D20</f>
        <v>9952.0457581929568</v>
      </c>
      <c r="L20" s="22">
        <f t="shared" ref="L20:L23" ca="1" si="5">F20-H20</f>
        <v>9952.0457581929568</v>
      </c>
      <c r="N20" s="28" t="str">
        <f>'Total ALLOCATION'!N20</f>
        <v>NETFROMSTOR</v>
      </c>
      <c r="P20" s="22">
        <f ca="1">IF($L20&lt;&gt;0,VLOOKUP($N20,'Allocation Factors'!$B$12:$AU$603,5,FALSE)*$L20,0)+IF($H20&lt;&gt;0,(VLOOKUP($J20,'Allocation Factors'!$B$12:$AU$603,5,FALSE)*$H20),0)</f>
        <v>2977.9222160382965</v>
      </c>
      <c r="Q20" s="22">
        <f ca="1">IF($L20&lt;&gt;0,VLOOKUP($N20,'Allocation Factors'!$B$12:$AU$603,6,FALSE)*$L20,0)+IF($H20&lt;&gt;0,(VLOOKUP($J20,'Allocation Factors'!$B$12:$AU$603,6,FALSE)*$H20),0)</f>
        <v>2588.1726189211199</v>
      </c>
      <c r="R20" s="22">
        <f ca="1">IF($L20&lt;&gt;0,VLOOKUP($N20,'Allocation Factors'!$B$12:$AU$603,7,FALSE)*$L20,0)+IF($H20&lt;&gt;0,(VLOOKUP($J20,'Allocation Factors'!$B$12:$AU$603,7,FALSE)*$H20),0)</f>
        <v>0</v>
      </c>
      <c r="S20" s="22">
        <f ca="1">IF($L20&lt;&gt;0,VLOOKUP($N20,'Allocation Factors'!$B$12:$AU$603,8,FALSE)*$L20,0)+IF($H20&lt;&gt;0,(VLOOKUP($J20,'Allocation Factors'!$B$12:$AU$603,8,FALSE)*$H20),0)</f>
        <v>6.9394837225483652</v>
      </c>
      <c r="T20" s="22">
        <f ca="1">IF($L20&lt;&gt;0,VLOOKUP($N20,'Allocation Factors'!$B$12:$AU$603,9,FALSE)*$L20,0)+IF($H20&lt;&gt;0,(VLOOKUP($J20,'Allocation Factors'!$B$12:$AU$603,9,FALSE)*$H20),0)</f>
        <v>189.1084870826034</v>
      </c>
      <c r="U20" s="22">
        <f ca="1">IF($L20&lt;&gt;0,VLOOKUP($N20,'Allocation Factors'!$B$12:$AU$603,10,FALSE)*$L20,0)+IF($H20&lt;&gt;0,(VLOOKUP($J20,'Allocation Factors'!$B$12:$AU$603,10,FALSE)*$H20),0)</f>
        <v>6.974535522378364</v>
      </c>
      <c r="V20" s="22">
        <f ca="1">IF($L20&lt;&gt;0,VLOOKUP($N20,'Allocation Factors'!$B$12:$AU$603,11,FALSE)*$L20,0)+IF($H20&lt;&gt;0,(VLOOKUP($J20,'Allocation Factors'!$B$12:$AU$603,11,FALSE)*$H20),0)</f>
        <v>0</v>
      </c>
      <c r="W20" s="22">
        <f ca="1">IF($L20&lt;&gt;0,VLOOKUP($N20,'Allocation Factors'!$B$12:$AU$603,12,FALSE)*$L20,0)+IF($H20&lt;&gt;0,(VLOOKUP($J20,'Allocation Factors'!$B$12:$AU$603,12,FALSE)*$H20),0)</f>
        <v>0</v>
      </c>
      <c r="X20" s="22">
        <f ca="1">IF($L20&lt;&gt;0,VLOOKUP($N20,'Allocation Factors'!$B$12:$AU$603,13,FALSE)*$L20,0)+IF($H20&lt;&gt;0,(VLOOKUP($J20,'Allocation Factors'!$B$12:$AU$603,13,FALSE)*$H20),0)</f>
        <v>0</v>
      </c>
      <c r="Y20" s="22">
        <f ca="1">IF($L20&lt;&gt;0,VLOOKUP($N20,'Allocation Factors'!$B$12:$AU$603,14,FALSE)*$L20,0)+IF($H20&lt;&gt;0,(VLOOKUP($J20,'Allocation Factors'!$B$12:$AU$603,14,FALSE)*$H20),0)</f>
        <v>0</v>
      </c>
      <c r="Z20" s="22">
        <f ca="1">IF($L20&lt;&gt;0,VLOOKUP($N20,'Allocation Factors'!$B$12:$AU$603,15,FALSE)*$L20,0)+IF($H20&lt;&gt;0,(VLOOKUP($J20,'Allocation Factors'!$B$12:$AU$603,15,FALSE)*$H20),0)</f>
        <v>56.101647034923054</v>
      </c>
      <c r="AA20" s="22">
        <f ca="1">IF($L20&lt;&gt;0,VLOOKUP($N20,'Allocation Factors'!$B$12:$AU$603,16,FALSE)*$L20,0)+IF($H20&lt;&gt;0,(VLOOKUP($J20,'Allocation Factors'!$B$12:$AU$603,16,FALSE)*$H20),0)</f>
        <v>0</v>
      </c>
      <c r="AB20" s="22">
        <f ca="1">IF($L20&lt;&gt;0,VLOOKUP($N20,'Allocation Factors'!$B$12:$AU$603,17,FALSE)*$L20,0)+IF($H20&lt;&gt;0,(VLOOKUP($J20,'Allocation Factors'!$B$12:$AU$603,17,FALSE)*$H20),0)</f>
        <v>22.996694848548469</v>
      </c>
      <c r="AC20" s="22">
        <f ca="1">IF($L20&lt;&gt;0,VLOOKUP($N20,'Allocation Factors'!$B$12:$AU$603,18,FALSE)*$L20,0)+IF($H20&lt;&gt;0,(VLOOKUP($J20,'Allocation Factors'!$B$12:$AU$603,18,FALSE)*$H20),0)</f>
        <v>533.94735910735074</v>
      </c>
      <c r="AD20" s="22">
        <f ca="1">IF($L20&lt;&gt;0,VLOOKUP($N20,'Allocation Factors'!$B$12:$AU$603,19,FALSE)*$L20,0)+IF($H20&lt;&gt;0,(VLOOKUP($J20,'Allocation Factors'!$B$12:$AU$603,19,FALSE)*$H20),0)</f>
        <v>150.94232692141864</v>
      </c>
      <c r="AE20" s="22">
        <f ca="1">IF($L20&lt;&gt;0,VLOOKUP($N20,'Allocation Factors'!$B$12:$AU$603,20,FALSE)*$L20,0)+IF($H20&lt;&gt;0,(VLOOKUP($J20,'Allocation Factors'!$B$12:$AU$603,20,FALSE)*$H20),0)</f>
        <v>21.346114899869782</v>
      </c>
      <c r="AF20" s="22">
        <f ca="1">IF($L20&lt;&gt;0,VLOOKUP($N20,'Allocation Factors'!$B$12:$AU$603,21,FALSE)*$L20,0)+IF($H20&lt;&gt;0,(VLOOKUP($J20,'Allocation Factors'!$B$12:$AU$603,21,FALSE)*$H20),0)</f>
        <v>0</v>
      </c>
      <c r="AG20" s="22">
        <f ca="1">IF($L20&lt;&gt;0,VLOOKUP($N20,'Allocation Factors'!$B$12:$AU$603,22,FALSE)*$L20,0)+IF($H20&lt;&gt;0,(VLOOKUP($J20,'Allocation Factors'!$B$12:$AU$603,22,FALSE)*$H20),0)</f>
        <v>0</v>
      </c>
      <c r="AH20" s="22">
        <f ca="1">IF($L20&lt;&gt;0,VLOOKUP($N20,'Allocation Factors'!$B$12:$AU$603,23,FALSE)*$L20,0)+IF($H20&lt;&gt;0,(VLOOKUP($J20,'Allocation Factors'!$B$12:$AU$603,23,FALSE)*$H20),0)</f>
        <v>1689.6018751336917</v>
      </c>
      <c r="AI20" s="22">
        <f ca="1">IF($L20&lt;&gt;0,VLOOKUP($N20,'Allocation Factors'!$B$12:$AU$603,24,FALSE)*$L20,0)+IF($H20&lt;&gt;0,(VLOOKUP($J20,'Allocation Factors'!$B$12:$AU$603,24,FALSE)*$H20),0)</f>
        <v>602.46330134872017</v>
      </c>
      <c r="AJ20" s="22">
        <f ca="1">IF($L20&lt;&gt;0,VLOOKUP($N20,'Allocation Factors'!$B$12:$AU$603,25,FALSE)*$L20,0)+IF($H20&lt;&gt;0,(VLOOKUP($J20,'Allocation Factors'!$B$12:$AU$603,25,FALSE)*$H20),0)</f>
        <v>188.63496320453143</v>
      </c>
      <c r="AK20" s="22">
        <f ca="1">IF($L20&lt;&gt;0,VLOOKUP($N20,'Allocation Factors'!$B$12:$AU$603,26,FALSE)*$L20,0)+IF($H20&lt;&gt;0,(VLOOKUP($J20,'Allocation Factors'!$B$12:$AU$603,26,FALSE)*$H20),0)</f>
        <v>0</v>
      </c>
      <c r="AL20" s="22">
        <f ca="1">IF($L20&lt;&gt;0,VLOOKUP($N20,'Allocation Factors'!$B$12:$AU$603,27,FALSE)*$L20,0)+IF($H20&lt;&gt;0,(VLOOKUP($J20,'Allocation Factors'!$B$12:$AU$603,27,FALSE)*$H20),0)</f>
        <v>1.8256270336648051</v>
      </c>
      <c r="AM20" s="22">
        <f ca="1">IF($L20&lt;&gt;0,VLOOKUP($N20,'Allocation Factors'!$B$12:$AU$603,28,FALSE)*$L20,0)+IF($H20&lt;&gt;0,(VLOOKUP($J20,'Allocation Factors'!$B$12:$AU$603,28,FALSE)*$H20),0)</f>
        <v>0</v>
      </c>
      <c r="AN20" s="22">
        <f ca="1">IF($L20&lt;&gt;0,VLOOKUP($N20,'Allocation Factors'!$B$12:$AU$603,29,FALSE)*$L20,0)+IF($H20&lt;&gt;0,(VLOOKUP($J20,'Allocation Factors'!$B$12:$AU$603,29,FALSE)*$H20),0)</f>
        <v>313.25638829630606</v>
      </c>
      <c r="AO20" s="22">
        <f ca="1">IF($L20&lt;&gt;0,VLOOKUP($N20,'Allocation Factors'!$B$12:$AU$603,30,FALSE)*$L20,0)+IF($H20&lt;&gt;0,(VLOOKUP($J20,'Allocation Factors'!$B$12:$AU$603,30,FALSE)*$H20),0)</f>
        <v>0</v>
      </c>
      <c r="AP20" s="22">
        <f ca="1">IF($L20&lt;&gt;0,VLOOKUP($N20,'Allocation Factors'!$B$12:$AU$603,31,FALSE)*$L20,0)+IF($H20&lt;&gt;0,(VLOOKUP($J20,'Allocation Factors'!$B$12:$AU$603,31,FALSE)*$H20),0)</f>
        <v>18.950157388636224</v>
      </c>
      <c r="AQ20" s="22">
        <f ca="1">IF($L20&lt;&gt;0,VLOOKUP($N20,'Allocation Factors'!$B$12:$AU$603,32,FALSE)*$L20,0)+IF($H20&lt;&gt;0,(VLOOKUP($J20,'Allocation Factors'!$B$12:$AU$603,32,FALSE)*$H20),0)</f>
        <v>0</v>
      </c>
      <c r="AR20" s="22">
        <f ca="1">IF($L20&lt;&gt;0,VLOOKUP($N20,'Allocation Factors'!$B$12:$AU$603,33,FALSE)*$L20,0)+IF($H20&lt;&gt;0,(VLOOKUP($J20,'Allocation Factors'!$B$12:$AU$603,33,FALSE)*$H20),0)</f>
        <v>65.939365100870702</v>
      </c>
      <c r="AS20" s="22">
        <f ca="1">IF($L20&lt;&gt;0,VLOOKUP($N20,'Allocation Factors'!$B$12:$AU$603,34,FALSE)*$L20,0)+IF($H20&lt;&gt;0,(VLOOKUP($J20,'Allocation Factors'!$B$12:$AU$603,34,FALSE)*$H20),0)</f>
        <v>0</v>
      </c>
      <c r="AT20" s="22">
        <f ca="1">IF($L20&lt;&gt;0,VLOOKUP($N20,'Allocation Factors'!$B$12:$AU$603,35,FALSE)*$L20,0)+IF($H20&lt;&gt;0,(VLOOKUP($J20,'Allocation Factors'!$B$12:$AU$603,35,FALSE)*$H20),0)</f>
        <v>411.34101056258652</v>
      </c>
      <c r="AU20" s="22">
        <f ca="1">IF($L20&lt;&gt;0,VLOOKUP($N20,'Allocation Factors'!$B$12:$AU$603,36,FALSE)*$L20,0)+IF($H20&lt;&gt;0,(VLOOKUP($J20,'Allocation Factors'!$B$12:$AU$603,36,FALSE)*$H20),0)</f>
        <v>0</v>
      </c>
      <c r="AV20" s="22">
        <f ca="1">IF($L20&lt;&gt;0,VLOOKUP($N20,'Allocation Factors'!$B$12:$AU$603,37,FALSE)*$L20,0)+IF($H20&lt;&gt;0,(VLOOKUP($J20,'Allocation Factors'!$B$12:$AU$603,37,FALSE)*$H20),0)</f>
        <v>105.5815860248953</v>
      </c>
      <c r="AW20" s="22">
        <f ca="1">IF($L20&lt;&gt;0,VLOOKUP($N20,'Allocation Factors'!$B$12:$AU$603,38,FALSE)*$L20,0)+IF($H20&lt;&gt;0,(VLOOKUP($J20,'Allocation Factors'!$B$12:$AU$603,38,FALSE)*$H20),0)</f>
        <v>0</v>
      </c>
      <c r="AX20" s="22">
        <f ca="1">IF($L20&lt;&gt;0,VLOOKUP($N20,'Allocation Factors'!$B$12:$AU$603,39,FALSE)*$L20,0)+IF($H20&lt;&gt;0,(VLOOKUP($J20,'Allocation Factors'!$B$12:$AU$603,39,FALSE)*$H20),0)</f>
        <v>0</v>
      </c>
      <c r="AY20" s="22">
        <f ca="1">IF($L20&lt;&gt;0,VLOOKUP($N20,'Allocation Factors'!$B$12:$AU$603,40,FALSE)*$L20,0)+IF($H20&lt;&gt;0,(VLOOKUP($J20,'Allocation Factors'!$B$12:$AU$603,40,FALSE)*$H20),0)</f>
        <v>0</v>
      </c>
      <c r="AZ20" s="22">
        <f ca="1">IF($L20&lt;&gt;0,VLOOKUP($N20,'Allocation Factors'!$B$12:$AU$603,41,FALSE)*$L20,0)+IF($H20&lt;&gt;0,(VLOOKUP($J20,'Allocation Factors'!$B$12:$AU$603,41,FALSE)*$H20),0)</f>
        <v>0</v>
      </c>
      <c r="BA20" s="22">
        <f ca="1">IF($L20&lt;&gt;0,VLOOKUP($N20,'Allocation Factors'!$B$12:$AU$603,42,FALSE)*$L20,0)+IF($H20&lt;&gt;0,(VLOOKUP($J20,'Allocation Factors'!$B$12:$AU$603,42,FALSE)*$H20),0)</f>
        <v>0</v>
      </c>
      <c r="BB20" s="22">
        <f ca="1">IF($L20&lt;&gt;0,VLOOKUP($N20,'Allocation Factors'!$B$12:$AU$603,43,FALSE)*$L20,0)+IF($H20&lt;&gt;0,(VLOOKUP($J20,'Allocation Factors'!$B$12:$AU$603,43,FALSE)*$H20),0)</f>
        <v>0</v>
      </c>
      <c r="BC20" s="22">
        <f ca="1">IF($L20&lt;&gt;0,VLOOKUP($N20,'Allocation Factors'!$B$12:$AU$603,44,FALSE)*$L20,0)+IF($H20&lt;&gt;0,(VLOOKUP($J20,'Allocation Factors'!$B$12:$AU$603,44,FALSE)*$H20),0)</f>
        <v>0</v>
      </c>
      <c r="BD20" s="22">
        <f ca="1">IF($L20&lt;&gt;0,VLOOKUP($N20,'Allocation Factors'!$B$12:$AU$603,45,FALSE)*$L20,0)+IF($H20&lt;&gt;0,(VLOOKUP($J20,'Allocation Factors'!$B$12:$AU$603,45,FALSE)*$H20),0)</f>
        <v>0</v>
      </c>
      <c r="BE20" s="22">
        <f ca="1">IF($L20&lt;&gt;0,VLOOKUP($N20,'Allocation Factors'!$B$12:$AU$603,46,FALSE)*$L20,0)+IF($H20&lt;&gt;0,(VLOOKUP($J20,'Allocation Factors'!$B$12:$AU$603,46,FALSE)*$H20),0)</f>
        <v>0</v>
      </c>
      <c r="BF20" s="9"/>
    </row>
    <row r="21" spans="1:58" x14ac:dyDescent="0.25">
      <c r="A21" s="2">
        <f>A20+1</f>
        <v>9</v>
      </c>
      <c r="B21" s="73" t="s">
        <v>113</v>
      </c>
      <c r="D21" s="22">
        <f ca="1">SUM('Storage Class'!R116:R120,'Storage Class'!R122)</f>
        <v>3293.8470156641856</v>
      </c>
      <c r="E21" s="22"/>
      <c r="F21" s="22">
        <f t="shared" ca="1" si="4"/>
        <v>3293.8470156641856</v>
      </c>
      <c r="L21" s="22">
        <f t="shared" ca="1" si="5"/>
        <v>3293.8470156641856</v>
      </c>
      <c r="N21" s="28" t="str">
        <f>'Total ALLOCATION'!N21</f>
        <v>STORAGEXCESS</v>
      </c>
      <c r="P21" s="22">
        <f ca="1">IF($L21&lt;&gt;0,VLOOKUP($N21,'Allocation Factors'!$B$12:$AU$603,5,FALSE)*$L21,0)+IF($H21&lt;&gt;0,(VLOOKUP($J21,'Allocation Factors'!$B$12:$AU$603,5,FALSE)*$H21),0)</f>
        <v>987.43887371504866</v>
      </c>
      <c r="Q21" s="22">
        <f ca="1">IF($L21&lt;&gt;0,VLOOKUP($N21,'Allocation Factors'!$B$12:$AU$603,6,FALSE)*$L21,0)+IF($H21&lt;&gt;0,(VLOOKUP($J21,'Allocation Factors'!$B$12:$AU$603,6,FALSE)*$H21),0)</f>
        <v>798.94273304949138</v>
      </c>
      <c r="R21" s="22">
        <f ca="1">IF($L21&lt;&gt;0,VLOOKUP($N21,'Allocation Factors'!$B$12:$AU$603,7,FALSE)*$L21,0)+IF($H21&lt;&gt;0,(VLOOKUP($J21,'Allocation Factors'!$B$12:$AU$603,7,FALSE)*$H21),0)</f>
        <v>0</v>
      </c>
      <c r="S21" s="22">
        <f ca="1">IF($L21&lt;&gt;0,VLOOKUP($N21,'Allocation Factors'!$B$12:$AU$603,8,FALSE)*$L21,0)+IF($H21&lt;&gt;0,(VLOOKUP($J21,'Allocation Factors'!$B$12:$AU$603,8,FALSE)*$H21),0)</f>
        <v>3.1603928169519389</v>
      </c>
      <c r="T21" s="22">
        <f ca="1">IF($L21&lt;&gt;0,VLOOKUP($N21,'Allocation Factors'!$B$12:$AU$603,9,FALSE)*$L21,0)+IF($H21&lt;&gt;0,(VLOOKUP($J21,'Allocation Factors'!$B$12:$AU$603,9,FALSE)*$H21),0)</f>
        <v>67.448335816341938</v>
      </c>
      <c r="U21" s="22">
        <f ca="1">IF($L21&lt;&gt;0,VLOOKUP($N21,'Allocation Factors'!$B$12:$AU$603,10,FALSE)*$L21,0)+IF($H21&lt;&gt;0,(VLOOKUP($J21,'Allocation Factors'!$B$12:$AU$603,10,FALSE)*$H21),0)</f>
        <v>8.686906403422709</v>
      </c>
      <c r="V21" s="22">
        <f ca="1">IF($L21&lt;&gt;0,VLOOKUP($N21,'Allocation Factors'!$B$12:$AU$603,11,FALSE)*$L21,0)+IF($H21&lt;&gt;0,(VLOOKUP($J21,'Allocation Factors'!$B$12:$AU$603,11,FALSE)*$H21),0)</f>
        <v>0</v>
      </c>
      <c r="W21" s="22">
        <f ca="1">IF($L21&lt;&gt;0,VLOOKUP($N21,'Allocation Factors'!$B$12:$AU$603,12,FALSE)*$L21,0)+IF($H21&lt;&gt;0,(VLOOKUP($J21,'Allocation Factors'!$B$12:$AU$603,12,FALSE)*$H21),0)</f>
        <v>0</v>
      </c>
      <c r="X21" s="22">
        <f ca="1">IF($L21&lt;&gt;0,VLOOKUP($N21,'Allocation Factors'!$B$12:$AU$603,13,FALSE)*$L21,0)+IF($H21&lt;&gt;0,(VLOOKUP($J21,'Allocation Factors'!$B$12:$AU$603,13,FALSE)*$H21),0)</f>
        <v>1.6489551716562807</v>
      </c>
      <c r="Y21" s="22">
        <f ca="1">IF($L21&lt;&gt;0,VLOOKUP($N21,'Allocation Factors'!$B$12:$AU$603,14,FALSE)*$L21,0)+IF($H21&lt;&gt;0,(VLOOKUP($J21,'Allocation Factors'!$B$12:$AU$603,14,FALSE)*$H21),0)</f>
        <v>7.441765319050913</v>
      </c>
      <c r="Z21" s="22">
        <f ca="1">IF($L21&lt;&gt;0,VLOOKUP($N21,'Allocation Factors'!$B$12:$AU$603,15,FALSE)*$L21,0)+IF($H21&lt;&gt;0,(VLOOKUP($J21,'Allocation Factors'!$B$12:$AU$603,15,FALSE)*$H21),0)</f>
        <v>28.630975988867505</v>
      </c>
      <c r="AA21" s="22">
        <f ca="1">IF($L21&lt;&gt;0,VLOOKUP($N21,'Allocation Factors'!$B$12:$AU$603,16,FALSE)*$L21,0)+IF($H21&lt;&gt;0,(VLOOKUP($J21,'Allocation Factors'!$B$12:$AU$603,16,FALSE)*$H21),0)</f>
        <v>0</v>
      </c>
      <c r="AB21" s="22">
        <f ca="1">IF($L21&lt;&gt;0,VLOOKUP($N21,'Allocation Factors'!$B$12:$AU$603,17,FALSE)*$L21,0)+IF($H21&lt;&gt;0,(VLOOKUP($J21,'Allocation Factors'!$B$12:$AU$603,17,FALSE)*$H21),0)</f>
        <v>14.863657158250305</v>
      </c>
      <c r="AC21" s="22">
        <f ca="1">IF($L21&lt;&gt;0,VLOOKUP($N21,'Allocation Factors'!$B$12:$AU$603,18,FALSE)*$L21,0)+IF($H21&lt;&gt;0,(VLOOKUP($J21,'Allocation Factors'!$B$12:$AU$603,18,FALSE)*$H21),0)</f>
        <v>196.3156457112471</v>
      </c>
      <c r="AD21" s="22">
        <f ca="1">IF($L21&lt;&gt;0,VLOOKUP($N21,'Allocation Factors'!$B$12:$AU$603,19,FALSE)*$L21,0)+IF($H21&lt;&gt;0,(VLOOKUP($J21,'Allocation Factors'!$B$12:$AU$603,19,FALSE)*$H21),0)</f>
        <v>48.768273014375893</v>
      </c>
      <c r="AE21" s="22">
        <f ca="1">IF($L21&lt;&gt;0,VLOOKUP($N21,'Allocation Factors'!$B$12:$AU$603,20,FALSE)*$L21,0)+IF($H21&lt;&gt;0,(VLOOKUP($J21,'Allocation Factors'!$B$12:$AU$603,20,FALSE)*$H21),0)</f>
        <v>6.6708202511885251</v>
      </c>
      <c r="AF21" s="22">
        <f ca="1">IF($L21&lt;&gt;0,VLOOKUP($N21,'Allocation Factors'!$B$12:$AU$603,21,FALSE)*$L21,0)+IF($H21&lt;&gt;0,(VLOOKUP($J21,'Allocation Factors'!$B$12:$AU$603,21,FALSE)*$H21),0)</f>
        <v>0</v>
      </c>
      <c r="AG21" s="22">
        <f ca="1">IF($L21&lt;&gt;0,VLOOKUP($N21,'Allocation Factors'!$B$12:$AU$603,22,FALSE)*$L21,0)+IF($H21&lt;&gt;0,(VLOOKUP($J21,'Allocation Factors'!$B$12:$AU$603,22,FALSE)*$H21),0)</f>
        <v>0</v>
      </c>
      <c r="AH21" s="22">
        <f ca="1">IF($L21&lt;&gt;0,VLOOKUP($N21,'Allocation Factors'!$B$12:$AU$603,23,FALSE)*$L21,0)+IF($H21&lt;&gt;0,(VLOOKUP($J21,'Allocation Factors'!$B$12:$AU$603,23,FALSE)*$H21),0)</f>
        <v>621.30528699397155</v>
      </c>
      <c r="AI21" s="22">
        <f ca="1">IF($L21&lt;&gt;0,VLOOKUP($N21,'Allocation Factors'!$B$12:$AU$603,24,FALSE)*$L21,0)+IF($H21&lt;&gt;0,(VLOOKUP($J21,'Allocation Factors'!$B$12:$AU$603,24,FALSE)*$H21),0)</f>
        <v>186.99902705645965</v>
      </c>
      <c r="AJ21" s="22">
        <f ca="1">IF($L21&lt;&gt;0,VLOOKUP($N21,'Allocation Factors'!$B$12:$AU$603,25,FALSE)*$L21,0)+IF($H21&lt;&gt;0,(VLOOKUP($J21,'Allocation Factors'!$B$12:$AU$603,25,FALSE)*$H21),0)</f>
        <v>38.440929157571126</v>
      </c>
      <c r="AK21" s="22">
        <f ca="1">IF($L21&lt;&gt;0,VLOOKUP($N21,'Allocation Factors'!$B$12:$AU$603,26,FALSE)*$L21,0)+IF($H21&lt;&gt;0,(VLOOKUP($J21,'Allocation Factors'!$B$12:$AU$603,26,FALSE)*$H21),0)</f>
        <v>8.2803448159702642E-2</v>
      </c>
      <c r="AL21" s="22">
        <f ca="1">IF($L21&lt;&gt;0,VLOOKUP($N21,'Allocation Factors'!$B$12:$AU$603,27,FALSE)*$L21,0)+IF($H21&lt;&gt;0,(VLOOKUP($J21,'Allocation Factors'!$B$12:$AU$603,27,FALSE)*$H21),0)</f>
        <v>0.15250987430359098</v>
      </c>
      <c r="AM21" s="22">
        <f ca="1">IF($L21&lt;&gt;0,VLOOKUP($N21,'Allocation Factors'!$B$12:$AU$603,28,FALSE)*$L21,0)+IF($H21&lt;&gt;0,(VLOOKUP($J21,'Allocation Factors'!$B$12:$AU$603,28,FALSE)*$H21),0)</f>
        <v>0</v>
      </c>
      <c r="AN21" s="22">
        <f ca="1">IF($L21&lt;&gt;0,VLOOKUP($N21,'Allocation Factors'!$B$12:$AU$603,29,FALSE)*$L21,0)+IF($H21&lt;&gt;0,(VLOOKUP($J21,'Allocation Factors'!$B$12:$AU$603,29,FALSE)*$H21),0)</f>
        <v>52.816558790277753</v>
      </c>
      <c r="AO21" s="22">
        <f ca="1">IF($L21&lt;&gt;0,VLOOKUP($N21,'Allocation Factors'!$B$12:$AU$603,30,FALSE)*$L21,0)+IF($H21&lt;&gt;0,(VLOOKUP($J21,'Allocation Factors'!$B$12:$AU$603,30,FALSE)*$H21),0)</f>
        <v>5.4875769765207032</v>
      </c>
      <c r="AP21" s="22">
        <f ca="1">IF($L21&lt;&gt;0,VLOOKUP($N21,'Allocation Factors'!$B$12:$AU$603,31,FALSE)*$L21,0)+IF($H21&lt;&gt;0,(VLOOKUP($J21,'Allocation Factors'!$B$12:$AU$603,31,FALSE)*$H21),0)</f>
        <v>5.3501973048715703</v>
      </c>
      <c r="AQ21" s="22">
        <f ca="1">IF($L21&lt;&gt;0,VLOOKUP($N21,'Allocation Factors'!$B$12:$AU$603,32,FALSE)*$L21,0)+IF($H21&lt;&gt;0,(VLOOKUP($J21,'Allocation Factors'!$B$12:$AU$603,32,FALSE)*$H21),0)</f>
        <v>0</v>
      </c>
      <c r="AR21" s="22">
        <f ca="1">IF($L21&lt;&gt;0,VLOOKUP($N21,'Allocation Factors'!$B$12:$AU$603,33,FALSE)*$L21,0)+IF($H21&lt;&gt;0,(VLOOKUP($J21,'Allocation Factors'!$B$12:$AU$603,33,FALSE)*$H21),0)</f>
        <v>22.457266566423407</v>
      </c>
      <c r="AS21" s="22">
        <f ca="1">IF($L21&lt;&gt;0,VLOOKUP($N21,'Allocation Factors'!$B$12:$AU$603,34,FALSE)*$L21,0)+IF($H21&lt;&gt;0,(VLOOKUP($J21,'Allocation Factors'!$B$12:$AU$603,34,FALSE)*$H21),0)</f>
        <v>0</v>
      </c>
      <c r="AT21" s="22">
        <f ca="1">IF($L21&lt;&gt;0,VLOOKUP($N21,'Allocation Factors'!$B$12:$AU$603,35,FALSE)*$L21,0)+IF($H21&lt;&gt;0,(VLOOKUP($J21,'Allocation Factors'!$B$12:$AU$603,35,FALSE)*$H21),0)</f>
        <v>142.24077563371861</v>
      </c>
      <c r="AU21" s="22">
        <f ca="1">IF($L21&lt;&gt;0,VLOOKUP($N21,'Allocation Factors'!$B$12:$AU$603,36,FALSE)*$L21,0)+IF($H21&lt;&gt;0,(VLOOKUP($J21,'Allocation Factors'!$B$12:$AU$603,36,FALSE)*$H21),0)</f>
        <v>0</v>
      </c>
      <c r="AV21" s="22">
        <f ca="1">IF($L21&lt;&gt;0,VLOOKUP($N21,'Allocation Factors'!$B$12:$AU$603,37,FALSE)*$L21,0)+IF($H21&lt;&gt;0,(VLOOKUP($J21,'Allocation Factors'!$B$12:$AU$603,37,FALSE)*$H21),0)</f>
        <v>48.496749446014789</v>
      </c>
      <c r="AW21" s="22">
        <f ca="1">IF($L21&lt;&gt;0,VLOOKUP($N21,'Allocation Factors'!$B$12:$AU$603,38,FALSE)*$L21,0)+IF($H21&lt;&gt;0,(VLOOKUP($J21,'Allocation Factors'!$B$12:$AU$603,38,FALSE)*$H21),0)</f>
        <v>0</v>
      </c>
      <c r="AX21" s="22">
        <f ca="1">IF($L21&lt;&gt;0,VLOOKUP($N21,'Allocation Factors'!$B$12:$AU$603,39,FALSE)*$L21,0)+IF($H21&lt;&gt;0,(VLOOKUP($J21,'Allocation Factors'!$B$12:$AU$603,39,FALSE)*$H21),0)</f>
        <v>0</v>
      </c>
      <c r="AY21" s="22">
        <f ca="1">IF($L21&lt;&gt;0,VLOOKUP($N21,'Allocation Factors'!$B$12:$AU$603,40,FALSE)*$L21,0)+IF($H21&lt;&gt;0,(VLOOKUP($J21,'Allocation Factors'!$B$12:$AU$603,40,FALSE)*$H21),0)</f>
        <v>0</v>
      </c>
      <c r="AZ21" s="22">
        <f ca="1">IF($L21&lt;&gt;0,VLOOKUP($N21,'Allocation Factors'!$B$12:$AU$603,41,FALSE)*$L21,0)+IF($H21&lt;&gt;0,(VLOOKUP($J21,'Allocation Factors'!$B$12:$AU$603,41,FALSE)*$H21),0)</f>
        <v>0</v>
      </c>
      <c r="BA21" s="22">
        <f ca="1">IF($L21&lt;&gt;0,VLOOKUP($N21,'Allocation Factors'!$B$12:$AU$603,42,FALSE)*$L21,0)+IF($H21&lt;&gt;0,(VLOOKUP($J21,'Allocation Factors'!$B$12:$AU$603,42,FALSE)*$H21),0)</f>
        <v>0</v>
      </c>
      <c r="BB21" s="22">
        <f ca="1">IF($L21&lt;&gt;0,VLOOKUP($N21,'Allocation Factors'!$B$12:$AU$603,43,FALSE)*$L21,0)+IF($H21&lt;&gt;0,(VLOOKUP($J21,'Allocation Factors'!$B$12:$AU$603,43,FALSE)*$H21),0)</f>
        <v>0</v>
      </c>
      <c r="BC21" s="22">
        <f ca="1">IF($L21&lt;&gt;0,VLOOKUP($N21,'Allocation Factors'!$B$12:$AU$603,44,FALSE)*$L21,0)+IF($H21&lt;&gt;0,(VLOOKUP($J21,'Allocation Factors'!$B$12:$AU$603,44,FALSE)*$H21),0)</f>
        <v>0</v>
      </c>
      <c r="BD21" s="22">
        <f ca="1">IF($L21&lt;&gt;0,VLOOKUP($N21,'Allocation Factors'!$B$12:$AU$603,45,FALSE)*$L21,0)+IF($H21&lt;&gt;0,(VLOOKUP($J21,'Allocation Factors'!$B$12:$AU$603,45,FALSE)*$H21),0)</f>
        <v>0</v>
      </c>
      <c r="BE21" s="22">
        <f ca="1">IF($L21&lt;&gt;0,VLOOKUP($N21,'Allocation Factors'!$B$12:$AU$603,46,FALSE)*$L21,0)+IF($H21&lt;&gt;0,(VLOOKUP($J21,'Allocation Factors'!$B$12:$AU$603,46,FALSE)*$H21),0)</f>
        <v>0</v>
      </c>
      <c r="BF21" s="9"/>
    </row>
    <row r="22" spans="1:58" x14ac:dyDescent="0.25">
      <c r="A22" s="2">
        <f t="shared" ref="A22:A24" si="6">A21+1</f>
        <v>10</v>
      </c>
      <c r="B22" s="73" t="s">
        <v>393</v>
      </c>
      <c r="D22" s="22">
        <f ca="1">SUM('Storage Class'!T116:T120,'Storage Class'!T122)</f>
        <v>0</v>
      </c>
      <c r="E22" s="22"/>
      <c r="F22" s="22">
        <f t="shared" ca="1" si="4"/>
        <v>0</v>
      </c>
      <c r="L22" s="22">
        <f t="shared" ca="1" si="5"/>
        <v>0</v>
      </c>
      <c r="N22" s="28" t="str">
        <f>'Total ALLOCATION'!N22</f>
        <v>OP_CONTINGENCY</v>
      </c>
      <c r="P22" s="22">
        <f ca="1">IF($L22&lt;&gt;0,VLOOKUP($N22,'Allocation Factors'!$B$12:$AU$603,5,FALSE)*$L22,0)+IF($H22&lt;&gt;0,(VLOOKUP($J22,'Allocation Factors'!$B$12:$AU$603,5,FALSE)*$H22),0)</f>
        <v>0</v>
      </c>
      <c r="Q22" s="22">
        <f ca="1">IF($L22&lt;&gt;0,VLOOKUP($N22,'Allocation Factors'!$B$12:$AU$603,6,FALSE)*$L22,0)+IF($H22&lt;&gt;0,(VLOOKUP($J22,'Allocation Factors'!$B$12:$AU$603,6,FALSE)*$H22),0)</f>
        <v>0</v>
      </c>
      <c r="R22" s="22">
        <f ca="1">IF($L22&lt;&gt;0,VLOOKUP($N22,'Allocation Factors'!$B$12:$AU$603,7,FALSE)*$L22,0)+IF($H22&lt;&gt;0,(VLOOKUP($J22,'Allocation Factors'!$B$12:$AU$603,7,FALSE)*$H22),0)</f>
        <v>0</v>
      </c>
      <c r="S22" s="22">
        <f ca="1">IF($L22&lt;&gt;0,VLOOKUP($N22,'Allocation Factors'!$B$12:$AU$603,8,FALSE)*$L22,0)+IF($H22&lt;&gt;0,(VLOOKUP($J22,'Allocation Factors'!$B$12:$AU$603,8,FALSE)*$H22),0)</f>
        <v>0</v>
      </c>
      <c r="T22" s="22">
        <f ca="1">IF($L22&lt;&gt;0,VLOOKUP($N22,'Allocation Factors'!$B$12:$AU$603,9,FALSE)*$L22,0)+IF($H22&lt;&gt;0,(VLOOKUP($J22,'Allocation Factors'!$B$12:$AU$603,9,FALSE)*$H22),0)</f>
        <v>0</v>
      </c>
      <c r="U22" s="22">
        <f ca="1">IF($L22&lt;&gt;0,VLOOKUP($N22,'Allocation Factors'!$B$12:$AU$603,10,FALSE)*$L22,0)+IF($H22&lt;&gt;0,(VLOOKUP($J22,'Allocation Factors'!$B$12:$AU$603,10,FALSE)*$H22),0)</f>
        <v>0</v>
      </c>
      <c r="V22" s="22">
        <f ca="1">IF($L22&lt;&gt;0,VLOOKUP($N22,'Allocation Factors'!$B$12:$AU$603,11,FALSE)*$L22,0)+IF($H22&lt;&gt;0,(VLOOKUP($J22,'Allocation Factors'!$B$12:$AU$603,11,FALSE)*$H22),0)</f>
        <v>0</v>
      </c>
      <c r="W22" s="22">
        <f ca="1">IF($L22&lt;&gt;0,VLOOKUP($N22,'Allocation Factors'!$B$12:$AU$603,12,FALSE)*$L22,0)+IF($H22&lt;&gt;0,(VLOOKUP($J22,'Allocation Factors'!$B$12:$AU$603,12,FALSE)*$H22),0)</f>
        <v>0</v>
      </c>
      <c r="X22" s="22">
        <f ca="1">IF($L22&lt;&gt;0,VLOOKUP($N22,'Allocation Factors'!$B$12:$AU$603,13,FALSE)*$L22,0)+IF($H22&lt;&gt;0,(VLOOKUP($J22,'Allocation Factors'!$B$12:$AU$603,13,FALSE)*$H22),0)</f>
        <v>0</v>
      </c>
      <c r="Y22" s="22">
        <f ca="1">IF($L22&lt;&gt;0,VLOOKUP($N22,'Allocation Factors'!$B$12:$AU$603,14,FALSE)*$L22,0)+IF($H22&lt;&gt;0,(VLOOKUP($J22,'Allocation Factors'!$B$12:$AU$603,14,FALSE)*$H22),0)</f>
        <v>0</v>
      </c>
      <c r="Z22" s="22">
        <f ca="1">IF($L22&lt;&gt;0,VLOOKUP($N22,'Allocation Factors'!$B$12:$AU$603,15,FALSE)*$L22,0)+IF($H22&lt;&gt;0,(VLOOKUP($J22,'Allocation Factors'!$B$12:$AU$603,15,FALSE)*$H22),0)</f>
        <v>0</v>
      </c>
      <c r="AA22" s="22">
        <f ca="1">IF($L22&lt;&gt;0,VLOOKUP($N22,'Allocation Factors'!$B$12:$AU$603,16,FALSE)*$L22,0)+IF($H22&lt;&gt;0,(VLOOKUP($J22,'Allocation Factors'!$B$12:$AU$603,16,FALSE)*$H22),0)</f>
        <v>0</v>
      </c>
      <c r="AB22" s="22">
        <f ca="1">IF($L22&lt;&gt;0,VLOOKUP($N22,'Allocation Factors'!$B$12:$AU$603,17,FALSE)*$L22,0)+IF($H22&lt;&gt;0,(VLOOKUP($J22,'Allocation Factors'!$B$12:$AU$603,17,FALSE)*$H22),0)</f>
        <v>0</v>
      </c>
      <c r="AC22" s="22">
        <f ca="1">IF($L22&lt;&gt;0,VLOOKUP($N22,'Allocation Factors'!$B$12:$AU$603,18,FALSE)*$L22,0)+IF($H22&lt;&gt;0,(VLOOKUP($J22,'Allocation Factors'!$B$12:$AU$603,18,FALSE)*$H22),0)</f>
        <v>0</v>
      </c>
      <c r="AD22" s="22">
        <f ca="1">IF($L22&lt;&gt;0,VLOOKUP($N22,'Allocation Factors'!$B$12:$AU$603,19,FALSE)*$L22,0)+IF($H22&lt;&gt;0,(VLOOKUP($J22,'Allocation Factors'!$B$12:$AU$603,19,FALSE)*$H22),0)</f>
        <v>0</v>
      </c>
      <c r="AE22" s="22">
        <f ca="1">IF($L22&lt;&gt;0,VLOOKUP($N22,'Allocation Factors'!$B$12:$AU$603,20,FALSE)*$L22,0)+IF($H22&lt;&gt;0,(VLOOKUP($J22,'Allocation Factors'!$B$12:$AU$603,20,FALSE)*$H22),0)</f>
        <v>0</v>
      </c>
      <c r="AF22" s="22">
        <f ca="1">IF($L22&lt;&gt;0,VLOOKUP($N22,'Allocation Factors'!$B$12:$AU$603,21,FALSE)*$L22,0)+IF($H22&lt;&gt;0,(VLOOKUP($J22,'Allocation Factors'!$B$12:$AU$603,21,FALSE)*$H22),0)</f>
        <v>0</v>
      </c>
      <c r="AG22" s="22">
        <f ca="1">IF($L22&lt;&gt;0,VLOOKUP($N22,'Allocation Factors'!$B$12:$AU$603,22,FALSE)*$L22,0)+IF($H22&lt;&gt;0,(VLOOKUP($J22,'Allocation Factors'!$B$12:$AU$603,22,FALSE)*$H22),0)</f>
        <v>0</v>
      </c>
      <c r="AH22" s="22">
        <f ca="1">IF($L22&lt;&gt;0,VLOOKUP($N22,'Allocation Factors'!$B$12:$AU$603,23,FALSE)*$L22,0)+IF($H22&lt;&gt;0,(VLOOKUP($J22,'Allocation Factors'!$B$12:$AU$603,23,FALSE)*$H22),0)</f>
        <v>0</v>
      </c>
      <c r="AI22" s="22">
        <f ca="1">IF($L22&lt;&gt;0,VLOOKUP($N22,'Allocation Factors'!$B$12:$AU$603,24,FALSE)*$L22,0)+IF($H22&lt;&gt;0,(VLOOKUP($J22,'Allocation Factors'!$B$12:$AU$603,24,FALSE)*$H22),0)</f>
        <v>0</v>
      </c>
      <c r="AJ22" s="22">
        <f ca="1">IF($L22&lt;&gt;0,VLOOKUP($N22,'Allocation Factors'!$B$12:$AU$603,25,FALSE)*$L22,0)+IF($H22&lt;&gt;0,(VLOOKUP($J22,'Allocation Factors'!$B$12:$AU$603,25,FALSE)*$H22),0)</f>
        <v>0</v>
      </c>
      <c r="AK22" s="22">
        <f ca="1">IF($L22&lt;&gt;0,VLOOKUP($N22,'Allocation Factors'!$B$12:$AU$603,26,FALSE)*$L22,0)+IF($H22&lt;&gt;0,(VLOOKUP($J22,'Allocation Factors'!$B$12:$AU$603,26,FALSE)*$H22),0)</f>
        <v>0</v>
      </c>
      <c r="AL22" s="22">
        <f ca="1">IF($L22&lt;&gt;0,VLOOKUP($N22,'Allocation Factors'!$B$12:$AU$603,27,FALSE)*$L22,0)+IF($H22&lt;&gt;0,(VLOOKUP($J22,'Allocation Factors'!$B$12:$AU$603,27,FALSE)*$H22),0)</f>
        <v>0</v>
      </c>
      <c r="AM22" s="22">
        <f ca="1">IF($L22&lt;&gt;0,VLOOKUP($N22,'Allocation Factors'!$B$12:$AU$603,28,FALSE)*$L22,0)+IF($H22&lt;&gt;0,(VLOOKUP($J22,'Allocation Factors'!$B$12:$AU$603,28,FALSE)*$H22),0)</f>
        <v>0</v>
      </c>
      <c r="AN22" s="22">
        <f ca="1">IF($L22&lt;&gt;0,VLOOKUP($N22,'Allocation Factors'!$B$12:$AU$603,29,FALSE)*$L22,0)+IF($H22&lt;&gt;0,(VLOOKUP($J22,'Allocation Factors'!$B$12:$AU$603,29,FALSE)*$H22),0)</f>
        <v>0</v>
      </c>
      <c r="AO22" s="22">
        <f ca="1">IF($L22&lt;&gt;0,VLOOKUP($N22,'Allocation Factors'!$B$12:$AU$603,30,FALSE)*$L22,0)+IF($H22&lt;&gt;0,(VLOOKUP($J22,'Allocation Factors'!$B$12:$AU$603,30,FALSE)*$H22),0)</f>
        <v>0</v>
      </c>
      <c r="AP22" s="22">
        <f ca="1">IF($L22&lt;&gt;0,VLOOKUP($N22,'Allocation Factors'!$B$12:$AU$603,31,FALSE)*$L22,0)+IF($H22&lt;&gt;0,(VLOOKUP($J22,'Allocation Factors'!$B$12:$AU$603,31,FALSE)*$H22),0)</f>
        <v>0</v>
      </c>
      <c r="AQ22" s="22">
        <f ca="1">IF($L22&lt;&gt;0,VLOOKUP($N22,'Allocation Factors'!$B$12:$AU$603,32,FALSE)*$L22,0)+IF($H22&lt;&gt;0,(VLOOKUP($J22,'Allocation Factors'!$B$12:$AU$603,32,FALSE)*$H22),0)</f>
        <v>0</v>
      </c>
      <c r="AR22" s="22">
        <f ca="1">IF($L22&lt;&gt;0,VLOOKUP($N22,'Allocation Factors'!$B$12:$AU$603,33,FALSE)*$L22,0)+IF($H22&lt;&gt;0,(VLOOKUP($J22,'Allocation Factors'!$B$12:$AU$603,33,FALSE)*$H22),0)</f>
        <v>0</v>
      </c>
      <c r="AS22" s="22">
        <f ca="1">IF($L22&lt;&gt;0,VLOOKUP($N22,'Allocation Factors'!$B$12:$AU$603,34,FALSE)*$L22,0)+IF($H22&lt;&gt;0,(VLOOKUP($J22,'Allocation Factors'!$B$12:$AU$603,34,FALSE)*$H22),0)</f>
        <v>0</v>
      </c>
      <c r="AT22" s="22">
        <f ca="1">IF($L22&lt;&gt;0,VLOOKUP($N22,'Allocation Factors'!$B$12:$AU$603,35,FALSE)*$L22,0)+IF($H22&lt;&gt;0,(VLOOKUP($J22,'Allocation Factors'!$B$12:$AU$603,35,FALSE)*$H22),0)</f>
        <v>0</v>
      </c>
      <c r="AU22" s="22">
        <f ca="1">IF($L22&lt;&gt;0,VLOOKUP($N22,'Allocation Factors'!$B$12:$AU$603,36,FALSE)*$L22,0)+IF($H22&lt;&gt;0,(VLOOKUP($J22,'Allocation Factors'!$B$12:$AU$603,36,FALSE)*$H22),0)</f>
        <v>0</v>
      </c>
      <c r="AV22" s="22">
        <f ca="1">IF($L22&lt;&gt;0,VLOOKUP($N22,'Allocation Factors'!$B$12:$AU$603,37,FALSE)*$L22,0)+IF($H22&lt;&gt;0,(VLOOKUP($J22,'Allocation Factors'!$B$12:$AU$603,37,FALSE)*$H22),0)</f>
        <v>0</v>
      </c>
      <c r="AW22" s="22">
        <f ca="1">IF($L22&lt;&gt;0,VLOOKUP($N22,'Allocation Factors'!$B$12:$AU$603,38,FALSE)*$L22,0)+IF($H22&lt;&gt;0,(VLOOKUP($J22,'Allocation Factors'!$B$12:$AU$603,38,FALSE)*$H22),0)</f>
        <v>0</v>
      </c>
      <c r="AX22" s="22">
        <f ca="1">IF($L22&lt;&gt;0,VLOOKUP($N22,'Allocation Factors'!$B$12:$AU$603,39,FALSE)*$L22,0)+IF($H22&lt;&gt;0,(VLOOKUP($J22,'Allocation Factors'!$B$12:$AU$603,39,FALSE)*$H22),0)</f>
        <v>0</v>
      </c>
      <c r="AY22" s="22">
        <f ca="1">IF($L22&lt;&gt;0,VLOOKUP($N22,'Allocation Factors'!$B$12:$AU$603,40,FALSE)*$L22,0)+IF($H22&lt;&gt;0,(VLOOKUP($J22,'Allocation Factors'!$B$12:$AU$603,40,FALSE)*$H22),0)</f>
        <v>0</v>
      </c>
      <c r="AZ22" s="22">
        <f ca="1">IF($L22&lt;&gt;0,VLOOKUP($N22,'Allocation Factors'!$B$12:$AU$603,41,FALSE)*$L22,0)+IF($H22&lt;&gt;0,(VLOOKUP($J22,'Allocation Factors'!$B$12:$AU$603,41,FALSE)*$H22),0)</f>
        <v>0</v>
      </c>
      <c r="BA22" s="22">
        <f ca="1">IF($L22&lt;&gt;0,VLOOKUP($N22,'Allocation Factors'!$B$12:$AU$603,42,FALSE)*$L22,0)+IF($H22&lt;&gt;0,(VLOOKUP($J22,'Allocation Factors'!$B$12:$AU$603,42,FALSE)*$H22),0)</f>
        <v>0</v>
      </c>
      <c r="BB22" s="22">
        <f ca="1">IF($L22&lt;&gt;0,VLOOKUP($N22,'Allocation Factors'!$B$12:$AU$603,43,FALSE)*$L22,0)+IF($H22&lt;&gt;0,(VLOOKUP($J22,'Allocation Factors'!$B$12:$AU$603,43,FALSE)*$H22),0)</f>
        <v>0</v>
      </c>
      <c r="BC22" s="22">
        <f ca="1">IF($L22&lt;&gt;0,VLOOKUP($N22,'Allocation Factors'!$B$12:$AU$603,44,FALSE)*$L22,0)+IF($H22&lt;&gt;0,(VLOOKUP($J22,'Allocation Factors'!$B$12:$AU$603,44,FALSE)*$H22),0)</f>
        <v>0</v>
      </c>
      <c r="BD22" s="22">
        <f ca="1">IF($L22&lt;&gt;0,VLOOKUP($N22,'Allocation Factors'!$B$12:$AU$603,45,FALSE)*$L22,0)+IF($H22&lt;&gt;0,(VLOOKUP($J22,'Allocation Factors'!$B$12:$AU$603,45,FALSE)*$H22),0)</f>
        <v>0</v>
      </c>
      <c r="BE22" s="22">
        <f ca="1">IF($L22&lt;&gt;0,VLOOKUP($N22,'Allocation Factors'!$B$12:$AU$603,46,FALSE)*$L22,0)+IF($H22&lt;&gt;0,(VLOOKUP($J22,'Allocation Factors'!$B$12:$AU$603,46,FALSE)*$H22),0)</f>
        <v>0</v>
      </c>
      <c r="BF22" s="9"/>
    </row>
    <row r="23" spans="1:58" x14ac:dyDescent="0.25">
      <c r="A23" s="2">
        <f t="shared" si="6"/>
        <v>11</v>
      </c>
      <c r="B23" s="73" t="s">
        <v>114</v>
      </c>
      <c r="D23" s="22">
        <f ca="1">SUM('Storage Class'!V116:V120,'Storage Class'!V122)</f>
        <v>21450.679716287705</v>
      </c>
      <c r="E23" s="22"/>
      <c r="F23" s="22">
        <f t="shared" ca="1" si="4"/>
        <v>21450.679716287705</v>
      </c>
      <c r="L23" s="22">
        <f t="shared" ca="1" si="5"/>
        <v>21450.679716287705</v>
      </c>
      <c r="N23" s="28" t="str">
        <f>'Total ALLOCATION'!N23</f>
        <v>STORCOMM</v>
      </c>
      <c r="P23" s="22">
        <f ca="1">IF($L23&lt;&gt;0,VLOOKUP($N23,'Allocation Factors'!$B$12:$AU$603,5,FALSE)*$L23,0)+IF($H23&lt;&gt;0,(VLOOKUP($J23,'Allocation Factors'!$B$12:$AU$603,5,FALSE)*$H23),0)</f>
        <v>5055.9225144881275</v>
      </c>
      <c r="Q23" s="22">
        <f ca="1">IF($L23&lt;&gt;0,VLOOKUP($N23,'Allocation Factors'!$B$12:$AU$603,6,FALSE)*$L23,0)+IF($H23&lt;&gt;0,(VLOOKUP($J23,'Allocation Factors'!$B$12:$AU$603,6,FALSE)*$H23),0)</f>
        <v>4848.3352039458587</v>
      </c>
      <c r="R23" s="22">
        <f ca="1">IF($L23&lt;&gt;0,VLOOKUP($N23,'Allocation Factors'!$B$12:$AU$603,7,FALSE)*$L23,0)+IF($H23&lt;&gt;0,(VLOOKUP($J23,'Allocation Factors'!$B$12:$AU$603,7,FALSE)*$H23),0)</f>
        <v>0</v>
      </c>
      <c r="S23" s="22">
        <f ca="1">IF($L23&lt;&gt;0,VLOOKUP($N23,'Allocation Factors'!$B$12:$AU$603,8,FALSE)*$L23,0)+IF($H23&lt;&gt;0,(VLOOKUP($J23,'Allocation Factors'!$B$12:$AU$603,8,FALSE)*$H23),0)</f>
        <v>27.730236196653102</v>
      </c>
      <c r="T23" s="22">
        <f ca="1">IF($L23&lt;&gt;0,VLOOKUP($N23,'Allocation Factors'!$B$12:$AU$603,9,FALSE)*$L23,0)+IF($H23&lt;&gt;0,(VLOOKUP($J23,'Allocation Factors'!$B$12:$AU$603,9,FALSE)*$H23),0)</f>
        <v>1080.0075717401396</v>
      </c>
      <c r="U23" s="22">
        <f ca="1">IF($L23&lt;&gt;0,VLOOKUP($N23,'Allocation Factors'!$B$12:$AU$603,10,FALSE)*$L23,0)+IF($H23&lt;&gt;0,(VLOOKUP($J23,'Allocation Factors'!$B$12:$AU$603,10,FALSE)*$H23),0)</f>
        <v>386.06473226300892</v>
      </c>
      <c r="V23" s="22">
        <f ca="1">IF($L23&lt;&gt;0,VLOOKUP($N23,'Allocation Factors'!$B$12:$AU$603,11,FALSE)*$L23,0)+IF($H23&lt;&gt;0,(VLOOKUP($J23,'Allocation Factors'!$B$12:$AU$603,11,FALSE)*$H23),0)</f>
        <v>0</v>
      </c>
      <c r="W23" s="22">
        <f ca="1">IF($L23&lt;&gt;0,VLOOKUP($N23,'Allocation Factors'!$B$12:$AU$603,12,FALSE)*$L23,0)+IF($H23&lt;&gt;0,(VLOOKUP($J23,'Allocation Factors'!$B$12:$AU$603,12,FALSE)*$H23),0)</f>
        <v>53.224392491373251</v>
      </c>
      <c r="X23" s="22">
        <f ca="1">IF($L23&lt;&gt;0,VLOOKUP($N23,'Allocation Factors'!$B$12:$AU$603,13,FALSE)*$L23,0)+IF($H23&lt;&gt;0,(VLOOKUP($J23,'Allocation Factors'!$B$12:$AU$603,13,FALSE)*$H23),0)</f>
        <v>15.886148053880826</v>
      </c>
      <c r="Y23" s="22">
        <f ca="1">IF($L23&lt;&gt;0,VLOOKUP($N23,'Allocation Factors'!$B$12:$AU$603,14,FALSE)*$L23,0)+IF($H23&lt;&gt;0,(VLOOKUP($J23,'Allocation Factors'!$B$12:$AU$603,14,FALSE)*$H23),0)</f>
        <v>326.80206320576144</v>
      </c>
      <c r="Z23" s="22">
        <f ca="1">IF($L23&lt;&gt;0,VLOOKUP($N23,'Allocation Factors'!$B$12:$AU$603,15,FALSE)*$L23,0)+IF($H23&lt;&gt;0,(VLOOKUP($J23,'Allocation Factors'!$B$12:$AU$603,15,FALSE)*$H23),0)</f>
        <v>190.92511074970591</v>
      </c>
      <c r="AA23" s="22">
        <f ca="1">IF($L23&lt;&gt;0,VLOOKUP($N23,'Allocation Factors'!$B$12:$AU$603,16,FALSE)*$L23,0)+IF($H23&lt;&gt;0,(VLOOKUP($J23,'Allocation Factors'!$B$12:$AU$603,16,FALSE)*$H23),0)</f>
        <v>0</v>
      </c>
      <c r="AB23" s="22">
        <f ca="1">IF($L23&lt;&gt;0,VLOOKUP($N23,'Allocation Factors'!$B$12:$AU$603,17,FALSE)*$L23,0)+IF($H23&lt;&gt;0,(VLOOKUP($J23,'Allocation Factors'!$B$12:$AU$603,17,FALSE)*$H23),0)</f>
        <v>23.121667829314955</v>
      </c>
      <c r="AC23" s="22">
        <f ca="1">IF($L23&lt;&gt;0,VLOOKUP($N23,'Allocation Factors'!$B$12:$AU$603,18,FALSE)*$L23,0)+IF($H23&lt;&gt;0,(VLOOKUP($J23,'Allocation Factors'!$B$12:$AU$603,18,FALSE)*$H23),0)</f>
        <v>999.86082592846537</v>
      </c>
      <c r="AD23" s="22">
        <f ca="1">IF($L23&lt;&gt;0,VLOOKUP($N23,'Allocation Factors'!$B$12:$AU$603,19,FALSE)*$L23,0)+IF($H23&lt;&gt;0,(VLOOKUP($J23,'Allocation Factors'!$B$12:$AU$603,19,FALSE)*$H23),0)</f>
        <v>327.65067612332683</v>
      </c>
      <c r="AE23" s="22">
        <f ca="1">IF($L23&lt;&gt;0,VLOOKUP($N23,'Allocation Factors'!$B$12:$AU$603,20,FALSE)*$L23,0)+IF($H23&lt;&gt;0,(VLOOKUP($J23,'Allocation Factors'!$B$12:$AU$603,20,FALSE)*$H23),0)</f>
        <v>136.81033566989166</v>
      </c>
      <c r="AF23" s="22">
        <f ca="1">IF($L23&lt;&gt;0,VLOOKUP($N23,'Allocation Factors'!$B$12:$AU$603,21,FALSE)*$L23,0)+IF($H23&lt;&gt;0,(VLOOKUP($J23,'Allocation Factors'!$B$12:$AU$603,21,FALSE)*$H23),0)</f>
        <v>5.7653555370413434</v>
      </c>
      <c r="AG23" s="22">
        <f ca="1">IF($L23&lt;&gt;0,VLOOKUP($N23,'Allocation Factors'!$B$12:$AU$603,22,FALSE)*$L23,0)+IF($H23&lt;&gt;0,(VLOOKUP($J23,'Allocation Factors'!$B$12:$AU$603,22,FALSE)*$H23),0)</f>
        <v>0</v>
      </c>
      <c r="AH23" s="22">
        <f ca="1">IF($L23&lt;&gt;0,VLOOKUP($N23,'Allocation Factors'!$B$12:$AU$603,23,FALSE)*$L23,0)+IF($H23&lt;&gt;0,(VLOOKUP($J23,'Allocation Factors'!$B$12:$AU$603,23,FALSE)*$H23),0)</f>
        <v>3290.8633872128262</v>
      </c>
      <c r="AI23" s="22">
        <f ca="1">IF($L23&lt;&gt;0,VLOOKUP($N23,'Allocation Factors'!$B$12:$AU$603,24,FALSE)*$L23,0)+IF($H23&lt;&gt;0,(VLOOKUP($J23,'Allocation Factors'!$B$12:$AU$603,24,FALSE)*$H23),0)</f>
        <v>1333.8590630370188</v>
      </c>
      <c r="AJ23" s="22">
        <f ca="1">IF($L23&lt;&gt;0,VLOOKUP($N23,'Allocation Factors'!$B$12:$AU$603,25,FALSE)*$L23,0)+IF($H23&lt;&gt;0,(VLOOKUP($J23,'Allocation Factors'!$B$12:$AU$603,25,FALSE)*$H23),0)</f>
        <v>600.17794243539015</v>
      </c>
      <c r="AK23" s="22">
        <f ca="1">IF($L23&lt;&gt;0,VLOOKUP($N23,'Allocation Factors'!$B$12:$AU$603,26,FALSE)*$L23,0)+IF($H23&lt;&gt;0,(VLOOKUP($J23,'Allocation Factors'!$B$12:$AU$603,26,FALSE)*$H23),0)</f>
        <v>0</v>
      </c>
      <c r="AL23" s="22">
        <f ca="1">IF($L23&lt;&gt;0,VLOOKUP($N23,'Allocation Factors'!$B$12:$AU$603,27,FALSE)*$L23,0)+IF($H23&lt;&gt;0,(VLOOKUP($J23,'Allocation Factors'!$B$12:$AU$603,27,FALSE)*$H23),0)</f>
        <v>4.4542404809353382</v>
      </c>
      <c r="AM23" s="22">
        <f ca="1">IF($L23&lt;&gt;0,VLOOKUP($N23,'Allocation Factors'!$B$12:$AU$603,28,FALSE)*$L23,0)+IF($H23&lt;&gt;0,(VLOOKUP($J23,'Allocation Factors'!$B$12:$AU$603,28,FALSE)*$H23),0)</f>
        <v>55.691708236566576</v>
      </c>
      <c r="AN23" s="22">
        <f ca="1">IF($L23&lt;&gt;0,VLOOKUP($N23,'Allocation Factors'!$B$12:$AU$603,29,FALSE)*$L23,0)+IF($H23&lt;&gt;0,(VLOOKUP($J23,'Allocation Factors'!$B$12:$AU$603,29,FALSE)*$H23),0)</f>
        <v>721.57227431115268</v>
      </c>
      <c r="AO23" s="22">
        <f ca="1">IF($L23&lt;&gt;0,VLOOKUP($N23,'Allocation Factors'!$B$12:$AU$603,30,FALSE)*$L23,0)+IF($H23&lt;&gt;0,(VLOOKUP($J23,'Allocation Factors'!$B$12:$AU$603,30,FALSE)*$H23),0)</f>
        <v>76.833257224556945</v>
      </c>
      <c r="AP23" s="22">
        <f ca="1">IF($L23&lt;&gt;0,VLOOKUP($N23,'Allocation Factors'!$B$12:$AU$603,31,FALSE)*$L23,0)+IF($H23&lt;&gt;0,(VLOOKUP($J23,'Allocation Factors'!$B$12:$AU$603,31,FALSE)*$H23),0)</f>
        <v>91.06215285120166</v>
      </c>
      <c r="AQ23" s="22">
        <f ca="1">IF($L23&lt;&gt;0,VLOOKUP($N23,'Allocation Factors'!$B$12:$AU$603,32,FALSE)*$L23,0)+IF($H23&lt;&gt;0,(VLOOKUP($J23,'Allocation Factors'!$B$12:$AU$603,32,FALSE)*$H23),0)</f>
        <v>0</v>
      </c>
      <c r="AR23" s="22">
        <f ca="1">IF($L23&lt;&gt;0,VLOOKUP($N23,'Allocation Factors'!$B$12:$AU$603,33,FALSE)*$L23,0)+IF($H23&lt;&gt;0,(VLOOKUP($J23,'Allocation Factors'!$B$12:$AU$603,33,FALSE)*$H23),0)</f>
        <v>132.33592338791621</v>
      </c>
      <c r="AS23" s="22">
        <f ca="1">IF($L23&lt;&gt;0,VLOOKUP($N23,'Allocation Factors'!$B$12:$AU$603,34,FALSE)*$L23,0)+IF($H23&lt;&gt;0,(VLOOKUP($J23,'Allocation Factors'!$B$12:$AU$603,34,FALSE)*$H23),0)</f>
        <v>0</v>
      </c>
      <c r="AT23" s="22">
        <f ca="1">IF($L23&lt;&gt;0,VLOOKUP($N23,'Allocation Factors'!$B$12:$AU$603,35,FALSE)*$L23,0)+IF($H23&lt;&gt;0,(VLOOKUP($J23,'Allocation Factors'!$B$12:$AU$603,35,FALSE)*$H23),0)</f>
        <v>1380.960876907481</v>
      </c>
      <c r="AU23" s="22">
        <f ca="1">IF($L23&lt;&gt;0,VLOOKUP($N23,'Allocation Factors'!$B$12:$AU$603,36,FALSE)*$L23,0)+IF($H23&lt;&gt;0,(VLOOKUP($J23,'Allocation Factors'!$B$12:$AU$603,36,FALSE)*$H23),0)</f>
        <v>0</v>
      </c>
      <c r="AV23" s="22">
        <f ca="1">IF($L23&lt;&gt;0,VLOOKUP($N23,'Allocation Factors'!$B$12:$AU$603,37,FALSE)*$L23,0)+IF($H23&lt;&gt;0,(VLOOKUP($J23,'Allocation Factors'!$B$12:$AU$603,37,FALSE)*$H23),0)</f>
        <v>284.76205598010353</v>
      </c>
      <c r="AW23" s="22">
        <f ca="1">IF($L23&lt;&gt;0,VLOOKUP($N23,'Allocation Factors'!$B$12:$AU$603,38,FALSE)*$L23,0)+IF($H23&lt;&gt;0,(VLOOKUP($J23,'Allocation Factors'!$B$12:$AU$603,38,FALSE)*$H23),0)</f>
        <v>0</v>
      </c>
      <c r="AX23" s="22">
        <f ca="1">IF($L23&lt;&gt;0,VLOOKUP($N23,'Allocation Factors'!$B$12:$AU$603,39,FALSE)*$L23,0)+IF($H23&lt;&gt;0,(VLOOKUP($J23,'Allocation Factors'!$B$12:$AU$603,39,FALSE)*$H23),0)</f>
        <v>0</v>
      </c>
      <c r="AY23" s="22">
        <f ca="1">IF($L23&lt;&gt;0,VLOOKUP($N23,'Allocation Factors'!$B$12:$AU$603,40,FALSE)*$L23,0)+IF($H23&lt;&gt;0,(VLOOKUP($J23,'Allocation Factors'!$B$12:$AU$603,40,FALSE)*$H23),0)</f>
        <v>0</v>
      </c>
      <c r="AZ23" s="22">
        <f ca="1">IF($L23&lt;&gt;0,VLOOKUP($N23,'Allocation Factors'!$B$12:$AU$603,41,FALSE)*$L23,0)+IF($H23&lt;&gt;0,(VLOOKUP($J23,'Allocation Factors'!$B$12:$AU$603,41,FALSE)*$H23),0)</f>
        <v>0</v>
      </c>
      <c r="BA23" s="22">
        <f ca="1">IF($L23&lt;&gt;0,VLOOKUP($N23,'Allocation Factors'!$B$12:$AU$603,42,FALSE)*$L23,0)+IF($H23&lt;&gt;0,(VLOOKUP($J23,'Allocation Factors'!$B$12:$AU$603,42,FALSE)*$H23),0)</f>
        <v>0</v>
      </c>
      <c r="BB23" s="22">
        <f ca="1">IF($L23&lt;&gt;0,VLOOKUP($N23,'Allocation Factors'!$B$12:$AU$603,43,FALSE)*$L23,0)+IF($H23&lt;&gt;0,(VLOOKUP($J23,'Allocation Factors'!$B$12:$AU$603,43,FALSE)*$H23),0)</f>
        <v>0</v>
      </c>
      <c r="BC23" s="22">
        <f ca="1">IF($L23&lt;&gt;0,VLOOKUP($N23,'Allocation Factors'!$B$12:$AU$603,44,FALSE)*$L23,0)+IF($H23&lt;&gt;0,(VLOOKUP($J23,'Allocation Factors'!$B$12:$AU$603,44,FALSE)*$H23),0)</f>
        <v>0</v>
      </c>
      <c r="BD23" s="22">
        <f ca="1">IF($L23&lt;&gt;0,VLOOKUP($N23,'Allocation Factors'!$B$12:$AU$603,45,FALSE)*$L23,0)+IF($H23&lt;&gt;0,(VLOOKUP($J23,'Allocation Factors'!$B$12:$AU$603,45,FALSE)*$H23),0)</f>
        <v>0</v>
      </c>
      <c r="BE23" s="22">
        <f ca="1">IF($L23&lt;&gt;0,VLOOKUP($N23,'Allocation Factors'!$B$12:$AU$603,46,FALSE)*$L23,0)+IF($H23&lt;&gt;0,(VLOOKUP($J23,'Allocation Factors'!$B$12:$AU$603,46,FALSE)*$H23),0)</f>
        <v>0</v>
      </c>
      <c r="BF23" s="9"/>
    </row>
    <row r="24" spans="1:58" s="73" customFormat="1" x14ac:dyDescent="0.25">
      <c r="A24" s="2">
        <f t="shared" si="6"/>
        <v>12</v>
      </c>
      <c r="B24" s="73" t="s">
        <v>119</v>
      </c>
      <c r="D24" s="79">
        <f ca="1">SUM(D20:D23)</f>
        <v>34696.572490144848</v>
      </c>
      <c r="E24" s="94"/>
      <c r="F24" s="79">
        <f ca="1">SUM(F20:F23)</f>
        <v>34696.572490144848</v>
      </c>
      <c r="G24" s="94"/>
      <c r="H24" s="79">
        <f>SUM(H20:H23)</f>
        <v>0</v>
      </c>
      <c r="I24" s="94"/>
      <c r="J24" s="212"/>
      <c r="K24" s="94"/>
      <c r="L24" s="79">
        <f ca="1">SUM(L20:L23)</f>
        <v>34696.572490144848</v>
      </c>
      <c r="M24" s="94"/>
      <c r="N24" s="91"/>
      <c r="O24" s="94"/>
      <c r="P24" s="79">
        <f t="shared" ref="P24:BE24" ca="1" si="7">SUM(P20:P23)</f>
        <v>9021.2836042414729</v>
      </c>
      <c r="Q24" s="79">
        <f t="shared" ca="1" si="7"/>
        <v>8235.45055591647</v>
      </c>
      <c r="R24" s="79">
        <f t="shared" ca="1" si="7"/>
        <v>0</v>
      </c>
      <c r="S24" s="79">
        <f t="shared" ca="1" si="7"/>
        <v>37.83011273615341</v>
      </c>
      <c r="T24" s="79">
        <f t="shared" ca="1" si="7"/>
        <v>1336.5643946390851</v>
      </c>
      <c r="U24" s="79">
        <f t="shared" ca="1" si="7"/>
        <v>401.72617418880998</v>
      </c>
      <c r="V24" s="79">
        <f t="shared" ca="1" si="7"/>
        <v>0</v>
      </c>
      <c r="W24" s="79">
        <f t="shared" ca="1" si="7"/>
        <v>53.224392491373251</v>
      </c>
      <c r="X24" s="79">
        <f t="shared" ca="1" si="7"/>
        <v>17.535103225537107</v>
      </c>
      <c r="Y24" s="79">
        <f t="shared" ca="1" si="7"/>
        <v>334.24382852481233</v>
      </c>
      <c r="Z24" s="79">
        <f t="shared" ca="1" si="7"/>
        <v>275.65773377349649</v>
      </c>
      <c r="AA24" s="79">
        <f t="shared" ca="1" si="7"/>
        <v>0</v>
      </c>
      <c r="AB24" s="79">
        <f t="shared" ca="1" si="7"/>
        <v>60.982019836113736</v>
      </c>
      <c r="AC24" s="79">
        <f t="shared" ca="1" si="7"/>
        <v>1730.1238307470633</v>
      </c>
      <c r="AD24" s="79">
        <f t="shared" ca="1" si="7"/>
        <v>527.36127605912134</v>
      </c>
      <c r="AE24" s="79">
        <f t="shared" ca="1" si="7"/>
        <v>164.82727082094996</v>
      </c>
      <c r="AF24" s="79">
        <f t="shared" ca="1" si="7"/>
        <v>5.7653555370413434</v>
      </c>
      <c r="AG24" s="79">
        <f t="shared" ca="1" si="7"/>
        <v>0</v>
      </c>
      <c r="AH24" s="79">
        <f t="shared" ca="1" si="7"/>
        <v>5601.7705493404901</v>
      </c>
      <c r="AI24" s="79">
        <f t="shared" ca="1" si="7"/>
        <v>2123.3213914421985</v>
      </c>
      <c r="AJ24" s="79">
        <f t="shared" ca="1" si="7"/>
        <v>827.25383479749269</v>
      </c>
      <c r="AK24" s="79">
        <f t="shared" ca="1" si="7"/>
        <v>8.2803448159702642E-2</v>
      </c>
      <c r="AL24" s="79">
        <f t="shared" ca="1" si="7"/>
        <v>6.4323773889037348</v>
      </c>
      <c r="AM24" s="79">
        <f t="shared" ca="1" si="7"/>
        <v>55.691708236566576</v>
      </c>
      <c r="AN24" s="79">
        <f t="shared" ca="1" si="7"/>
        <v>1087.6452213977363</v>
      </c>
      <c r="AO24" s="79">
        <f t="shared" ca="1" si="7"/>
        <v>82.320834201077645</v>
      </c>
      <c r="AP24" s="79">
        <f t="shared" ca="1" si="7"/>
        <v>115.36250754470946</v>
      </c>
      <c r="AQ24" s="79">
        <f t="shared" ca="1" si="7"/>
        <v>0</v>
      </c>
      <c r="AR24" s="79">
        <f t="shared" ca="1" si="7"/>
        <v>220.73255505521033</v>
      </c>
      <c r="AS24" s="79">
        <f t="shared" ca="1" si="7"/>
        <v>0</v>
      </c>
      <c r="AT24" s="79">
        <f t="shared" ca="1" si="7"/>
        <v>1934.542663103786</v>
      </c>
      <c r="AU24" s="79">
        <f t="shared" ca="1" si="7"/>
        <v>0</v>
      </c>
      <c r="AV24" s="79">
        <f t="shared" ca="1" si="7"/>
        <v>438.8403914510136</v>
      </c>
      <c r="AW24" s="79">
        <f t="shared" ca="1" si="7"/>
        <v>0</v>
      </c>
      <c r="AX24" s="79">
        <f t="shared" ca="1" si="7"/>
        <v>0</v>
      </c>
      <c r="AY24" s="79">
        <f t="shared" ca="1" si="7"/>
        <v>0</v>
      </c>
      <c r="AZ24" s="79">
        <f t="shared" ca="1" si="7"/>
        <v>0</v>
      </c>
      <c r="BA24" s="79">
        <f t="shared" ca="1" si="7"/>
        <v>0</v>
      </c>
      <c r="BB24" s="79">
        <f t="shared" ca="1" si="7"/>
        <v>0</v>
      </c>
      <c r="BC24" s="79">
        <f t="shared" ca="1" si="7"/>
        <v>0</v>
      </c>
      <c r="BD24" s="79">
        <f t="shared" ca="1" si="7"/>
        <v>0</v>
      </c>
      <c r="BE24" s="79">
        <f t="shared" ca="1" si="7"/>
        <v>0</v>
      </c>
    </row>
    <row r="25" spans="1:58" x14ac:dyDescent="0.25">
      <c r="B25" s="73"/>
      <c r="D25" s="23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x14ac:dyDescent="0.25">
      <c r="B26" s="197" t="s">
        <v>121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x14ac:dyDescent="0.25">
      <c r="A27" s="2">
        <f>A24+1</f>
        <v>13</v>
      </c>
      <c r="B27" s="73" t="s">
        <v>115</v>
      </c>
      <c r="D27" s="22">
        <f ca="1">SUM('Transmission Class'!P116:P120,'Transmission Class'!P122)</f>
        <v>0</v>
      </c>
      <c r="E27" s="22"/>
      <c r="F27" s="22">
        <f t="shared" ref="F27:F33" ca="1" si="8">D27</f>
        <v>0</v>
      </c>
      <c r="L27" s="22">
        <f t="shared" ref="L27:L33" ca="1" si="9">F27-H27</f>
        <v>0</v>
      </c>
      <c r="N27" s="28" t="str">
        <f>'Total ALLOCATION'!N27</f>
        <v>DAWNCOMP</v>
      </c>
      <c r="P27" s="22">
        <f ca="1">IF($L27&lt;&gt;0,VLOOKUP($N27,'Allocation Factors'!$B$12:$AU$603,5,FALSE)*$L27,0)+IF($H27&lt;&gt;0,(VLOOKUP($J27,'Allocation Factors'!$B$12:$AU$603,5,FALSE)*$H27),0)</f>
        <v>0</v>
      </c>
      <c r="Q27" s="22">
        <f ca="1">IF($L27&lt;&gt;0,VLOOKUP($N27,'Allocation Factors'!$B$12:$AU$603,6,FALSE)*$L27,0)+IF($H27&lt;&gt;0,(VLOOKUP($J27,'Allocation Factors'!$B$12:$AU$603,6,FALSE)*$H27),0)</f>
        <v>0</v>
      </c>
      <c r="R27" s="22">
        <f ca="1">IF($L27&lt;&gt;0,VLOOKUP($N27,'Allocation Factors'!$B$12:$AU$603,7,FALSE)*$L27,0)+IF($H27&lt;&gt;0,(VLOOKUP($J27,'Allocation Factors'!$B$12:$AU$603,7,FALSE)*$H27),0)</f>
        <v>0</v>
      </c>
      <c r="S27" s="22">
        <f ca="1">IF($L27&lt;&gt;0,VLOOKUP($N27,'Allocation Factors'!$B$12:$AU$603,8,FALSE)*$L27,0)+IF($H27&lt;&gt;0,(VLOOKUP($J27,'Allocation Factors'!$B$12:$AU$603,8,FALSE)*$H27),0)</f>
        <v>0</v>
      </c>
      <c r="T27" s="22">
        <f ca="1">IF($L27&lt;&gt;0,VLOOKUP($N27,'Allocation Factors'!$B$12:$AU$603,9,FALSE)*$L27,0)+IF($H27&lt;&gt;0,(VLOOKUP($J27,'Allocation Factors'!$B$12:$AU$603,9,FALSE)*$H27),0)</f>
        <v>0</v>
      </c>
      <c r="U27" s="22">
        <f ca="1">IF($L27&lt;&gt;0,VLOOKUP($N27,'Allocation Factors'!$B$12:$AU$603,10,FALSE)*$L27,0)+IF($H27&lt;&gt;0,(VLOOKUP($J27,'Allocation Factors'!$B$12:$AU$603,10,FALSE)*$H27),0)</f>
        <v>0</v>
      </c>
      <c r="V27" s="22">
        <f ca="1">IF($L27&lt;&gt;0,VLOOKUP($N27,'Allocation Factors'!$B$12:$AU$603,11,FALSE)*$L27,0)+IF($H27&lt;&gt;0,(VLOOKUP($J27,'Allocation Factors'!$B$12:$AU$603,11,FALSE)*$H27),0)</f>
        <v>0</v>
      </c>
      <c r="W27" s="22">
        <f ca="1">IF($L27&lt;&gt;0,VLOOKUP($N27,'Allocation Factors'!$B$12:$AU$603,12,FALSE)*$L27,0)+IF($H27&lt;&gt;0,(VLOOKUP($J27,'Allocation Factors'!$B$12:$AU$603,12,FALSE)*$H27),0)</f>
        <v>0</v>
      </c>
      <c r="X27" s="22">
        <f ca="1">IF($L27&lt;&gt;0,VLOOKUP($N27,'Allocation Factors'!$B$12:$AU$603,13,FALSE)*$L27,0)+IF($H27&lt;&gt;0,(VLOOKUP($J27,'Allocation Factors'!$B$12:$AU$603,13,FALSE)*$H27),0)</f>
        <v>0</v>
      </c>
      <c r="Y27" s="22">
        <f ca="1">IF($L27&lt;&gt;0,VLOOKUP($N27,'Allocation Factors'!$B$12:$AU$603,14,FALSE)*$L27,0)+IF($H27&lt;&gt;0,(VLOOKUP($J27,'Allocation Factors'!$B$12:$AU$603,14,FALSE)*$H27),0)</f>
        <v>0</v>
      </c>
      <c r="Z27" s="22">
        <f ca="1">IF($L27&lt;&gt;0,VLOOKUP($N27,'Allocation Factors'!$B$12:$AU$603,15,FALSE)*$L27,0)+IF($H27&lt;&gt;0,(VLOOKUP($J27,'Allocation Factors'!$B$12:$AU$603,15,FALSE)*$H27),0)</f>
        <v>0</v>
      </c>
      <c r="AA27" s="22">
        <f ca="1">IF($L27&lt;&gt;0,VLOOKUP($N27,'Allocation Factors'!$B$12:$AU$603,16,FALSE)*$L27,0)+IF($H27&lt;&gt;0,(VLOOKUP($J27,'Allocation Factors'!$B$12:$AU$603,16,FALSE)*$H27),0)</f>
        <v>0</v>
      </c>
      <c r="AB27" s="22">
        <f ca="1">IF($L27&lt;&gt;0,VLOOKUP($N27,'Allocation Factors'!$B$12:$AU$603,17,FALSE)*$L27,0)+IF($H27&lt;&gt;0,(VLOOKUP($J27,'Allocation Factors'!$B$12:$AU$603,17,FALSE)*$H27),0)</f>
        <v>0</v>
      </c>
      <c r="AC27" s="22">
        <f ca="1">IF($L27&lt;&gt;0,VLOOKUP($N27,'Allocation Factors'!$B$12:$AU$603,18,FALSE)*$L27,0)+IF($H27&lt;&gt;0,(VLOOKUP($J27,'Allocation Factors'!$B$12:$AU$603,18,FALSE)*$H27),0)</f>
        <v>0</v>
      </c>
      <c r="AD27" s="22">
        <f ca="1">IF($L27&lt;&gt;0,VLOOKUP($N27,'Allocation Factors'!$B$12:$AU$603,19,FALSE)*$L27,0)+IF($H27&lt;&gt;0,(VLOOKUP($J27,'Allocation Factors'!$B$12:$AU$603,19,FALSE)*$H27),0)</f>
        <v>0</v>
      </c>
      <c r="AE27" s="22">
        <f ca="1">IF($L27&lt;&gt;0,VLOOKUP($N27,'Allocation Factors'!$B$12:$AU$603,20,FALSE)*$L27,0)+IF($H27&lt;&gt;0,(VLOOKUP($J27,'Allocation Factors'!$B$12:$AU$603,20,FALSE)*$H27),0)</f>
        <v>0</v>
      </c>
      <c r="AF27" s="22">
        <f ca="1">IF($L27&lt;&gt;0,VLOOKUP($N27,'Allocation Factors'!$B$12:$AU$603,21,FALSE)*$L27,0)+IF($H27&lt;&gt;0,(VLOOKUP($J27,'Allocation Factors'!$B$12:$AU$603,21,FALSE)*$H27),0)</f>
        <v>0</v>
      </c>
      <c r="AG27" s="22">
        <f ca="1">IF($L27&lt;&gt;0,VLOOKUP($N27,'Allocation Factors'!$B$12:$AU$603,22,FALSE)*$L27,0)+IF($H27&lt;&gt;0,(VLOOKUP($J27,'Allocation Factors'!$B$12:$AU$603,22,FALSE)*$H27),0)</f>
        <v>0</v>
      </c>
      <c r="AH27" s="22">
        <f ca="1">IF($L27&lt;&gt;0,VLOOKUP($N27,'Allocation Factors'!$B$12:$AU$603,23,FALSE)*$L27,0)+IF($H27&lt;&gt;0,(VLOOKUP($J27,'Allocation Factors'!$B$12:$AU$603,23,FALSE)*$H27),0)</f>
        <v>0</v>
      </c>
      <c r="AI27" s="22">
        <f ca="1">IF($L27&lt;&gt;0,VLOOKUP($N27,'Allocation Factors'!$B$12:$AU$603,24,FALSE)*$L27,0)+IF($H27&lt;&gt;0,(VLOOKUP($J27,'Allocation Factors'!$B$12:$AU$603,24,FALSE)*$H27),0)</f>
        <v>0</v>
      </c>
      <c r="AJ27" s="22">
        <f ca="1">IF($L27&lt;&gt;0,VLOOKUP($N27,'Allocation Factors'!$B$12:$AU$603,25,FALSE)*$L27,0)+IF($H27&lt;&gt;0,(VLOOKUP($J27,'Allocation Factors'!$B$12:$AU$603,25,FALSE)*$H27),0)</f>
        <v>0</v>
      </c>
      <c r="AK27" s="22">
        <f ca="1">IF($L27&lt;&gt;0,VLOOKUP($N27,'Allocation Factors'!$B$12:$AU$603,26,FALSE)*$L27,0)+IF($H27&lt;&gt;0,(VLOOKUP($J27,'Allocation Factors'!$B$12:$AU$603,26,FALSE)*$H27),0)</f>
        <v>0</v>
      </c>
      <c r="AL27" s="22">
        <f ca="1">IF($L27&lt;&gt;0,VLOOKUP($N27,'Allocation Factors'!$B$12:$AU$603,27,FALSE)*$L27,0)+IF($H27&lt;&gt;0,(VLOOKUP($J27,'Allocation Factors'!$B$12:$AU$603,27,FALSE)*$H27),0)</f>
        <v>0</v>
      </c>
      <c r="AM27" s="22">
        <f ca="1">IF($L27&lt;&gt;0,VLOOKUP($N27,'Allocation Factors'!$B$12:$AU$603,28,FALSE)*$L27,0)+IF($H27&lt;&gt;0,(VLOOKUP($J27,'Allocation Factors'!$B$12:$AU$603,28,FALSE)*$H27),0)</f>
        <v>0</v>
      </c>
      <c r="AN27" s="22">
        <f ca="1">IF($L27&lt;&gt;0,VLOOKUP($N27,'Allocation Factors'!$B$12:$AU$603,29,FALSE)*$L27,0)+IF($H27&lt;&gt;0,(VLOOKUP($J27,'Allocation Factors'!$B$12:$AU$603,29,FALSE)*$H27),0)</f>
        <v>0</v>
      </c>
      <c r="AO27" s="22">
        <f ca="1">IF($L27&lt;&gt;0,VLOOKUP($N27,'Allocation Factors'!$B$12:$AU$603,30,FALSE)*$L27,0)+IF($H27&lt;&gt;0,(VLOOKUP($J27,'Allocation Factors'!$B$12:$AU$603,30,FALSE)*$H27),0)</f>
        <v>0</v>
      </c>
      <c r="AP27" s="22">
        <f ca="1">IF($L27&lt;&gt;0,VLOOKUP($N27,'Allocation Factors'!$B$12:$AU$603,31,FALSE)*$L27,0)+IF($H27&lt;&gt;0,(VLOOKUP($J27,'Allocation Factors'!$B$12:$AU$603,31,FALSE)*$H27),0)</f>
        <v>0</v>
      </c>
      <c r="AQ27" s="22">
        <f ca="1">IF($L27&lt;&gt;0,VLOOKUP($N27,'Allocation Factors'!$B$12:$AU$603,32,FALSE)*$L27,0)+IF($H27&lt;&gt;0,(VLOOKUP($J27,'Allocation Factors'!$B$12:$AU$603,32,FALSE)*$H27),0)</f>
        <v>0</v>
      </c>
      <c r="AR27" s="22">
        <f ca="1">IF($L27&lt;&gt;0,VLOOKUP($N27,'Allocation Factors'!$B$12:$AU$603,33,FALSE)*$L27,0)+IF($H27&lt;&gt;0,(VLOOKUP($J27,'Allocation Factors'!$B$12:$AU$603,33,FALSE)*$H27),0)</f>
        <v>0</v>
      </c>
      <c r="AS27" s="22">
        <f ca="1">IF($L27&lt;&gt;0,VLOOKUP($N27,'Allocation Factors'!$B$12:$AU$603,34,FALSE)*$L27,0)+IF($H27&lt;&gt;0,(VLOOKUP($J27,'Allocation Factors'!$B$12:$AU$603,34,FALSE)*$H27),0)</f>
        <v>0</v>
      </c>
      <c r="AT27" s="22">
        <f ca="1">IF($L27&lt;&gt;0,VLOOKUP($N27,'Allocation Factors'!$B$12:$AU$603,35,FALSE)*$L27,0)+IF($H27&lt;&gt;0,(VLOOKUP($J27,'Allocation Factors'!$B$12:$AU$603,35,FALSE)*$H27),0)</f>
        <v>0</v>
      </c>
      <c r="AU27" s="22">
        <f ca="1">IF($L27&lt;&gt;0,VLOOKUP($N27,'Allocation Factors'!$B$12:$AU$603,36,FALSE)*$L27,0)+IF($H27&lt;&gt;0,(VLOOKUP($J27,'Allocation Factors'!$B$12:$AU$603,36,FALSE)*$H27),0)</f>
        <v>0</v>
      </c>
      <c r="AV27" s="22">
        <f ca="1">IF($L27&lt;&gt;0,VLOOKUP($N27,'Allocation Factors'!$B$12:$AU$603,37,FALSE)*$L27,0)+IF($H27&lt;&gt;0,(VLOOKUP($J27,'Allocation Factors'!$B$12:$AU$603,37,FALSE)*$H27),0)</f>
        <v>0</v>
      </c>
      <c r="AW27" s="22">
        <f ca="1">IF($L27&lt;&gt;0,VLOOKUP($N27,'Allocation Factors'!$B$12:$AU$603,38,FALSE)*$L27,0)+IF($H27&lt;&gt;0,(VLOOKUP($J27,'Allocation Factors'!$B$12:$AU$603,38,FALSE)*$H27),0)</f>
        <v>0</v>
      </c>
      <c r="AX27" s="22">
        <f ca="1">IF($L27&lt;&gt;0,VLOOKUP($N27,'Allocation Factors'!$B$12:$AU$603,39,FALSE)*$L27,0)+IF($H27&lt;&gt;0,(VLOOKUP($J27,'Allocation Factors'!$B$12:$AU$603,39,FALSE)*$H27),0)</f>
        <v>0</v>
      </c>
      <c r="AY27" s="22">
        <f ca="1">IF($L27&lt;&gt;0,VLOOKUP($N27,'Allocation Factors'!$B$12:$AU$603,40,FALSE)*$L27,0)+IF($H27&lt;&gt;0,(VLOOKUP($J27,'Allocation Factors'!$B$12:$AU$603,40,FALSE)*$H27),0)</f>
        <v>0</v>
      </c>
      <c r="AZ27" s="22">
        <f ca="1">IF($L27&lt;&gt;0,VLOOKUP($N27,'Allocation Factors'!$B$12:$AU$603,41,FALSE)*$L27,0)+IF($H27&lt;&gt;0,(VLOOKUP($J27,'Allocation Factors'!$B$12:$AU$603,41,FALSE)*$H27),0)</f>
        <v>0</v>
      </c>
      <c r="BA27" s="22">
        <f ca="1">IF($L27&lt;&gt;0,VLOOKUP($N27,'Allocation Factors'!$B$12:$AU$603,42,FALSE)*$L27,0)+IF($H27&lt;&gt;0,(VLOOKUP($J27,'Allocation Factors'!$B$12:$AU$603,42,FALSE)*$H27),0)</f>
        <v>0</v>
      </c>
      <c r="BB27" s="22">
        <f ca="1">IF($L27&lt;&gt;0,VLOOKUP($N27,'Allocation Factors'!$B$12:$AU$603,43,FALSE)*$L27,0)+IF($H27&lt;&gt;0,(VLOOKUP($J27,'Allocation Factors'!$B$12:$AU$603,43,FALSE)*$H27),0)</f>
        <v>0</v>
      </c>
      <c r="BC27" s="22">
        <f ca="1">IF($L27&lt;&gt;0,VLOOKUP($N27,'Allocation Factors'!$B$12:$AU$603,44,FALSE)*$L27,0)+IF($H27&lt;&gt;0,(VLOOKUP($J27,'Allocation Factors'!$B$12:$AU$603,44,FALSE)*$H27),0)</f>
        <v>0</v>
      </c>
      <c r="BD27" s="22">
        <f ca="1">IF($L27&lt;&gt;0,VLOOKUP($N27,'Allocation Factors'!$B$12:$AU$603,45,FALSE)*$L27,0)+IF($H27&lt;&gt;0,(VLOOKUP($J27,'Allocation Factors'!$B$12:$AU$603,45,FALSE)*$H27),0)</f>
        <v>0</v>
      </c>
      <c r="BE27" s="22">
        <f ca="1">IF($L27&lt;&gt;0,VLOOKUP($N27,'Allocation Factors'!$B$12:$AU$603,46,FALSE)*$L27,0)+IF($H27&lt;&gt;0,(VLOOKUP($J27,'Allocation Factors'!$B$12:$AU$603,46,FALSE)*$H27),0)</f>
        <v>0</v>
      </c>
      <c r="BF27" s="9"/>
    </row>
    <row r="28" spans="1:58" x14ac:dyDescent="0.25">
      <c r="A28" s="2">
        <f>A27+1</f>
        <v>14</v>
      </c>
      <c r="B28" s="73" t="s">
        <v>116</v>
      </c>
      <c r="D28" s="22">
        <f ca="1">SUM('Transmission Class'!R116:R120,'Transmission Class'!R122)</f>
        <v>0</v>
      </c>
      <c r="E28" s="22"/>
      <c r="F28" s="22">
        <f t="shared" ca="1" si="8"/>
        <v>0</v>
      </c>
      <c r="L28" s="22">
        <f t="shared" ca="1" si="9"/>
        <v>0</v>
      </c>
      <c r="N28" s="28" t="str">
        <f>'Total ALLOCATION'!N28</f>
        <v>KIRKWALL_DEMAND</v>
      </c>
      <c r="P28" s="22">
        <f ca="1">IF($L28&lt;&gt;0,VLOOKUP($N28,'Allocation Factors'!$B$12:$AU$603,5,FALSE)*$L28,0)+IF($H28&lt;&gt;0,(VLOOKUP($J28,'Allocation Factors'!$B$12:$AU$603,5,FALSE)*$H28),0)</f>
        <v>0</v>
      </c>
      <c r="Q28" s="22">
        <f ca="1">IF($L28&lt;&gt;0,VLOOKUP($N28,'Allocation Factors'!$B$12:$AU$603,6,FALSE)*$L28,0)+IF($H28&lt;&gt;0,(VLOOKUP($J28,'Allocation Factors'!$B$12:$AU$603,6,FALSE)*$H28),0)</f>
        <v>0</v>
      </c>
      <c r="R28" s="22">
        <f ca="1">IF($L28&lt;&gt;0,VLOOKUP($N28,'Allocation Factors'!$B$12:$AU$603,7,FALSE)*$L28,0)+IF($H28&lt;&gt;0,(VLOOKUP($J28,'Allocation Factors'!$B$12:$AU$603,7,FALSE)*$H28),0)</f>
        <v>0</v>
      </c>
      <c r="S28" s="22">
        <f ca="1">IF($L28&lt;&gt;0,VLOOKUP($N28,'Allocation Factors'!$B$12:$AU$603,8,FALSE)*$L28,0)+IF($H28&lt;&gt;0,(VLOOKUP($J28,'Allocation Factors'!$B$12:$AU$603,8,FALSE)*$H28),0)</f>
        <v>0</v>
      </c>
      <c r="T28" s="22">
        <f ca="1">IF($L28&lt;&gt;0,VLOOKUP($N28,'Allocation Factors'!$B$12:$AU$603,9,FALSE)*$L28,0)+IF($H28&lt;&gt;0,(VLOOKUP($J28,'Allocation Factors'!$B$12:$AU$603,9,FALSE)*$H28),0)</f>
        <v>0</v>
      </c>
      <c r="U28" s="22">
        <f ca="1">IF($L28&lt;&gt;0,VLOOKUP($N28,'Allocation Factors'!$B$12:$AU$603,10,FALSE)*$L28,0)+IF($H28&lt;&gt;0,(VLOOKUP($J28,'Allocation Factors'!$B$12:$AU$603,10,FALSE)*$H28),0)</f>
        <v>0</v>
      </c>
      <c r="V28" s="22">
        <f ca="1">IF($L28&lt;&gt;0,VLOOKUP($N28,'Allocation Factors'!$B$12:$AU$603,11,FALSE)*$L28,0)+IF($H28&lt;&gt;0,(VLOOKUP($J28,'Allocation Factors'!$B$12:$AU$603,11,FALSE)*$H28),0)</f>
        <v>0</v>
      </c>
      <c r="W28" s="22">
        <f ca="1">IF($L28&lt;&gt;0,VLOOKUP($N28,'Allocation Factors'!$B$12:$AU$603,12,FALSE)*$L28,0)+IF($H28&lt;&gt;0,(VLOOKUP($J28,'Allocation Factors'!$B$12:$AU$603,12,FALSE)*$H28),0)</f>
        <v>0</v>
      </c>
      <c r="X28" s="22">
        <f ca="1">IF($L28&lt;&gt;0,VLOOKUP($N28,'Allocation Factors'!$B$12:$AU$603,13,FALSE)*$L28,0)+IF($H28&lt;&gt;0,(VLOOKUP($J28,'Allocation Factors'!$B$12:$AU$603,13,FALSE)*$H28),0)</f>
        <v>0</v>
      </c>
      <c r="Y28" s="22">
        <f ca="1">IF($L28&lt;&gt;0,VLOOKUP($N28,'Allocation Factors'!$B$12:$AU$603,14,FALSE)*$L28,0)+IF($H28&lt;&gt;0,(VLOOKUP($J28,'Allocation Factors'!$B$12:$AU$603,14,FALSE)*$H28),0)</f>
        <v>0</v>
      </c>
      <c r="Z28" s="22">
        <f ca="1">IF($L28&lt;&gt;0,VLOOKUP($N28,'Allocation Factors'!$B$12:$AU$603,15,FALSE)*$L28,0)+IF($H28&lt;&gt;0,(VLOOKUP($J28,'Allocation Factors'!$B$12:$AU$603,15,FALSE)*$H28),0)</f>
        <v>0</v>
      </c>
      <c r="AA28" s="22">
        <f ca="1">IF($L28&lt;&gt;0,VLOOKUP($N28,'Allocation Factors'!$B$12:$AU$603,16,FALSE)*$L28,0)+IF($H28&lt;&gt;0,(VLOOKUP($J28,'Allocation Factors'!$B$12:$AU$603,16,FALSE)*$H28),0)</f>
        <v>0</v>
      </c>
      <c r="AB28" s="22">
        <f ca="1">IF($L28&lt;&gt;0,VLOOKUP($N28,'Allocation Factors'!$B$12:$AU$603,17,FALSE)*$L28,0)+IF($H28&lt;&gt;0,(VLOOKUP($J28,'Allocation Factors'!$B$12:$AU$603,17,FALSE)*$H28),0)</f>
        <v>0</v>
      </c>
      <c r="AC28" s="22">
        <f ca="1">IF($L28&lt;&gt;0,VLOOKUP($N28,'Allocation Factors'!$B$12:$AU$603,18,FALSE)*$L28,0)+IF($H28&lt;&gt;0,(VLOOKUP($J28,'Allocation Factors'!$B$12:$AU$603,18,FALSE)*$H28),0)</f>
        <v>0</v>
      </c>
      <c r="AD28" s="22">
        <f ca="1">IF($L28&lt;&gt;0,VLOOKUP($N28,'Allocation Factors'!$B$12:$AU$603,19,FALSE)*$L28,0)+IF($H28&lt;&gt;0,(VLOOKUP($J28,'Allocation Factors'!$B$12:$AU$603,19,FALSE)*$H28),0)</f>
        <v>0</v>
      </c>
      <c r="AE28" s="22">
        <f ca="1">IF($L28&lt;&gt;0,VLOOKUP($N28,'Allocation Factors'!$B$12:$AU$603,20,FALSE)*$L28,0)+IF($H28&lt;&gt;0,(VLOOKUP($J28,'Allocation Factors'!$B$12:$AU$603,20,FALSE)*$H28),0)</f>
        <v>0</v>
      </c>
      <c r="AF28" s="22">
        <f ca="1">IF($L28&lt;&gt;0,VLOOKUP($N28,'Allocation Factors'!$B$12:$AU$603,21,FALSE)*$L28,0)+IF($H28&lt;&gt;0,(VLOOKUP($J28,'Allocation Factors'!$B$12:$AU$603,21,FALSE)*$H28),0)</f>
        <v>0</v>
      </c>
      <c r="AG28" s="22">
        <f ca="1">IF($L28&lt;&gt;0,VLOOKUP($N28,'Allocation Factors'!$B$12:$AU$603,22,FALSE)*$L28,0)+IF($H28&lt;&gt;0,(VLOOKUP($J28,'Allocation Factors'!$B$12:$AU$603,22,FALSE)*$H28),0)</f>
        <v>0</v>
      </c>
      <c r="AH28" s="22">
        <f ca="1">IF($L28&lt;&gt;0,VLOOKUP($N28,'Allocation Factors'!$B$12:$AU$603,23,FALSE)*$L28,0)+IF($H28&lt;&gt;0,(VLOOKUP($J28,'Allocation Factors'!$B$12:$AU$603,23,FALSE)*$H28),0)</f>
        <v>0</v>
      </c>
      <c r="AI28" s="22">
        <f ca="1">IF($L28&lt;&gt;0,VLOOKUP($N28,'Allocation Factors'!$B$12:$AU$603,24,FALSE)*$L28,0)+IF($H28&lt;&gt;0,(VLOOKUP($J28,'Allocation Factors'!$B$12:$AU$603,24,FALSE)*$H28),0)</f>
        <v>0</v>
      </c>
      <c r="AJ28" s="22">
        <f ca="1">IF($L28&lt;&gt;0,VLOOKUP($N28,'Allocation Factors'!$B$12:$AU$603,25,FALSE)*$L28,0)+IF($H28&lt;&gt;0,(VLOOKUP($J28,'Allocation Factors'!$B$12:$AU$603,25,FALSE)*$H28),0)</f>
        <v>0</v>
      </c>
      <c r="AK28" s="22">
        <f ca="1">IF($L28&lt;&gt;0,VLOOKUP($N28,'Allocation Factors'!$B$12:$AU$603,26,FALSE)*$L28,0)+IF($H28&lt;&gt;0,(VLOOKUP($J28,'Allocation Factors'!$B$12:$AU$603,26,FALSE)*$H28),0)</f>
        <v>0</v>
      </c>
      <c r="AL28" s="22">
        <f ca="1">IF($L28&lt;&gt;0,VLOOKUP($N28,'Allocation Factors'!$B$12:$AU$603,27,FALSE)*$L28,0)+IF($H28&lt;&gt;0,(VLOOKUP($J28,'Allocation Factors'!$B$12:$AU$603,27,FALSE)*$H28),0)</f>
        <v>0</v>
      </c>
      <c r="AM28" s="22">
        <f ca="1">IF($L28&lt;&gt;0,VLOOKUP($N28,'Allocation Factors'!$B$12:$AU$603,28,FALSE)*$L28,0)+IF($H28&lt;&gt;0,(VLOOKUP($J28,'Allocation Factors'!$B$12:$AU$603,28,FALSE)*$H28),0)</f>
        <v>0</v>
      </c>
      <c r="AN28" s="22">
        <f ca="1">IF($L28&lt;&gt;0,VLOOKUP($N28,'Allocation Factors'!$B$12:$AU$603,29,FALSE)*$L28,0)+IF($H28&lt;&gt;0,(VLOOKUP($J28,'Allocation Factors'!$B$12:$AU$603,29,FALSE)*$H28),0)</f>
        <v>0</v>
      </c>
      <c r="AO28" s="22">
        <f ca="1">IF($L28&lt;&gt;0,VLOOKUP($N28,'Allocation Factors'!$B$12:$AU$603,30,FALSE)*$L28,0)+IF($H28&lt;&gt;0,(VLOOKUP($J28,'Allocation Factors'!$B$12:$AU$603,30,FALSE)*$H28),0)</f>
        <v>0</v>
      </c>
      <c r="AP28" s="22">
        <f ca="1">IF($L28&lt;&gt;0,VLOOKUP($N28,'Allocation Factors'!$B$12:$AU$603,31,FALSE)*$L28,0)+IF($H28&lt;&gt;0,(VLOOKUP($J28,'Allocation Factors'!$B$12:$AU$603,31,FALSE)*$H28),0)</f>
        <v>0</v>
      </c>
      <c r="AQ28" s="22">
        <f ca="1">IF($L28&lt;&gt;0,VLOOKUP($N28,'Allocation Factors'!$B$12:$AU$603,32,FALSE)*$L28,0)+IF($H28&lt;&gt;0,(VLOOKUP($J28,'Allocation Factors'!$B$12:$AU$603,32,FALSE)*$H28),0)</f>
        <v>0</v>
      </c>
      <c r="AR28" s="22">
        <f ca="1">IF($L28&lt;&gt;0,VLOOKUP($N28,'Allocation Factors'!$B$12:$AU$603,33,FALSE)*$L28,0)+IF($H28&lt;&gt;0,(VLOOKUP($J28,'Allocation Factors'!$B$12:$AU$603,33,FALSE)*$H28),0)</f>
        <v>0</v>
      </c>
      <c r="AS28" s="22">
        <f ca="1">IF($L28&lt;&gt;0,VLOOKUP($N28,'Allocation Factors'!$B$12:$AU$603,34,FALSE)*$L28,0)+IF($H28&lt;&gt;0,(VLOOKUP($J28,'Allocation Factors'!$B$12:$AU$603,34,FALSE)*$H28),0)</f>
        <v>0</v>
      </c>
      <c r="AT28" s="22">
        <f ca="1">IF($L28&lt;&gt;0,VLOOKUP($N28,'Allocation Factors'!$B$12:$AU$603,35,FALSE)*$L28,0)+IF($H28&lt;&gt;0,(VLOOKUP($J28,'Allocation Factors'!$B$12:$AU$603,35,FALSE)*$H28),0)</f>
        <v>0</v>
      </c>
      <c r="AU28" s="22">
        <f ca="1">IF($L28&lt;&gt;0,VLOOKUP($N28,'Allocation Factors'!$B$12:$AU$603,36,FALSE)*$L28,0)+IF($H28&lt;&gt;0,(VLOOKUP($J28,'Allocation Factors'!$B$12:$AU$603,36,FALSE)*$H28),0)</f>
        <v>0</v>
      </c>
      <c r="AV28" s="22">
        <f ca="1">IF($L28&lt;&gt;0,VLOOKUP($N28,'Allocation Factors'!$B$12:$AU$603,37,FALSE)*$L28,0)+IF($H28&lt;&gt;0,(VLOOKUP($J28,'Allocation Factors'!$B$12:$AU$603,37,FALSE)*$H28),0)</f>
        <v>0</v>
      </c>
      <c r="AW28" s="22">
        <f ca="1">IF($L28&lt;&gt;0,VLOOKUP($N28,'Allocation Factors'!$B$12:$AU$603,38,FALSE)*$L28,0)+IF($H28&lt;&gt;0,(VLOOKUP($J28,'Allocation Factors'!$B$12:$AU$603,38,FALSE)*$H28),0)</f>
        <v>0</v>
      </c>
      <c r="AX28" s="22">
        <f ca="1">IF($L28&lt;&gt;0,VLOOKUP($N28,'Allocation Factors'!$B$12:$AU$603,39,FALSE)*$L28,0)+IF($H28&lt;&gt;0,(VLOOKUP($J28,'Allocation Factors'!$B$12:$AU$603,39,FALSE)*$H28),0)</f>
        <v>0</v>
      </c>
      <c r="AY28" s="22">
        <f ca="1">IF($L28&lt;&gt;0,VLOOKUP($N28,'Allocation Factors'!$B$12:$AU$603,40,FALSE)*$L28,0)+IF($H28&lt;&gt;0,(VLOOKUP($J28,'Allocation Factors'!$B$12:$AU$603,40,FALSE)*$H28),0)</f>
        <v>0</v>
      </c>
      <c r="AZ28" s="22">
        <f ca="1">IF($L28&lt;&gt;0,VLOOKUP($N28,'Allocation Factors'!$B$12:$AU$603,41,FALSE)*$L28,0)+IF($H28&lt;&gt;0,(VLOOKUP($J28,'Allocation Factors'!$B$12:$AU$603,41,FALSE)*$H28),0)</f>
        <v>0</v>
      </c>
      <c r="BA28" s="22">
        <f ca="1">IF($L28&lt;&gt;0,VLOOKUP($N28,'Allocation Factors'!$B$12:$AU$603,42,FALSE)*$L28,0)+IF($H28&lt;&gt;0,(VLOOKUP($J28,'Allocation Factors'!$B$12:$AU$603,42,FALSE)*$H28),0)</f>
        <v>0</v>
      </c>
      <c r="BB28" s="22">
        <f ca="1">IF($L28&lt;&gt;0,VLOOKUP($N28,'Allocation Factors'!$B$12:$AU$603,43,FALSE)*$L28,0)+IF($H28&lt;&gt;0,(VLOOKUP($J28,'Allocation Factors'!$B$12:$AU$603,43,FALSE)*$H28),0)</f>
        <v>0</v>
      </c>
      <c r="BC28" s="22">
        <f ca="1">IF($L28&lt;&gt;0,VLOOKUP($N28,'Allocation Factors'!$B$12:$AU$603,44,FALSE)*$L28,0)+IF($H28&lt;&gt;0,(VLOOKUP($J28,'Allocation Factors'!$B$12:$AU$603,44,FALSE)*$H28),0)</f>
        <v>0</v>
      </c>
      <c r="BD28" s="22">
        <f ca="1">IF($L28&lt;&gt;0,VLOOKUP($N28,'Allocation Factors'!$B$12:$AU$603,45,FALSE)*$L28,0)+IF($H28&lt;&gt;0,(VLOOKUP($J28,'Allocation Factors'!$B$12:$AU$603,45,FALSE)*$H28),0)</f>
        <v>0</v>
      </c>
      <c r="BE28" s="22">
        <f ca="1">IF($L28&lt;&gt;0,VLOOKUP($N28,'Allocation Factors'!$B$12:$AU$603,46,FALSE)*$L28,0)+IF($H28&lt;&gt;0,(VLOOKUP($J28,'Allocation Factors'!$B$12:$AU$603,46,FALSE)*$H28),0)</f>
        <v>0</v>
      </c>
      <c r="BF28" s="9"/>
    </row>
    <row r="29" spans="1:58" x14ac:dyDescent="0.25">
      <c r="A29" s="2">
        <f t="shared" ref="A29:A34" si="10">A28+1</f>
        <v>15</v>
      </c>
      <c r="B29" s="73" t="s">
        <v>117</v>
      </c>
      <c r="D29" s="22">
        <f ca="1">SUM('Transmission Class'!T116:T120,'Transmission Class'!T122)</f>
        <v>0</v>
      </c>
      <c r="E29" s="22"/>
      <c r="F29" s="22">
        <f t="shared" ca="1" si="8"/>
        <v>0</v>
      </c>
      <c r="L29" s="22">
        <f t="shared" ca="1" si="9"/>
        <v>0</v>
      </c>
      <c r="N29" s="28" t="str">
        <f>'Total ALLOCATION'!N29</f>
        <v>PKWY_DEMAND</v>
      </c>
      <c r="P29" s="22">
        <f ca="1">IF($L29&lt;&gt;0,VLOOKUP($N29,'Allocation Factors'!$B$12:$AU$603,5,FALSE)*$L29,0)+IF($H29&lt;&gt;0,(VLOOKUP($J29,'Allocation Factors'!$B$12:$AU$603,5,FALSE)*$H29),0)</f>
        <v>0</v>
      </c>
      <c r="Q29" s="22">
        <f ca="1">IF($L29&lt;&gt;0,VLOOKUP($N29,'Allocation Factors'!$B$12:$AU$603,6,FALSE)*$L29,0)+IF($H29&lt;&gt;0,(VLOOKUP($J29,'Allocation Factors'!$B$12:$AU$603,6,FALSE)*$H29),0)</f>
        <v>0</v>
      </c>
      <c r="R29" s="22">
        <f ca="1">IF($L29&lt;&gt;0,VLOOKUP($N29,'Allocation Factors'!$B$12:$AU$603,7,FALSE)*$L29,0)+IF($H29&lt;&gt;0,(VLOOKUP($J29,'Allocation Factors'!$B$12:$AU$603,7,FALSE)*$H29),0)</f>
        <v>0</v>
      </c>
      <c r="S29" s="22">
        <f ca="1">IF($L29&lt;&gt;0,VLOOKUP($N29,'Allocation Factors'!$B$12:$AU$603,8,FALSE)*$L29,0)+IF($H29&lt;&gt;0,(VLOOKUP($J29,'Allocation Factors'!$B$12:$AU$603,8,FALSE)*$H29),0)</f>
        <v>0</v>
      </c>
      <c r="T29" s="22">
        <f ca="1">IF($L29&lt;&gt;0,VLOOKUP($N29,'Allocation Factors'!$B$12:$AU$603,9,FALSE)*$L29,0)+IF($H29&lt;&gt;0,(VLOOKUP($J29,'Allocation Factors'!$B$12:$AU$603,9,FALSE)*$H29),0)</f>
        <v>0</v>
      </c>
      <c r="U29" s="22">
        <f ca="1">IF($L29&lt;&gt;0,VLOOKUP($N29,'Allocation Factors'!$B$12:$AU$603,10,FALSE)*$L29,0)+IF($H29&lt;&gt;0,(VLOOKUP($J29,'Allocation Factors'!$B$12:$AU$603,10,FALSE)*$H29),0)</f>
        <v>0</v>
      </c>
      <c r="V29" s="22">
        <f ca="1">IF($L29&lt;&gt;0,VLOOKUP($N29,'Allocation Factors'!$B$12:$AU$603,11,FALSE)*$L29,0)+IF($H29&lt;&gt;0,(VLOOKUP($J29,'Allocation Factors'!$B$12:$AU$603,11,FALSE)*$H29),0)</f>
        <v>0</v>
      </c>
      <c r="W29" s="22">
        <f ca="1">IF($L29&lt;&gt;0,VLOOKUP($N29,'Allocation Factors'!$B$12:$AU$603,12,FALSE)*$L29,0)+IF($H29&lt;&gt;0,(VLOOKUP($J29,'Allocation Factors'!$B$12:$AU$603,12,FALSE)*$H29),0)</f>
        <v>0</v>
      </c>
      <c r="X29" s="22">
        <f ca="1">IF($L29&lt;&gt;0,VLOOKUP($N29,'Allocation Factors'!$B$12:$AU$603,13,FALSE)*$L29,0)+IF($H29&lt;&gt;0,(VLOOKUP($J29,'Allocation Factors'!$B$12:$AU$603,13,FALSE)*$H29),0)</f>
        <v>0</v>
      </c>
      <c r="Y29" s="22">
        <f ca="1">IF($L29&lt;&gt;0,VLOOKUP($N29,'Allocation Factors'!$B$12:$AU$603,14,FALSE)*$L29,0)+IF($H29&lt;&gt;0,(VLOOKUP($J29,'Allocation Factors'!$B$12:$AU$603,14,FALSE)*$H29),0)</f>
        <v>0</v>
      </c>
      <c r="Z29" s="22">
        <f ca="1">IF($L29&lt;&gt;0,VLOOKUP($N29,'Allocation Factors'!$B$12:$AU$603,15,FALSE)*$L29,0)+IF($H29&lt;&gt;0,(VLOOKUP($J29,'Allocation Factors'!$B$12:$AU$603,15,FALSE)*$H29),0)</f>
        <v>0</v>
      </c>
      <c r="AA29" s="22">
        <f ca="1">IF($L29&lt;&gt;0,VLOOKUP($N29,'Allocation Factors'!$B$12:$AU$603,16,FALSE)*$L29,0)+IF($H29&lt;&gt;0,(VLOOKUP($J29,'Allocation Factors'!$B$12:$AU$603,16,FALSE)*$H29),0)</f>
        <v>0</v>
      </c>
      <c r="AB29" s="22">
        <f ca="1">IF($L29&lt;&gt;0,VLOOKUP($N29,'Allocation Factors'!$B$12:$AU$603,17,FALSE)*$L29,0)+IF($H29&lt;&gt;0,(VLOOKUP($J29,'Allocation Factors'!$B$12:$AU$603,17,FALSE)*$H29),0)</f>
        <v>0</v>
      </c>
      <c r="AC29" s="22">
        <f ca="1">IF($L29&lt;&gt;0,VLOOKUP($N29,'Allocation Factors'!$B$12:$AU$603,18,FALSE)*$L29,0)+IF($H29&lt;&gt;0,(VLOOKUP($J29,'Allocation Factors'!$B$12:$AU$603,18,FALSE)*$H29),0)</f>
        <v>0</v>
      </c>
      <c r="AD29" s="22">
        <f ca="1">IF($L29&lt;&gt;0,VLOOKUP($N29,'Allocation Factors'!$B$12:$AU$603,19,FALSE)*$L29,0)+IF($H29&lt;&gt;0,(VLOOKUP($J29,'Allocation Factors'!$B$12:$AU$603,19,FALSE)*$H29),0)</f>
        <v>0</v>
      </c>
      <c r="AE29" s="22">
        <f ca="1">IF($L29&lt;&gt;0,VLOOKUP($N29,'Allocation Factors'!$B$12:$AU$603,20,FALSE)*$L29,0)+IF($H29&lt;&gt;0,(VLOOKUP($J29,'Allocation Factors'!$B$12:$AU$603,20,FALSE)*$H29),0)</f>
        <v>0</v>
      </c>
      <c r="AF29" s="22">
        <f ca="1">IF($L29&lt;&gt;0,VLOOKUP($N29,'Allocation Factors'!$B$12:$AU$603,21,FALSE)*$L29,0)+IF($H29&lt;&gt;0,(VLOOKUP($J29,'Allocation Factors'!$B$12:$AU$603,21,FALSE)*$H29),0)</f>
        <v>0</v>
      </c>
      <c r="AG29" s="22">
        <f ca="1">IF($L29&lt;&gt;0,VLOOKUP($N29,'Allocation Factors'!$B$12:$AU$603,22,FALSE)*$L29,0)+IF($H29&lt;&gt;0,(VLOOKUP($J29,'Allocation Factors'!$B$12:$AU$603,22,FALSE)*$H29),0)</f>
        <v>0</v>
      </c>
      <c r="AH29" s="22">
        <f ca="1">IF($L29&lt;&gt;0,VLOOKUP($N29,'Allocation Factors'!$B$12:$AU$603,23,FALSE)*$L29,0)+IF($H29&lt;&gt;0,(VLOOKUP($J29,'Allocation Factors'!$B$12:$AU$603,23,FALSE)*$H29),0)</f>
        <v>0</v>
      </c>
      <c r="AI29" s="22">
        <f ca="1">IF($L29&lt;&gt;0,VLOOKUP($N29,'Allocation Factors'!$B$12:$AU$603,24,FALSE)*$L29,0)+IF($H29&lt;&gt;0,(VLOOKUP($J29,'Allocation Factors'!$B$12:$AU$603,24,FALSE)*$H29),0)</f>
        <v>0</v>
      </c>
      <c r="AJ29" s="22">
        <f ca="1">IF($L29&lt;&gt;0,VLOOKUP($N29,'Allocation Factors'!$B$12:$AU$603,25,FALSE)*$L29,0)+IF($H29&lt;&gt;0,(VLOOKUP($J29,'Allocation Factors'!$B$12:$AU$603,25,FALSE)*$H29),0)</f>
        <v>0</v>
      </c>
      <c r="AK29" s="22">
        <f ca="1">IF($L29&lt;&gt;0,VLOOKUP($N29,'Allocation Factors'!$B$12:$AU$603,26,FALSE)*$L29,0)+IF($H29&lt;&gt;0,(VLOOKUP($J29,'Allocation Factors'!$B$12:$AU$603,26,FALSE)*$H29),0)</f>
        <v>0</v>
      </c>
      <c r="AL29" s="22">
        <f ca="1">IF($L29&lt;&gt;0,VLOOKUP($N29,'Allocation Factors'!$B$12:$AU$603,27,FALSE)*$L29,0)+IF($H29&lt;&gt;0,(VLOOKUP($J29,'Allocation Factors'!$B$12:$AU$603,27,FALSE)*$H29),0)</f>
        <v>0</v>
      </c>
      <c r="AM29" s="22">
        <f ca="1">IF($L29&lt;&gt;0,VLOOKUP($N29,'Allocation Factors'!$B$12:$AU$603,28,FALSE)*$L29,0)+IF($H29&lt;&gt;0,(VLOOKUP($J29,'Allocation Factors'!$B$12:$AU$603,28,FALSE)*$H29),0)</f>
        <v>0</v>
      </c>
      <c r="AN29" s="22">
        <f ca="1">IF($L29&lt;&gt;0,VLOOKUP($N29,'Allocation Factors'!$B$12:$AU$603,29,FALSE)*$L29,0)+IF($H29&lt;&gt;0,(VLOOKUP($J29,'Allocation Factors'!$B$12:$AU$603,29,FALSE)*$H29),0)</f>
        <v>0</v>
      </c>
      <c r="AO29" s="22">
        <f ca="1">IF($L29&lt;&gt;0,VLOOKUP($N29,'Allocation Factors'!$B$12:$AU$603,30,FALSE)*$L29,0)+IF($H29&lt;&gt;0,(VLOOKUP($J29,'Allocation Factors'!$B$12:$AU$603,30,FALSE)*$H29),0)</f>
        <v>0</v>
      </c>
      <c r="AP29" s="22">
        <f ca="1">IF($L29&lt;&gt;0,VLOOKUP($N29,'Allocation Factors'!$B$12:$AU$603,31,FALSE)*$L29,0)+IF($H29&lt;&gt;0,(VLOOKUP($J29,'Allocation Factors'!$B$12:$AU$603,31,FALSE)*$H29),0)</f>
        <v>0</v>
      </c>
      <c r="AQ29" s="22">
        <f ca="1">IF($L29&lt;&gt;0,VLOOKUP($N29,'Allocation Factors'!$B$12:$AU$603,32,FALSE)*$L29,0)+IF($H29&lt;&gt;0,(VLOOKUP($J29,'Allocation Factors'!$B$12:$AU$603,32,FALSE)*$H29),0)</f>
        <v>0</v>
      </c>
      <c r="AR29" s="22">
        <f ca="1">IF($L29&lt;&gt;0,VLOOKUP($N29,'Allocation Factors'!$B$12:$AU$603,33,FALSE)*$L29,0)+IF($H29&lt;&gt;0,(VLOOKUP($J29,'Allocation Factors'!$B$12:$AU$603,33,FALSE)*$H29),0)</f>
        <v>0</v>
      </c>
      <c r="AS29" s="22">
        <f ca="1">IF($L29&lt;&gt;0,VLOOKUP($N29,'Allocation Factors'!$B$12:$AU$603,34,FALSE)*$L29,0)+IF($H29&lt;&gt;0,(VLOOKUP($J29,'Allocation Factors'!$B$12:$AU$603,34,FALSE)*$H29),0)</f>
        <v>0</v>
      </c>
      <c r="AT29" s="22">
        <f ca="1">IF($L29&lt;&gt;0,VLOOKUP($N29,'Allocation Factors'!$B$12:$AU$603,35,FALSE)*$L29,0)+IF($H29&lt;&gt;0,(VLOOKUP($J29,'Allocation Factors'!$B$12:$AU$603,35,FALSE)*$H29),0)</f>
        <v>0</v>
      </c>
      <c r="AU29" s="22">
        <f ca="1">IF($L29&lt;&gt;0,VLOOKUP($N29,'Allocation Factors'!$B$12:$AU$603,36,FALSE)*$L29,0)+IF($H29&lt;&gt;0,(VLOOKUP($J29,'Allocation Factors'!$B$12:$AU$603,36,FALSE)*$H29),0)</f>
        <v>0</v>
      </c>
      <c r="AV29" s="22">
        <f ca="1">IF($L29&lt;&gt;0,VLOOKUP($N29,'Allocation Factors'!$B$12:$AU$603,37,FALSE)*$L29,0)+IF($H29&lt;&gt;0,(VLOOKUP($J29,'Allocation Factors'!$B$12:$AU$603,37,FALSE)*$H29),0)</f>
        <v>0</v>
      </c>
      <c r="AW29" s="22">
        <f ca="1">IF($L29&lt;&gt;0,VLOOKUP($N29,'Allocation Factors'!$B$12:$AU$603,38,FALSE)*$L29,0)+IF($H29&lt;&gt;0,(VLOOKUP($J29,'Allocation Factors'!$B$12:$AU$603,38,FALSE)*$H29),0)</f>
        <v>0</v>
      </c>
      <c r="AX29" s="22">
        <f ca="1">IF($L29&lt;&gt;0,VLOOKUP($N29,'Allocation Factors'!$B$12:$AU$603,39,FALSE)*$L29,0)+IF($H29&lt;&gt;0,(VLOOKUP($J29,'Allocation Factors'!$B$12:$AU$603,39,FALSE)*$H29),0)</f>
        <v>0</v>
      </c>
      <c r="AY29" s="22">
        <f ca="1">IF($L29&lt;&gt;0,VLOOKUP($N29,'Allocation Factors'!$B$12:$AU$603,40,FALSE)*$L29,0)+IF($H29&lt;&gt;0,(VLOOKUP($J29,'Allocation Factors'!$B$12:$AU$603,40,FALSE)*$H29),0)</f>
        <v>0</v>
      </c>
      <c r="AZ29" s="22">
        <f ca="1">IF($L29&lt;&gt;0,VLOOKUP($N29,'Allocation Factors'!$B$12:$AU$603,41,FALSE)*$L29,0)+IF($H29&lt;&gt;0,(VLOOKUP($J29,'Allocation Factors'!$B$12:$AU$603,41,FALSE)*$H29),0)</f>
        <v>0</v>
      </c>
      <c r="BA29" s="22">
        <f ca="1">IF($L29&lt;&gt;0,VLOOKUP($N29,'Allocation Factors'!$B$12:$AU$603,42,FALSE)*$L29,0)+IF($H29&lt;&gt;0,(VLOOKUP($J29,'Allocation Factors'!$B$12:$AU$603,42,FALSE)*$H29),0)</f>
        <v>0</v>
      </c>
      <c r="BB29" s="22">
        <f ca="1">IF($L29&lt;&gt;0,VLOOKUP($N29,'Allocation Factors'!$B$12:$AU$603,43,FALSE)*$L29,0)+IF($H29&lt;&gt;0,(VLOOKUP($J29,'Allocation Factors'!$B$12:$AU$603,43,FALSE)*$H29),0)</f>
        <v>0</v>
      </c>
      <c r="BC29" s="22">
        <f ca="1">IF($L29&lt;&gt;0,VLOOKUP($N29,'Allocation Factors'!$B$12:$AU$603,44,FALSE)*$L29,0)+IF($H29&lt;&gt;0,(VLOOKUP($J29,'Allocation Factors'!$B$12:$AU$603,44,FALSE)*$H29),0)</f>
        <v>0</v>
      </c>
      <c r="BD29" s="22">
        <f ca="1">IF($L29&lt;&gt;0,VLOOKUP($N29,'Allocation Factors'!$B$12:$AU$603,45,FALSE)*$L29,0)+IF($H29&lt;&gt;0,(VLOOKUP($J29,'Allocation Factors'!$B$12:$AU$603,45,FALSE)*$H29),0)</f>
        <v>0</v>
      </c>
      <c r="BE29" s="22">
        <f ca="1">IF($L29&lt;&gt;0,VLOOKUP($N29,'Allocation Factors'!$B$12:$AU$603,46,FALSE)*$L29,0)+IF($H29&lt;&gt;0,(VLOOKUP($J29,'Allocation Factors'!$B$12:$AU$603,46,FALSE)*$H29),0)</f>
        <v>0</v>
      </c>
      <c r="BF29" s="9"/>
    </row>
    <row r="30" spans="1:58" x14ac:dyDescent="0.25">
      <c r="A30" s="2">
        <f t="shared" si="10"/>
        <v>16</v>
      </c>
      <c r="B30" s="73" t="s">
        <v>375</v>
      </c>
      <c r="D30" s="22">
        <f ca="1">SUM('Transmission Class'!V116:V120,'Transmission Class'!V122)</f>
        <v>0</v>
      </c>
      <c r="E30" s="22"/>
      <c r="F30" s="22">
        <f t="shared" ca="1" si="8"/>
        <v>0</v>
      </c>
      <c r="L30" s="22">
        <f t="shared" ca="1" si="9"/>
        <v>0</v>
      </c>
      <c r="N30" s="28" t="str">
        <f>'Total ALLOCATION'!N30</f>
        <v>D-PTRANS</v>
      </c>
      <c r="P30" s="22">
        <f ca="1">IF($L30&lt;&gt;0,VLOOKUP($N30,'Allocation Factors'!$B$12:$AU$603,5,FALSE)*$L30,0)+IF($H30&lt;&gt;0,(VLOOKUP($J30,'Allocation Factors'!$B$12:$AU$603,5,FALSE)*$H30),0)</f>
        <v>0</v>
      </c>
      <c r="Q30" s="22">
        <f ca="1">IF($L30&lt;&gt;0,VLOOKUP($N30,'Allocation Factors'!$B$12:$AU$603,6,FALSE)*$L30,0)+IF($H30&lt;&gt;0,(VLOOKUP($J30,'Allocation Factors'!$B$12:$AU$603,6,FALSE)*$H30),0)</f>
        <v>0</v>
      </c>
      <c r="R30" s="22">
        <f ca="1">IF($L30&lt;&gt;0,VLOOKUP($N30,'Allocation Factors'!$B$12:$AU$603,7,FALSE)*$L30,0)+IF($H30&lt;&gt;0,(VLOOKUP($J30,'Allocation Factors'!$B$12:$AU$603,7,FALSE)*$H30),0)</f>
        <v>0</v>
      </c>
      <c r="S30" s="22">
        <f ca="1">IF($L30&lt;&gt;0,VLOOKUP($N30,'Allocation Factors'!$B$12:$AU$603,8,FALSE)*$L30,0)+IF($H30&lt;&gt;0,(VLOOKUP($J30,'Allocation Factors'!$B$12:$AU$603,8,FALSE)*$H30),0)</f>
        <v>0</v>
      </c>
      <c r="T30" s="22">
        <f ca="1">IF($L30&lt;&gt;0,VLOOKUP($N30,'Allocation Factors'!$B$12:$AU$603,9,FALSE)*$L30,0)+IF($H30&lt;&gt;0,(VLOOKUP($J30,'Allocation Factors'!$B$12:$AU$603,9,FALSE)*$H30),0)</f>
        <v>0</v>
      </c>
      <c r="U30" s="22">
        <f ca="1">IF($L30&lt;&gt;0,VLOOKUP($N30,'Allocation Factors'!$B$12:$AU$603,10,FALSE)*$L30,0)+IF($H30&lt;&gt;0,(VLOOKUP($J30,'Allocation Factors'!$B$12:$AU$603,10,FALSE)*$H30),0)</f>
        <v>0</v>
      </c>
      <c r="V30" s="22">
        <f ca="1">IF($L30&lt;&gt;0,VLOOKUP($N30,'Allocation Factors'!$B$12:$AU$603,11,FALSE)*$L30,0)+IF($H30&lt;&gt;0,(VLOOKUP($J30,'Allocation Factors'!$B$12:$AU$603,11,FALSE)*$H30),0)</f>
        <v>0</v>
      </c>
      <c r="W30" s="22">
        <f ca="1">IF($L30&lt;&gt;0,VLOOKUP($N30,'Allocation Factors'!$B$12:$AU$603,12,FALSE)*$L30,0)+IF($H30&lt;&gt;0,(VLOOKUP($J30,'Allocation Factors'!$B$12:$AU$603,12,FALSE)*$H30),0)</f>
        <v>0</v>
      </c>
      <c r="X30" s="22">
        <f ca="1">IF($L30&lt;&gt;0,VLOOKUP($N30,'Allocation Factors'!$B$12:$AU$603,13,FALSE)*$L30,0)+IF($H30&lt;&gt;0,(VLOOKUP($J30,'Allocation Factors'!$B$12:$AU$603,13,FALSE)*$H30),0)</f>
        <v>0</v>
      </c>
      <c r="Y30" s="22">
        <f ca="1">IF($L30&lt;&gt;0,VLOOKUP($N30,'Allocation Factors'!$B$12:$AU$603,14,FALSE)*$L30,0)+IF($H30&lt;&gt;0,(VLOOKUP($J30,'Allocation Factors'!$B$12:$AU$603,14,FALSE)*$H30),0)</f>
        <v>0</v>
      </c>
      <c r="Z30" s="22">
        <f ca="1">IF($L30&lt;&gt;0,VLOOKUP($N30,'Allocation Factors'!$B$12:$AU$603,15,FALSE)*$L30,0)+IF($H30&lt;&gt;0,(VLOOKUP($J30,'Allocation Factors'!$B$12:$AU$603,15,FALSE)*$H30),0)</f>
        <v>0</v>
      </c>
      <c r="AA30" s="22">
        <f ca="1">IF($L30&lt;&gt;0,VLOOKUP($N30,'Allocation Factors'!$B$12:$AU$603,16,FALSE)*$L30,0)+IF($H30&lt;&gt;0,(VLOOKUP($J30,'Allocation Factors'!$B$12:$AU$603,16,FALSE)*$H30),0)</f>
        <v>0</v>
      </c>
      <c r="AB30" s="22">
        <f ca="1">IF($L30&lt;&gt;0,VLOOKUP($N30,'Allocation Factors'!$B$12:$AU$603,17,FALSE)*$L30,0)+IF($H30&lt;&gt;0,(VLOOKUP($J30,'Allocation Factors'!$B$12:$AU$603,17,FALSE)*$H30),0)</f>
        <v>0</v>
      </c>
      <c r="AC30" s="22">
        <f ca="1">IF($L30&lt;&gt;0,VLOOKUP($N30,'Allocation Factors'!$B$12:$AU$603,18,FALSE)*$L30,0)+IF($H30&lt;&gt;0,(VLOOKUP($J30,'Allocation Factors'!$B$12:$AU$603,18,FALSE)*$H30),0)</f>
        <v>0</v>
      </c>
      <c r="AD30" s="22">
        <f ca="1">IF($L30&lt;&gt;0,VLOOKUP($N30,'Allocation Factors'!$B$12:$AU$603,19,FALSE)*$L30,0)+IF($H30&lt;&gt;0,(VLOOKUP($J30,'Allocation Factors'!$B$12:$AU$603,19,FALSE)*$H30),0)</f>
        <v>0</v>
      </c>
      <c r="AE30" s="22">
        <f ca="1">IF($L30&lt;&gt;0,VLOOKUP($N30,'Allocation Factors'!$B$12:$AU$603,20,FALSE)*$L30,0)+IF($H30&lt;&gt;0,(VLOOKUP($J30,'Allocation Factors'!$B$12:$AU$603,20,FALSE)*$H30),0)</f>
        <v>0</v>
      </c>
      <c r="AF30" s="22">
        <f ca="1">IF($L30&lt;&gt;0,VLOOKUP($N30,'Allocation Factors'!$B$12:$AU$603,21,FALSE)*$L30,0)+IF($H30&lt;&gt;0,(VLOOKUP($J30,'Allocation Factors'!$B$12:$AU$603,21,FALSE)*$H30),0)</f>
        <v>0</v>
      </c>
      <c r="AG30" s="22">
        <f ca="1">IF($L30&lt;&gt;0,VLOOKUP($N30,'Allocation Factors'!$B$12:$AU$603,22,FALSE)*$L30,0)+IF($H30&lt;&gt;0,(VLOOKUP($J30,'Allocation Factors'!$B$12:$AU$603,22,FALSE)*$H30),0)</f>
        <v>0</v>
      </c>
      <c r="AH30" s="22">
        <f ca="1">IF($L30&lt;&gt;0,VLOOKUP($N30,'Allocation Factors'!$B$12:$AU$603,23,FALSE)*$L30,0)+IF($H30&lt;&gt;0,(VLOOKUP($J30,'Allocation Factors'!$B$12:$AU$603,23,FALSE)*$H30),0)</f>
        <v>0</v>
      </c>
      <c r="AI30" s="22">
        <f ca="1">IF($L30&lt;&gt;0,VLOOKUP($N30,'Allocation Factors'!$B$12:$AU$603,24,FALSE)*$L30,0)+IF($H30&lt;&gt;0,(VLOOKUP($J30,'Allocation Factors'!$B$12:$AU$603,24,FALSE)*$H30),0)</f>
        <v>0</v>
      </c>
      <c r="AJ30" s="22">
        <f ca="1">IF($L30&lt;&gt;0,VLOOKUP($N30,'Allocation Factors'!$B$12:$AU$603,25,FALSE)*$L30,0)+IF($H30&lt;&gt;0,(VLOOKUP($J30,'Allocation Factors'!$B$12:$AU$603,25,FALSE)*$H30),0)</f>
        <v>0</v>
      </c>
      <c r="AK30" s="22">
        <f ca="1">IF($L30&lt;&gt;0,VLOOKUP($N30,'Allocation Factors'!$B$12:$AU$603,26,FALSE)*$L30,0)+IF($H30&lt;&gt;0,(VLOOKUP($J30,'Allocation Factors'!$B$12:$AU$603,26,FALSE)*$H30),0)</f>
        <v>0</v>
      </c>
      <c r="AL30" s="22">
        <f ca="1">IF($L30&lt;&gt;0,VLOOKUP($N30,'Allocation Factors'!$B$12:$AU$603,27,FALSE)*$L30,0)+IF($H30&lt;&gt;0,(VLOOKUP($J30,'Allocation Factors'!$B$12:$AU$603,27,FALSE)*$H30),0)</f>
        <v>0</v>
      </c>
      <c r="AM30" s="22">
        <f ca="1">IF($L30&lt;&gt;0,VLOOKUP($N30,'Allocation Factors'!$B$12:$AU$603,28,FALSE)*$L30,0)+IF($H30&lt;&gt;0,(VLOOKUP($J30,'Allocation Factors'!$B$12:$AU$603,28,FALSE)*$H30),0)</f>
        <v>0</v>
      </c>
      <c r="AN30" s="22">
        <f ca="1">IF($L30&lt;&gt;0,VLOOKUP($N30,'Allocation Factors'!$B$12:$AU$603,29,FALSE)*$L30,0)+IF($H30&lt;&gt;0,(VLOOKUP($J30,'Allocation Factors'!$B$12:$AU$603,29,FALSE)*$H30),0)</f>
        <v>0</v>
      </c>
      <c r="AO30" s="22">
        <f ca="1">IF($L30&lt;&gt;0,VLOOKUP($N30,'Allocation Factors'!$B$12:$AU$603,30,FALSE)*$L30,0)+IF($H30&lt;&gt;0,(VLOOKUP($J30,'Allocation Factors'!$B$12:$AU$603,30,FALSE)*$H30),0)</f>
        <v>0</v>
      </c>
      <c r="AP30" s="22">
        <f ca="1">IF($L30&lt;&gt;0,VLOOKUP($N30,'Allocation Factors'!$B$12:$AU$603,31,FALSE)*$L30,0)+IF($H30&lt;&gt;0,(VLOOKUP($J30,'Allocation Factors'!$B$12:$AU$603,31,FALSE)*$H30),0)</f>
        <v>0</v>
      </c>
      <c r="AQ30" s="22">
        <f ca="1">IF($L30&lt;&gt;0,VLOOKUP($N30,'Allocation Factors'!$B$12:$AU$603,32,FALSE)*$L30,0)+IF($H30&lt;&gt;0,(VLOOKUP($J30,'Allocation Factors'!$B$12:$AU$603,32,FALSE)*$H30),0)</f>
        <v>0</v>
      </c>
      <c r="AR30" s="22">
        <f ca="1">IF($L30&lt;&gt;0,VLOOKUP($N30,'Allocation Factors'!$B$12:$AU$603,33,FALSE)*$L30,0)+IF($H30&lt;&gt;0,(VLOOKUP($J30,'Allocation Factors'!$B$12:$AU$603,33,FALSE)*$H30),0)</f>
        <v>0</v>
      </c>
      <c r="AS30" s="22">
        <f ca="1">IF($L30&lt;&gt;0,VLOOKUP($N30,'Allocation Factors'!$B$12:$AU$603,34,FALSE)*$L30,0)+IF($H30&lt;&gt;0,(VLOOKUP($J30,'Allocation Factors'!$B$12:$AU$603,34,FALSE)*$H30),0)</f>
        <v>0</v>
      </c>
      <c r="AT30" s="22">
        <f ca="1">IF($L30&lt;&gt;0,VLOOKUP($N30,'Allocation Factors'!$B$12:$AU$603,35,FALSE)*$L30,0)+IF($H30&lt;&gt;0,(VLOOKUP($J30,'Allocation Factors'!$B$12:$AU$603,35,FALSE)*$H30),0)</f>
        <v>0</v>
      </c>
      <c r="AU30" s="22">
        <f ca="1">IF($L30&lt;&gt;0,VLOOKUP($N30,'Allocation Factors'!$B$12:$AU$603,36,FALSE)*$L30,0)+IF($H30&lt;&gt;0,(VLOOKUP($J30,'Allocation Factors'!$B$12:$AU$603,36,FALSE)*$H30),0)</f>
        <v>0</v>
      </c>
      <c r="AV30" s="22">
        <f ca="1">IF($L30&lt;&gt;0,VLOOKUP($N30,'Allocation Factors'!$B$12:$AU$603,37,FALSE)*$L30,0)+IF($H30&lt;&gt;0,(VLOOKUP($J30,'Allocation Factors'!$B$12:$AU$603,37,FALSE)*$H30),0)</f>
        <v>0</v>
      </c>
      <c r="AW30" s="22">
        <f ca="1">IF($L30&lt;&gt;0,VLOOKUP($N30,'Allocation Factors'!$B$12:$AU$603,38,FALSE)*$L30,0)+IF($H30&lt;&gt;0,(VLOOKUP($J30,'Allocation Factors'!$B$12:$AU$603,38,FALSE)*$H30),0)</f>
        <v>0</v>
      </c>
      <c r="AX30" s="22">
        <f ca="1">IF($L30&lt;&gt;0,VLOOKUP($N30,'Allocation Factors'!$B$12:$AU$603,39,FALSE)*$L30,0)+IF($H30&lt;&gt;0,(VLOOKUP($J30,'Allocation Factors'!$B$12:$AU$603,39,FALSE)*$H30),0)</f>
        <v>0</v>
      </c>
      <c r="AY30" s="22">
        <f ca="1">IF($L30&lt;&gt;0,VLOOKUP($N30,'Allocation Factors'!$B$12:$AU$603,40,FALSE)*$L30,0)+IF($H30&lt;&gt;0,(VLOOKUP($J30,'Allocation Factors'!$B$12:$AU$603,40,FALSE)*$H30),0)</f>
        <v>0</v>
      </c>
      <c r="AZ30" s="22">
        <f ca="1">IF($L30&lt;&gt;0,VLOOKUP($N30,'Allocation Factors'!$B$12:$AU$603,41,FALSE)*$L30,0)+IF($H30&lt;&gt;0,(VLOOKUP($J30,'Allocation Factors'!$B$12:$AU$603,41,FALSE)*$H30),0)</f>
        <v>0</v>
      </c>
      <c r="BA30" s="22">
        <f ca="1">IF($L30&lt;&gt;0,VLOOKUP($N30,'Allocation Factors'!$B$12:$AU$603,42,FALSE)*$L30,0)+IF($H30&lt;&gt;0,(VLOOKUP($J30,'Allocation Factors'!$B$12:$AU$603,42,FALSE)*$H30),0)</f>
        <v>0</v>
      </c>
      <c r="BB30" s="22">
        <f ca="1">IF($L30&lt;&gt;0,VLOOKUP($N30,'Allocation Factors'!$B$12:$AU$603,43,FALSE)*$L30,0)+IF($H30&lt;&gt;0,(VLOOKUP($J30,'Allocation Factors'!$B$12:$AU$603,43,FALSE)*$H30),0)</f>
        <v>0</v>
      </c>
      <c r="BC30" s="22">
        <f ca="1">IF($L30&lt;&gt;0,VLOOKUP($N30,'Allocation Factors'!$B$12:$AU$603,44,FALSE)*$L30,0)+IF($H30&lt;&gt;0,(VLOOKUP($J30,'Allocation Factors'!$B$12:$AU$603,44,FALSE)*$H30),0)</f>
        <v>0</v>
      </c>
      <c r="BD30" s="22">
        <f ca="1">IF($L30&lt;&gt;0,VLOOKUP($N30,'Allocation Factors'!$B$12:$AU$603,45,FALSE)*$L30,0)+IF($H30&lt;&gt;0,(VLOOKUP($J30,'Allocation Factors'!$B$12:$AU$603,45,FALSE)*$H30),0)</f>
        <v>0</v>
      </c>
      <c r="BE30" s="22">
        <f ca="1">IF($L30&lt;&gt;0,VLOOKUP($N30,'Allocation Factors'!$B$12:$AU$603,46,FALSE)*$L30,0)+IF($H30&lt;&gt;0,(VLOOKUP($J30,'Allocation Factors'!$B$12:$AU$603,46,FALSE)*$H30),0)</f>
        <v>0</v>
      </c>
      <c r="BF30" s="9"/>
    </row>
    <row r="31" spans="1:58" x14ac:dyDescent="0.25">
      <c r="A31" s="2">
        <f t="shared" si="10"/>
        <v>17</v>
      </c>
      <c r="B31" s="73" t="s">
        <v>376</v>
      </c>
      <c r="D31" s="22">
        <f ca="1">SUM('Transmission Class'!X116:X120,'Transmission Class'!X122)</f>
        <v>0</v>
      </c>
      <c r="E31" s="22"/>
      <c r="F31" s="22">
        <f t="shared" ca="1" si="8"/>
        <v>0</v>
      </c>
      <c r="L31" s="22">
        <f t="shared" ca="1" si="9"/>
        <v>0</v>
      </c>
      <c r="N31" s="28" t="str">
        <f>'Total ALLOCATION'!N31</f>
        <v>ALBIONTRANS</v>
      </c>
      <c r="P31" s="22">
        <f ca="1">IF($L31&lt;&gt;0,VLOOKUP($N31,'Allocation Factors'!$B$12:$AU$603,5,FALSE)*$L31,0)+IF($H31&lt;&gt;0,(VLOOKUP($J31,'Allocation Factors'!$B$12:$AU$603,5,FALSE)*$H31),0)</f>
        <v>0</v>
      </c>
      <c r="Q31" s="22">
        <f ca="1">IF($L31&lt;&gt;0,VLOOKUP($N31,'Allocation Factors'!$B$12:$AU$603,6,FALSE)*$L31,0)+IF($H31&lt;&gt;0,(VLOOKUP($J31,'Allocation Factors'!$B$12:$AU$603,6,FALSE)*$H31),0)</f>
        <v>0</v>
      </c>
      <c r="R31" s="22">
        <f ca="1">IF($L31&lt;&gt;0,VLOOKUP($N31,'Allocation Factors'!$B$12:$AU$603,7,FALSE)*$L31,0)+IF($H31&lt;&gt;0,(VLOOKUP($J31,'Allocation Factors'!$B$12:$AU$603,7,FALSE)*$H31),0)</f>
        <v>0</v>
      </c>
      <c r="S31" s="22">
        <f ca="1">IF($L31&lt;&gt;0,VLOOKUP($N31,'Allocation Factors'!$B$12:$AU$603,8,FALSE)*$L31,0)+IF($H31&lt;&gt;0,(VLOOKUP($J31,'Allocation Factors'!$B$12:$AU$603,8,FALSE)*$H31),0)</f>
        <v>0</v>
      </c>
      <c r="T31" s="22">
        <f ca="1">IF($L31&lt;&gt;0,VLOOKUP($N31,'Allocation Factors'!$B$12:$AU$603,9,FALSE)*$L31,0)+IF($H31&lt;&gt;0,(VLOOKUP($J31,'Allocation Factors'!$B$12:$AU$603,9,FALSE)*$H31),0)</f>
        <v>0</v>
      </c>
      <c r="U31" s="22">
        <f ca="1">IF($L31&lt;&gt;0,VLOOKUP($N31,'Allocation Factors'!$B$12:$AU$603,10,FALSE)*$L31,0)+IF($H31&lt;&gt;0,(VLOOKUP($J31,'Allocation Factors'!$B$12:$AU$603,10,FALSE)*$H31),0)</f>
        <v>0</v>
      </c>
      <c r="V31" s="22">
        <f ca="1">IF($L31&lt;&gt;0,VLOOKUP($N31,'Allocation Factors'!$B$12:$AU$603,11,FALSE)*$L31,0)+IF($H31&lt;&gt;0,(VLOOKUP($J31,'Allocation Factors'!$B$12:$AU$603,11,FALSE)*$H31),0)</f>
        <v>0</v>
      </c>
      <c r="W31" s="22">
        <f ca="1">IF($L31&lt;&gt;0,VLOOKUP($N31,'Allocation Factors'!$B$12:$AU$603,12,FALSE)*$L31,0)+IF($H31&lt;&gt;0,(VLOOKUP($J31,'Allocation Factors'!$B$12:$AU$603,12,FALSE)*$H31),0)</f>
        <v>0</v>
      </c>
      <c r="X31" s="22">
        <f ca="1">IF($L31&lt;&gt;0,VLOOKUP($N31,'Allocation Factors'!$B$12:$AU$603,13,FALSE)*$L31,0)+IF($H31&lt;&gt;0,(VLOOKUP($J31,'Allocation Factors'!$B$12:$AU$603,13,FALSE)*$H31),0)</f>
        <v>0</v>
      </c>
      <c r="Y31" s="22">
        <f ca="1">IF($L31&lt;&gt;0,VLOOKUP($N31,'Allocation Factors'!$B$12:$AU$603,14,FALSE)*$L31,0)+IF($H31&lt;&gt;0,(VLOOKUP($J31,'Allocation Factors'!$B$12:$AU$603,14,FALSE)*$H31),0)</f>
        <v>0</v>
      </c>
      <c r="Z31" s="22">
        <f ca="1">IF($L31&lt;&gt;0,VLOOKUP($N31,'Allocation Factors'!$B$12:$AU$603,15,FALSE)*$L31,0)+IF($H31&lt;&gt;0,(VLOOKUP($J31,'Allocation Factors'!$B$12:$AU$603,15,FALSE)*$H31),0)</f>
        <v>0</v>
      </c>
      <c r="AA31" s="22">
        <f ca="1">IF($L31&lt;&gt;0,VLOOKUP($N31,'Allocation Factors'!$B$12:$AU$603,16,FALSE)*$L31,0)+IF($H31&lt;&gt;0,(VLOOKUP($J31,'Allocation Factors'!$B$12:$AU$603,16,FALSE)*$H31),0)</f>
        <v>0</v>
      </c>
      <c r="AB31" s="22">
        <f ca="1">IF($L31&lt;&gt;0,VLOOKUP($N31,'Allocation Factors'!$B$12:$AU$603,17,FALSE)*$L31,0)+IF($H31&lt;&gt;0,(VLOOKUP($J31,'Allocation Factors'!$B$12:$AU$603,17,FALSE)*$H31),0)</f>
        <v>0</v>
      </c>
      <c r="AC31" s="22">
        <f ca="1">IF($L31&lt;&gt;0,VLOOKUP($N31,'Allocation Factors'!$B$12:$AU$603,18,FALSE)*$L31,0)+IF($H31&lt;&gt;0,(VLOOKUP($J31,'Allocation Factors'!$B$12:$AU$603,18,FALSE)*$H31),0)</f>
        <v>0</v>
      </c>
      <c r="AD31" s="22">
        <f ca="1">IF($L31&lt;&gt;0,VLOOKUP($N31,'Allocation Factors'!$B$12:$AU$603,19,FALSE)*$L31,0)+IF($H31&lt;&gt;0,(VLOOKUP($J31,'Allocation Factors'!$B$12:$AU$603,19,FALSE)*$H31),0)</f>
        <v>0</v>
      </c>
      <c r="AE31" s="22">
        <f ca="1">IF($L31&lt;&gt;0,VLOOKUP($N31,'Allocation Factors'!$B$12:$AU$603,20,FALSE)*$L31,0)+IF($H31&lt;&gt;0,(VLOOKUP($J31,'Allocation Factors'!$B$12:$AU$603,20,FALSE)*$H31),0)</f>
        <v>0</v>
      </c>
      <c r="AF31" s="22">
        <f ca="1">IF($L31&lt;&gt;0,VLOOKUP($N31,'Allocation Factors'!$B$12:$AU$603,21,FALSE)*$L31,0)+IF($H31&lt;&gt;0,(VLOOKUP($J31,'Allocation Factors'!$B$12:$AU$603,21,FALSE)*$H31),0)</f>
        <v>0</v>
      </c>
      <c r="AG31" s="22">
        <f ca="1">IF($L31&lt;&gt;0,VLOOKUP($N31,'Allocation Factors'!$B$12:$AU$603,22,FALSE)*$L31,0)+IF($H31&lt;&gt;0,(VLOOKUP($J31,'Allocation Factors'!$B$12:$AU$603,22,FALSE)*$H31),0)</f>
        <v>0</v>
      </c>
      <c r="AH31" s="22">
        <f ca="1">IF($L31&lt;&gt;0,VLOOKUP($N31,'Allocation Factors'!$B$12:$AU$603,23,FALSE)*$L31,0)+IF($H31&lt;&gt;0,(VLOOKUP($J31,'Allocation Factors'!$B$12:$AU$603,23,FALSE)*$H31),0)</f>
        <v>0</v>
      </c>
      <c r="AI31" s="22">
        <f ca="1">IF($L31&lt;&gt;0,VLOOKUP($N31,'Allocation Factors'!$B$12:$AU$603,24,FALSE)*$L31,0)+IF($H31&lt;&gt;0,(VLOOKUP($J31,'Allocation Factors'!$B$12:$AU$603,24,FALSE)*$H31),0)</f>
        <v>0</v>
      </c>
      <c r="AJ31" s="22">
        <f ca="1">IF($L31&lt;&gt;0,VLOOKUP($N31,'Allocation Factors'!$B$12:$AU$603,25,FALSE)*$L31,0)+IF($H31&lt;&gt;0,(VLOOKUP($J31,'Allocation Factors'!$B$12:$AU$603,25,FALSE)*$H31),0)</f>
        <v>0</v>
      </c>
      <c r="AK31" s="22">
        <f ca="1">IF($L31&lt;&gt;0,VLOOKUP($N31,'Allocation Factors'!$B$12:$AU$603,26,FALSE)*$L31,0)+IF($H31&lt;&gt;0,(VLOOKUP($J31,'Allocation Factors'!$B$12:$AU$603,26,FALSE)*$H31),0)</f>
        <v>0</v>
      </c>
      <c r="AL31" s="22">
        <f ca="1">IF($L31&lt;&gt;0,VLOOKUP($N31,'Allocation Factors'!$B$12:$AU$603,27,FALSE)*$L31,0)+IF($H31&lt;&gt;0,(VLOOKUP($J31,'Allocation Factors'!$B$12:$AU$603,27,FALSE)*$H31),0)</f>
        <v>0</v>
      </c>
      <c r="AM31" s="22">
        <f ca="1">IF($L31&lt;&gt;0,VLOOKUP($N31,'Allocation Factors'!$B$12:$AU$603,28,FALSE)*$L31,0)+IF($H31&lt;&gt;0,(VLOOKUP($J31,'Allocation Factors'!$B$12:$AU$603,28,FALSE)*$H31),0)</f>
        <v>0</v>
      </c>
      <c r="AN31" s="22">
        <f ca="1">IF($L31&lt;&gt;0,VLOOKUP($N31,'Allocation Factors'!$B$12:$AU$603,29,FALSE)*$L31,0)+IF($H31&lt;&gt;0,(VLOOKUP($J31,'Allocation Factors'!$B$12:$AU$603,29,FALSE)*$H31),0)</f>
        <v>0</v>
      </c>
      <c r="AO31" s="22">
        <f ca="1">IF($L31&lt;&gt;0,VLOOKUP($N31,'Allocation Factors'!$B$12:$AU$603,30,FALSE)*$L31,0)+IF($H31&lt;&gt;0,(VLOOKUP($J31,'Allocation Factors'!$B$12:$AU$603,30,FALSE)*$H31),0)</f>
        <v>0</v>
      </c>
      <c r="AP31" s="22">
        <f ca="1">IF($L31&lt;&gt;0,VLOOKUP($N31,'Allocation Factors'!$B$12:$AU$603,31,FALSE)*$L31,0)+IF($H31&lt;&gt;0,(VLOOKUP($J31,'Allocation Factors'!$B$12:$AU$603,31,FALSE)*$H31),0)</f>
        <v>0</v>
      </c>
      <c r="AQ31" s="22">
        <f ca="1">IF($L31&lt;&gt;0,VLOOKUP($N31,'Allocation Factors'!$B$12:$AU$603,32,FALSE)*$L31,0)+IF($H31&lt;&gt;0,(VLOOKUP($J31,'Allocation Factors'!$B$12:$AU$603,32,FALSE)*$H31),0)</f>
        <v>0</v>
      </c>
      <c r="AR31" s="22">
        <f ca="1">IF($L31&lt;&gt;0,VLOOKUP($N31,'Allocation Factors'!$B$12:$AU$603,33,FALSE)*$L31,0)+IF($H31&lt;&gt;0,(VLOOKUP($J31,'Allocation Factors'!$B$12:$AU$603,33,FALSE)*$H31),0)</f>
        <v>0</v>
      </c>
      <c r="AS31" s="22">
        <f ca="1">IF($L31&lt;&gt;0,VLOOKUP($N31,'Allocation Factors'!$B$12:$AU$603,34,FALSE)*$L31,0)+IF($H31&lt;&gt;0,(VLOOKUP($J31,'Allocation Factors'!$B$12:$AU$603,34,FALSE)*$H31),0)</f>
        <v>0</v>
      </c>
      <c r="AT31" s="22">
        <f ca="1">IF($L31&lt;&gt;0,VLOOKUP($N31,'Allocation Factors'!$B$12:$AU$603,35,FALSE)*$L31,0)+IF($H31&lt;&gt;0,(VLOOKUP($J31,'Allocation Factors'!$B$12:$AU$603,35,FALSE)*$H31),0)</f>
        <v>0</v>
      </c>
      <c r="AU31" s="22">
        <f ca="1">IF($L31&lt;&gt;0,VLOOKUP($N31,'Allocation Factors'!$B$12:$AU$603,36,FALSE)*$L31,0)+IF($H31&lt;&gt;0,(VLOOKUP($J31,'Allocation Factors'!$B$12:$AU$603,36,FALSE)*$H31),0)</f>
        <v>0</v>
      </c>
      <c r="AV31" s="22">
        <f ca="1">IF($L31&lt;&gt;0,VLOOKUP($N31,'Allocation Factors'!$B$12:$AU$603,37,FALSE)*$L31,0)+IF($H31&lt;&gt;0,(VLOOKUP($J31,'Allocation Factors'!$B$12:$AU$603,37,FALSE)*$H31),0)</f>
        <v>0</v>
      </c>
      <c r="AW31" s="22">
        <f ca="1">IF($L31&lt;&gt;0,VLOOKUP($N31,'Allocation Factors'!$B$12:$AU$603,38,FALSE)*$L31,0)+IF($H31&lt;&gt;0,(VLOOKUP($J31,'Allocation Factors'!$B$12:$AU$603,38,FALSE)*$H31),0)</f>
        <v>0</v>
      </c>
      <c r="AX31" s="22">
        <f ca="1">IF($L31&lt;&gt;0,VLOOKUP($N31,'Allocation Factors'!$B$12:$AU$603,39,FALSE)*$L31,0)+IF($H31&lt;&gt;0,(VLOOKUP($J31,'Allocation Factors'!$B$12:$AU$603,39,FALSE)*$H31),0)</f>
        <v>0</v>
      </c>
      <c r="AY31" s="22">
        <f ca="1">IF($L31&lt;&gt;0,VLOOKUP($N31,'Allocation Factors'!$B$12:$AU$603,40,FALSE)*$L31,0)+IF($H31&lt;&gt;0,(VLOOKUP($J31,'Allocation Factors'!$B$12:$AU$603,40,FALSE)*$H31),0)</f>
        <v>0</v>
      </c>
      <c r="AZ31" s="22">
        <f ca="1">IF($L31&lt;&gt;0,VLOOKUP($N31,'Allocation Factors'!$B$12:$AU$603,41,FALSE)*$L31,0)+IF($H31&lt;&gt;0,(VLOOKUP($J31,'Allocation Factors'!$B$12:$AU$603,41,FALSE)*$H31),0)</f>
        <v>0</v>
      </c>
      <c r="BA31" s="22">
        <f ca="1">IF($L31&lt;&gt;0,VLOOKUP($N31,'Allocation Factors'!$B$12:$AU$603,42,FALSE)*$L31,0)+IF($H31&lt;&gt;0,(VLOOKUP($J31,'Allocation Factors'!$B$12:$AU$603,42,FALSE)*$H31),0)</f>
        <v>0</v>
      </c>
      <c r="BB31" s="22">
        <f ca="1">IF($L31&lt;&gt;0,VLOOKUP($N31,'Allocation Factors'!$B$12:$AU$603,43,FALSE)*$L31,0)+IF($H31&lt;&gt;0,(VLOOKUP($J31,'Allocation Factors'!$B$12:$AU$603,43,FALSE)*$H31),0)</f>
        <v>0</v>
      </c>
      <c r="BC31" s="22">
        <f ca="1">IF($L31&lt;&gt;0,VLOOKUP($N31,'Allocation Factors'!$B$12:$AU$603,44,FALSE)*$L31,0)+IF($H31&lt;&gt;0,(VLOOKUP($J31,'Allocation Factors'!$B$12:$AU$603,44,FALSE)*$H31),0)</f>
        <v>0</v>
      </c>
      <c r="BD31" s="22">
        <f ca="1">IF($L31&lt;&gt;0,VLOOKUP($N31,'Allocation Factors'!$B$12:$AU$603,45,FALSE)*$L31,0)+IF($H31&lt;&gt;0,(VLOOKUP($J31,'Allocation Factors'!$B$12:$AU$603,45,FALSE)*$H31),0)</f>
        <v>0</v>
      </c>
      <c r="BE31" s="22">
        <f ca="1">IF($L31&lt;&gt;0,VLOOKUP($N31,'Allocation Factors'!$B$12:$AU$603,46,FALSE)*$L31,0)+IF($H31&lt;&gt;0,(VLOOKUP($J31,'Allocation Factors'!$B$12:$AU$603,46,FALSE)*$H31),0)</f>
        <v>0</v>
      </c>
      <c r="BF31" s="9"/>
    </row>
    <row r="32" spans="1:58" x14ac:dyDescent="0.25">
      <c r="A32" s="2">
        <f t="shared" si="10"/>
        <v>18</v>
      </c>
      <c r="B32" s="73" t="s">
        <v>169</v>
      </c>
      <c r="D32" s="22">
        <f ca="1">SUM('Transmission Class'!Z116:Z120,'Transmission Class'!Z122)</f>
        <v>1285.4070408906441</v>
      </c>
      <c r="E32" s="22"/>
      <c r="F32" s="22">
        <f t="shared" ca="1" si="8"/>
        <v>1285.4070408906441</v>
      </c>
      <c r="L32" s="22">
        <f t="shared" ca="1" si="9"/>
        <v>1285.4070408906441</v>
      </c>
      <c r="N32" s="28" t="str">
        <f>'Total ALLOCATION'!N32</f>
        <v>PAN_STCLAIR</v>
      </c>
      <c r="P32" s="22">
        <f ca="1">IF($L32&lt;&gt;0,VLOOKUP($N32,'Allocation Factors'!$B$12:$AU$603,5,FALSE)*$L32,0)+IF($H32&lt;&gt;0,(VLOOKUP($J32,'Allocation Factors'!$B$12:$AU$603,5,FALSE)*$H32),0)</f>
        <v>246.16994857626977</v>
      </c>
      <c r="Q32" s="22">
        <f ca="1">IF($L32&lt;&gt;0,VLOOKUP($N32,'Allocation Factors'!$B$12:$AU$603,6,FALSE)*$L32,0)+IF($H32&lt;&gt;0,(VLOOKUP($J32,'Allocation Factors'!$B$12:$AU$603,6,FALSE)*$H32),0)</f>
        <v>219.68024325885989</v>
      </c>
      <c r="R32" s="22">
        <f ca="1">IF($L32&lt;&gt;0,VLOOKUP($N32,'Allocation Factors'!$B$12:$AU$603,7,FALSE)*$L32,0)+IF($H32&lt;&gt;0,(VLOOKUP($J32,'Allocation Factors'!$B$12:$AU$603,7,FALSE)*$H32),0)</f>
        <v>0</v>
      </c>
      <c r="S32" s="22">
        <f ca="1">IF($L32&lt;&gt;0,VLOOKUP($N32,'Allocation Factors'!$B$12:$AU$603,8,FALSE)*$L32,0)+IF($H32&lt;&gt;0,(VLOOKUP($J32,'Allocation Factors'!$B$12:$AU$603,8,FALSE)*$H32),0)</f>
        <v>0.77484430414843264</v>
      </c>
      <c r="T32" s="22">
        <f ca="1">IF($L32&lt;&gt;0,VLOOKUP($N32,'Allocation Factors'!$B$12:$AU$603,9,FALSE)*$L32,0)+IF($H32&lt;&gt;0,(VLOOKUP($J32,'Allocation Factors'!$B$12:$AU$603,9,FALSE)*$H32),0)</f>
        <v>25.206819738393069</v>
      </c>
      <c r="U32" s="22">
        <f ca="1">IF($L32&lt;&gt;0,VLOOKUP($N32,'Allocation Factors'!$B$12:$AU$603,10,FALSE)*$L32,0)+IF($H32&lt;&gt;0,(VLOOKUP($J32,'Allocation Factors'!$B$12:$AU$603,10,FALSE)*$H32),0)</f>
        <v>5.2974531525813759</v>
      </c>
      <c r="V32" s="22">
        <f ca="1">IF($L32&lt;&gt;0,VLOOKUP($N32,'Allocation Factors'!$B$12:$AU$603,11,FALSE)*$L32,0)+IF($H32&lt;&gt;0,(VLOOKUP($J32,'Allocation Factors'!$B$12:$AU$603,11,FALSE)*$H32),0)</f>
        <v>0</v>
      </c>
      <c r="W32" s="22">
        <f ca="1">IF($L32&lt;&gt;0,VLOOKUP($N32,'Allocation Factors'!$B$12:$AU$603,12,FALSE)*$L32,0)+IF($H32&lt;&gt;0,(VLOOKUP($J32,'Allocation Factors'!$B$12:$AU$603,12,FALSE)*$H32),0)</f>
        <v>8.7833030478296936E-2</v>
      </c>
      <c r="X32" s="22">
        <f ca="1">IF($L32&lt;&gt;0,VLOOKUP($N32,'Allocation Factors'!$B$12:$AU$603,13,FALSE)*$L32,0)+IF($H32&lt;&gt;0,(VLOOKUP($J32,'Allocation Factors'!$B$12:$AU$603,13,FALSE)*$H32),0)</f>
        <v>0</v>
      </c>
      <c r="Y32" s="22">
        <f ca="1">IF($L32&lt;&gt;0,VLOOKUP($N32,'Allocation Factors'!$B$12:$AU$603,14,FALSE)*$L32,0)+IF($H32&lt;&gt;0,(VLOOKUP($J32,'Allocation Factors'!$B$12:$AU$603,14,FALSE)*$H32),0)</f>
        <v>0</v>
      </c>
      <c r="Z32" s="22">
        <f ca="1">IF($L32&lt;&gt;0,VLOOKUP($N32,'Allocation Factors'!$B$12:$AU$603,15,FALSE)*$L32,0)+IF($H32&lt;&gt;0,(VLOOKUP($J32,'Allocation Factors'!$B$12:$AU$603,15,FALSE)*$H32),0)</f>
        <v>5.8446100577983264</v>
      </c>
      <c r="AA32" s="22">
        <f ca="1">IF($L32&lt;&gt;0,VLOOKUP($N32,'Allocation Factors'!$B$12:$AU$603,16,FALSE)*$L32,0)+IF($H32&lt;&gt;0,(VLOOKUP($J32,'Allocation Factors'!$B$12:$AU$603,16,FALSE)*$H32),0)</f>
        <v>0</v>
      </c>
      <c r="AB32" s="22">
        <f ca="1">IF($L32&lt;&gt;0,VLOOKUP($N32,'Allocation Factors'!$B$12:$AU$603,17,FALSE)*$L32,0)+IF($H32&lt;&gt;0,(VLOOKUP($J32,'Allocation Factors'!$B$12:$AU$603,17,FALSE)*$H32),0)</f>
        <v>0</v>
      </c>
      <c r="AC32" s="22">
        <f ca="1">IF($L32&lt;&gt;0,VLOOKUP($N32,'Allocation Factors'!$B$12:$AU$603,18,FALSE)*$L32,0)+IF($H32&lt;&gt;0,(VLOOKUP($J32,'Allocation Factors'!$B$12:$AU$603,18,FALSE)*$H32),0)</f>
        <v>45.316059728178885</v>
      </c>
      <c r="AD32" s="22">
        <f ca="1">IF($L32&lt;&gt;0,VLOOKUP($N32,'Allocation Factors'!$B$12:$AU$603,19,FALSE)*$L32,0)+IF($H32&lt;&gt;0,(VLOOKUP($J32,'Allocation Factors'!$B$12:$AU$603,19,FALSE)*$H32),0)</f>
        <v>13.37812706636957</v>
      </c>
      <c r="AE32" s="22">
        <f ca="1">IF($L32&lt;&gt;0,VLOOKUP($N32,'Allocation Factors'!$B$12:$AU$603,20,FALSE)*$L32,0)+IF($H32&lt;&gt;0,(VLOOKUP($J32,'Allocation Factors'!$B$12:$AU$603,20,FALSE)*$H32),0)</f>
        <v>3.0332730976338036</v>
      </c>
      <c r="AF32" s="22">
        <f ca="1">IF($L32&lt;&gt;0,VLOOKUP($N32,'Allocation Factors'!$B$12:$AU$603,21,FALSE)*$L32,0)+IF($H32&lt;&gt;0,(VLOOKUP($J32,'Allocation Factors'!$B$12:$AU$603,21,FALSE)*$H32),0)</f>
        <v>0</v>
      </c>
      <c r="AG32" s="22">
        <f ca="1">IF($L32&lt;&gt;0,VLOOKUP($N32,'Allocation Factors'!$B$12:$AU$603,22,FALSE)*$L32,0)+IF($H32&lt;&gt;0,(VLOOKUP($J32,'Allocation Factors'!$B$12:$AU$603,22,FALSE)*$H32),0)</f>
        <v>0</v>
      </c>
      <c r="AH32" s="22">
        <f ca="1">IF($L32&lt;&gt;0,VLOOKUP($N32,'Allocation Factors'!$B$12:$AU$603,23,FALSE)*$L32,0)+IF($H32&lt;&gt;0,(VLOOKUP($J32,'Allocation Factors'!$B$12:$AU$603,23,FALSE)*$H32),0)</f>
        <v>144.9977610881628</v>
      </c>
      <c r="AI32" s="22">
        <f ca="1">IF($L32&lt;&gt;0,VLOOKUP($N32,'Allocation Factors'!$B$12:$AU$603,24,FALSE)*$L32,0)+IF($H32&lt;&gt;0,(VLOOKUP($J32,'Allocation Factors'!$B$12:$AU$603,24,FALSE)*$H32),0)</f>
        <v>53.725903102876046</v>
      </c>
      <c r="AJ32" s="22">
        <f ca="1">IF($L32&lt;&gt;0,VLOOKUP($N32,'Allocation Factors'!$B$12:$AU$603,25,FALSE)*$L32,0)+IF($H32&lt;&gt;0,(VLOOKUP($J32,'Allocation Factors'!$B$12:$AU$603,25,FALSE)*$H32),0)</f>
        <v>19.124670198019324</v>
      </c>
      <c r="AK32" s="22">
        <f ca="1">IF($L32&lt;&gt;0,VLOOKUP($N32,'Allocation Factors'!$B$12:$AU$603,26,FALSE)*$L32,0)+IF($H32&lt;&gt;0,(VLOOKUP($J32,'Allocation Factors'!$B$12:$AU$603,26,FALSE)*$H32),0)</f>
        <v>0</v>
      </c>
      <c r="AL32" s="22">
        <f ca="1">IF($L32&lt;&gt;0,VLOOKUP($N32,'Allocation Factors'!$B$12:$AU$603,27,FALSE)*$L32,0)+IF($H32&lt;&gt;0,(VLOOKUP($J32,'Allocation Factors'!$B$12:$AU$603,27,FALSE)*$H32),0)</f>
        <v>0.1680051155660709</v>
      </c>
      <c r="AM32" s="22">
        <f ca="1">IF($L32&lt;&gt;0,VLOOKUP($N32,'Allocation Factors'!$B$12:$AU$603,28,FALSE)*$L32,0)+IF($H32&lt;&gt;0,(VLOOKUP($J32,'Allocation Factors'!$B$12:$AU$603,28,FALSE)*$H32),0)</f>
        <v>0</v>
      </c>
      <c r="AN32" s="22">
        <f ca="1">IF($L32&lt;&gt;0,VLOOKUP($N32,'Allocation Factors'!$B$12:$AU$603,29,FALSE)*$L32,0)+IF($H32&lt;&gt;0,(VLOOKUP($J32,'Allocation Factors'!$B$12:$AU$603,29,FALSE)*$H32),0)</f>
        <v>28.288758531518827</v>
      </c>
      <c r="AO32" s="22">
        <f ca="1">IF($L32&lt;&gt;0,VLOOKUP($N32,'Allocation Factors'!$B$12:$AU$603,30,FALSE)*$L32,0)+IF($H32&lt;&gt;0,(VLOOKUP($J32,'Allocation Factors'!$B$12:$AU$603,30,FALSE)*$H32),0)</f>
        <v>0</v>
      </c>
      <c r="AP32" s="22">
        <f ca="1">IF($L32&lt;&gt;0,VLOOKUP($N32,'Allocation Factors'!$B$12:$AU$603,31,FALSE)*$L32,0)+IF($H32&lt;&gt;0,(VLOOKUP($J32,'Allocation Factors'!$B$12:$AU$603,31,FALSE)*$H32),0)</f>
        <v>2.3094055937940192</v>
      </c>
      <c r="AQ32" s="22">
        <f ca="1">IF($L32&lt;&gt;0,VLOOKUP($N32,'Allocation Factors'!$B$12:$AU$603,32,FALSE)*$L32,0)+IF($H32&lt;&gt;0,(VLOOKUP($J32,'Allocation Factors'!$B$12:$AU$603,32,FALSE)*$H32),0)</f>
        <v>0</v>
      </c>
      <c r="AR32" s="22">
        <f ca="1">IF($L32&lt;&gt;0,VLOOKUP($N32,'Allocation Factors'!$B$12:$AU$603,33,FALSE)*$L32,0)+IF($H32&lt;&gt;0,(VLOOKUP($J32,'Allocation Factors'!$B$12:$AU$603,33,FALSE)*$H32),0)</f>
        <v>31.713051242895048</v>
      </c>
      <c r="AS32" s="22">
        <f ca="1">IF($L32&lt;&gt;0,VLOOKUP($N32,'Allocation Factors'!$B$12:$AU$603,34,FALSE)*$L32,0)+IF($H32&lt;&gt;0,(VLOOKUP($J32,'Allocation Factors'!$B$12:$AU$603,34,FALSE)*$H32),0)</f>
        <v>0</v>
      </c>
      <c r="AT32" s="22">
        <f ca="1">IF($L32&lt;&gt;0,VLOOKUP($N32,'Allocation Factors'!$B$12:$AU$603,35,FALSE)*$L32,0)+IF($H32&lt;&gt;0,(VLOOKUP($J32,'Allocation Factors'!$B$12:$AU$603,35,FALSE)*$H32),0)</f>
        <v>400.56323771079087</v>
      </c>
      <c r="AU32" s="22">
        <f ca="1">IF($L32&lt;&gt;0,VLOOKUP($N32,'Allocation Factors'!$B$12:$AU$603,36,FALSE)*$L32,0)+IF($H32&lt;&gt;0,(VLOOKUP($J32,'Allocation Factors'!$B$12:$AU$603,36,FALSE)*$H32),0)</f>
        <v>0</v>
      </c>
      <c r="AV32" s="22">
        <f ca="1">IF($L32&lt;&gt;0,VLOOKUP($N32,'Allocation Factors'!$B$12:$AU$603,37,FALSE)*$L32,0)+IF($H32&lt;&gt;0,(VLOOKUP($J32,'Allocation Factors'!$B$12:$AU$603,37,FALSE)*$H32),0)</f>
        <v>39.727036296309656</v>
      </c>
      <c r="AW32" s="22">
        <f ca="1">IF($L32&lt;&gt;0,VLOOKUP($N32,'Allocation Factors'!$B$12:$AU$603,38,FALSE)*$L32,0)+IF($H32&lt;&gt;0,(VLOOKUP($J32,'Allocation Factors'!$B$12:$AU$603,38,FALSE)*$H32),0)</f>
        <v>0</v>
      </c>
      <c r="AX32" s="22">
        <f ca="1">IF($L32&lt;&gt;0,VLOOKUP($N32,'Allocation Factors'!$B$12:$AU$603,39,FALSE)*$L32,0)+IF($H32&lt;&gt;0,(VLOOKUP($J32,'Allocation Factors'!$B$12:$AU$603,39,FALSE)*$H32),0)</f>
        <v>0</v>
      </c>
      <c r="AY32" s="22">
        <f ca="1">IF($L32&lt;&gt;0,VLOOKUP($N32,'Allocation Factors'!$B$12:$AU$603,40,FALSE)*$L32,0)+IF($H32&lt;&gt;0,(VLOOKUP($J32,'Allocation Factors'!$B$12:$AU$603,40,FALSE)*$H32),0)</f>
        <v>0</v>
      </c>
      <c r="AZ32" s="22">
        <f ca="1">IF($L32&lt;&gt;0,VLOOKUP($N32,'Allocation Factors'!$B$12:$AU$603,41,FALSE)*$L32,0)+IF($H32&lt;&gt;0,(VLOOKUP($J32,'Allocation Factors'!$B$12:$AU$603,41,FALSE)*$H32),0)</f>
        <v>0</v>
      </c>
      <c r="BA32" s="22">
        <f ca="1">IF($L32&lt;&gt;0,VLOOKUP($N32,'Allocation Factors'!$B$12:$AU$603,42,FALSE)*$L32,0)+IF($H32&lt;&gt;0,(VLOOKUP($J32,'Allocation Factors'!$B$12:$AU$603,42,FALSE)*$H32),0)</f>
        <v>0</v>
      </c>
      <c r="BB32" s="22">
        <f ca="1">IF($L32&lt;&gt;0,VLOOKUP($N32,'Allocation Factors'!$B$12:$AU$603,43,FALSE)*$L32,0)+IF($H32&lt;&gt;0,(VLOOKUP($J32,'Allocation Factors'!$B$12:$AU$603,43,FALSE)*$H32),0)</f>
        <v>0</v>
      </c>
      <c r="BC32" s="22">
        <f ca="1">IF($L32&lt;&gt;0,VLOOKUP($N32,'Allocation Factors'!$B$12:$AU$603,44,FALSE)*$L32,0)+IF($H32&lt;&gt;0,(VLOOKUP($J32,'Allocation Factors'!$B$12:$AU$603,44,FALSE)*$H32),0)</f>
        <v>0</v>
      </c>
      <c r="BD32" s="22">
        <f ca="1">IF($L32&lt;&gt;0,VLOOKUP($N32,'Allocation Factors'!$B$12:$AU$603,45,FALSE)*$L32,0)+IF($H32&lt;&gt;0,(VLOOKUP($J32,'Allocation Factors'!$B$12:$AU$603,45,FALSE)*$H32),0)</f>
        <v>0</v>
      </c>
      <c r="BE32" s="22">
        <f ca="1">IF($L32&lt;&gt;0,VLOOKUP($N32,'Allocation Factors'!$B$12:$AU$603,46,FALSE)*$L32,0)+IF($H32&lt;&gt;0,(VLOOKUP($J32,'Allocation Factors'!$B$12:$AU$603,46,FALSE)*$H32),0)</f>
        <v>0</v>
      </c>
      <c r="BF32" s="9"/>
    </row>
    <row r="33" spans="1:58" x14ac:dyDescent="0.25">
      <c r="A33" s="2">
        <f t="shared" si="10"/>
        <v>19</v>
      </c>
      <c r="B33" s="73" t="s">
        <v>118</v>
      </c>
      <c r="D33" s="22">
        <f ca="1">SUM('Transmission Class'!AB116:AB120,'Transmission Class'!AB122)</f>
        <v>45233.68549255206</v>
      </c>
      <c r="E33" s="22"/>
      <c r="F33" s="22">
        <f t="shared" ca="1" si="8"/>
        <v>45233.68549255206</v>
      </c>
      <c r="H33" s="22">
        <f ca="1">'Total ALLOCATION'!H33</f>
        <v>26965.613624531987</v>
      </c>
      <c r="J33" s="28" t="str">
        <f>'Total ALLOCATION'!J33</f>
        <v>TRANS_COMPFUEL</v>
      </c>
      <c r="L33" s="22">
        <f t="shared" ca="1" si="9"/>
        <v>18268.071868020073</v>
      </c>
      <c r="N33" s="28" t="str">
        <f>'Total ALLOCATION'!N33</f>
        <v>TRANSCOMM</v>
      </c>
      <c r="P33" s="22">
        <f ca="1">IF($L33&lt;&gt;0,VLOOKUP($N33,'Allocation Factors'!$B$12:$AU$603,5,FALSE)*$L33,0)+IF($H33&lt;&gt;0,(VLOOKUP($J33,'Allocation Factors'!$B$12:$AU$603,5,FALSE)*$H33),0)</f>
        <v>2637.6966151312204</v>
      </c>
      <c r="Q33" s="22">
        <f ca="1">IF($L33&lt;&gt;0,VLOOKUP($N33,'Allocation Factors'!$B$12:$AU$603,6,FALSE)*$L33,0)+IF($H33&lt;&gt;0,(VLOOKUP($J33,'Allocation Factors'!$B$12:$AU$603,6,FALSE)*$H33),0)</f>
        <v>2529.3974185370312</v>
      </c>
      <c r="R33" s="22">
        <f ca="1">IF($L33&lt;&gt;0,VLOOKUP($N33,'Allocation Factors'!$B$12:$AU$603,7,FALSE)*$L33,0)+IF($H33&lt;&gt;0,(VLOOKUP($J33,'Allocation Factors'!$B$12:$AU$603,7,FALSE)*$H33),0)</f>
        <v>0</v>
      </c>
      <c r="S33" s="22">
        <f ca="1">IF($L33&lt;&gt;0,VLOOKUP($N33,'Allocation Factors'!$B$12:$AU$603,8,FALSE)*$L33,0)+IF($H33&lt;&gt;0,(VLOOKUP($J33,'Allocation Factors'!$B$12:$AU$603,8,FALSE)*$H33),0)</f>
        <v>14.466984006005161</v>
      </c>
      <c r="T33" s="22">
        <f ca="1">IF($L33&lt;&gt;0,VLOOKUP($N33,'Allocation Factors'!$B$12:$AU$603,9,FALSE)*$L33,0)+IF($H33&lt;&gt;0,(VLOOKUP($J33,'Allocation Factors'!$B$12:$AU$603,9,FALSE)*$H33),0)</f>
        <v>563.44461532624314</v>
      </c>
      <c r="U33" s="22">
        <f ca="1">IF($L33&lt;&gt;0,VLOOKUP($N33,'Allocation Factors'!$B$12:$AU$603,10,FALSE)*$L33,0)+IF($H33&lt;&gt;0,(VLOOKUP($J33,'Allocation Factors'!$B$12:$AU$603,10,FALSE)*$H33),0)</f>
        <v>201.41163844849319</v>
      </c>
      <c r="V33" s="22">
        <f ca="1">IF($L33&lt;&gt;0,VLOOKUP($N33,'Allocation Factors'!$B$12:$AU$603,11,FALSE)*$L33,0)+IF($H33&lt;&gt;0,(VLOOKUP($J33,'Allocation Factors'!$B$12:$AU$603,11,FALSE)*$H33),0)</f>
        <v>0</v>
      </c>
      <c r="W33" s="22">
        <f ca="1">IF($L33&lt;&gt;0,VLOOKUP($N33,'Allocation Factors'!$B$12:$AU$603,12,FALSE)*$L33,0)+IF($H33&lt;&gt;0,(VLOOKUP($J33,'Allocation Factors'!$B$12:$AU$603,12,FALSE)*$H33),0)</f>
        <v>27.76739546830736</v>
      </c>
      <c r="X33" s="22">
        <f ca="1">IF($L33&lt;&gt;0,VLOOKUP($N33,'Allocation Factors'!$B$12:$AU$603,13,FALSE)*$L33,0)+IF($H33&lt;&gt;0,(VLOOKUP($J33,'Allocation Factors'!$B$12:$AU$603,13,FALSE)*$H33),0)</f>
        <v>8.2878720607602538</v>
      </c>
      <c r="Y33" s="22">
        <f ca="1">IF($L33&lt;&gt;0,VLOOKUP($N33,'Allocation Factors'!$B$12:$AU$603,14,FALSE)*$L33,0)+IF($H33&lt;&gt;0,(VLOOKUP($J33,'Allocation Factors'!$B$12:$AU$603,14,FALSE)*$H33),0)</f>
        <v>170.49404801311661</v>
      </c>
      <c r="Z33" s="22">
        <f ca="1">IF($L33&lt;&gt;0,VLOOKUP($N33,'Allocation Factors'!$B$12:$AU$603,15,FALSE)*$L33,0)+IF($H33&lt;&gt;0,(VLOOKUP($J33,'Allocation Factors'!$B$12:$AU$603,15,FALSE)*$H33),0)</f>
        <v>99.606454989162032</v>
      </c>
      <c r="AA33" s="22">
        <f ca="1">IF($L33&lt;&gt;0,VLOOKUP($N33,'Allocation Factors'!$B$12:$AU$603,16,FALSE)*$L33,0)+IF($H33&lt;&gt;0,(VLOOKUP($J33,'Allocation Factors'!$B$12:$AU$603,16,FALSE)*$H33),0)</f>
        <v>0</v>
      </c>
      <c r="AB33" s="22">
        <f ca="1">IF($L33&lt;&gt;0,VLOOKUP($N33,'Allocation Factors'!$B$12:$AU$603,17,FALSE)*$L33,0)+IF($H33&lt;&gt;0,(VLOOKUP($J33,'Allocation Factors'!$B$12:$AU$603,17,FALSE)*$H33),0)</f>
        <v>13.48588314535748</v>
      </c>
      <c r="AC33" s="22">
        <f ca="1">IF($L33&lt;&gt;0,VLOOKUP($N33,'Allocation Factors'!$B$12:$AU$603,18,FALSE)*$L33,0)+IF($H33&lt;&gt;0,(VLOOKUP($J33,'Allocation Factors'!$B$12:$AU$603,18,FALSE)*$H33),0)</f>
        <v>521.63171183821589</v>
      </c>
      <c r="AD33" s="22">
        <f ca="1">IF($L33&lt;&gt;0,VLOOKUP($N33,'Allocation Factors'!$B$12:$AU$603,19,FALSE)*$L33,0)+IF($H33&lt;&gt;0,(VLOOKUP($J33,'Allocation Factors'!$B$12:$AU$603,19,FALSE)*$H33),0)</f>
        <v>170.93677303783849</v>
      </c>
      <c r="AE33" s="22">
        <f ca="1">IF($L33&lt;&gt;0,VLOOKUP($N33,'Allocation Factors'!$B$12:$AU$603,20,FALSE)*$L33,0)+IF($H33&lt;&gt;0,(VLOOKUP($J33,'Allocation Factors'!$B$12:$AU$603,20,FALSE)*$H33),0)</f>
        <v>71.374543078410667</v>
      </c>
      <c r="AF33" s="22">
        <f ca="1">IF($L33&lt;&gt;0,VLOOKUP($N33,'Allocation Factors'!$B$12:$AU$603,21,FALSE)*$L33,0)+IF($H33&lt;&gt;0,(VLOOKUP($J33,'Allocation Factors'!$B$12:$AU$603,21,FALSE)*$H33),0)</f>
        <v>3.0078108874304226</v>
      </c>
      <c r="AG33" s="22">
        <f ca="1">IF($L33&lt;&gt;0,VLOOKUP($N33,'Allocation Factors'!$B$12:$AU$603,22,FALSE)*$L33,0)+IF($H33&lt;&gt;0,(VLOOKUP($J33,'Allocation Factors'!$B$12:$AU$603,22,FALSE)*$H33),0)</f>
        <v>0</v>
      </c>
      <c r="AH33" s="22">
        <f ca="1">IF($L33&lt;&gt;0,VLOOKUP($N33,'Allocation Factors'!$B$12:$AU$603,23,FALSE)*$L33,0)+IF($H33&lt;&gt;0,(VLOOKUP($J33,'Allocation Factors'!$B$12:$AU$603,23,FALSE)*$H33),0)</f>
        <v>1716.8576441661201</v>
      </c>
      <c r="AI33" s="22">
        <f ca="1">IF($L33&lt;&gt;0,VLOOKUP($N33,'Allocation Factors'!$B$12:$AU$603,24,FALSE)*$L33,0)+IF($H33&lt;&gt;0,(VLOOKUP($J33,'Allocation Factors'!$B$12:$AU$603,24,FALSE)*$H33),0)</f>
        <v>695.88003486067021</v>
      </c>
      <c r="AJ33" s="22">
        <f ca="1">IF($L33&lt;&gt;0,VLOOKUP($N33,'Allocation Factors'!$B$12:$AU$603,25,FALSE)*$L33,0)+IF($H33&lt;&gt;0,(VLOOKUP($J33,'Allocation Factors'!$B$12:$AU$603,25,FALSE)*$H33),0)</f>
        <v>313.11542506867789</v>
      </c>
      <c r="AK33" s="22">
        <f ca="1">IF($L33&lt;&gt;0,VLOOKUP($N33,'Allocation Factors'!$B$12:$AU$603,26,FALSE)*$L33,0)+IF($H33&lt;&gt;0,(VLOOKUP($J33,'Allocation Factors'!$B$12:$AU$603,26,FALSE)*$H33),0)</f>
        <v>0.12553366625865775</v>
      </c>
      <c r="AL33" s="22">
        <f ca="1">IF($L33&lt;&gt;0,VLOOKUP($N33,'Allocation Factors'!$B$12:$AU$603,27,FALSE)*$L33,0)+IF($H33&lt;&gt;0,(VLOOKUP($J33,'Allocation Factors'!$B$12:$AU$603,27,FALSE)*$H33),0)</f>
        <v>2.3237964992295943</v>
      </c>
      <c r="AM33" s="22">
        <f ca="1">IF($L33&lt;&gt;0,VLOOKUP($N33,'Allocation Factors'!$B$12:$AU$603,28,FALSE)*$L33,0)+IF($H33&lt;&gt;0,(VLOOKUP($J33,'Allocation Factors'!$B$12:$AU$603,28,FALSE)*$H33),0)</f>
        <v>29.054604750274617</v>
      </c>
      <c r="AN33" s="22">
        <f ca="1">IF($L33&lt;&gt;0,VLOOKUP($N33,'Allocation Factors'!$B$12:$AU$603,29,FALSE)*$L33,0)+IF($H33&lt;&gt;0,(VLOOKUP($J33,'Allocation Factors'!$B$12:$AU$603,29,FALSE)*$H33),0)</f>
        <v>376.44737237745363</v>
      </c>
      <c r="AO33" s="22">
        <f ca="1">IF($L33&lt;&gt;0,VLOOKUP($N33,'Allocation Factors'!$B$12:$AU$603,30,FALSE)*$L33,0)+IF($H33&lt;&gt;0,(VLOOKUP($J33,'Allocation Factors'!$B$12:$AU$603,30,FALSE)*$H33),0)</f>
        <v>40.084242179340094</v>
      </c>
      <c r="AP33" s="22">
        <f ca="1">IF($L33&lt;&gt;0,VLOOKUP($N33,'Allocation Factors'!$B$12:$AU$603,31,FALSE)*$L33,0)+IF($H33&lt;&gt;0,(VLOOKUP($J33,'Allocation Factors'!$B$12:$AU$603,31,FALSE)*$H33),0)</f>
        <v>47.507518490222388</v>
      </c>
      <c r="AQ33" s="22">
        <f ca="1">IF($L33&lt;&gt;0,VLOOKUP($N33,'Allocation Factors'!$B$12:$AU$603,32,FALSE)*$L33,0)+IF($H33&lt;&gt;0,(VLOOKUP($J33,'Allocation Factors'!$B$12:$AU$603,32,FALSE)*$H33),0)</f>
        <v>0</v>
      </c>
      <c r="AR33" s="22">
        <f ca="1">IF($L33&lt;&gt;0,VLOOKUP($N33,'Allocation Factors'!$B$12:$AU$603,33,FALSE)*$L33,0)+IF($H33&lt;&gt;0,(VLOOKUP($J33,'Allocation Factors'!$B$12:$AU$603,33,FALSE)*$H33),0)</f>
        <v>228.12282385375616</v>
      </c>
      <c r="AS33" s="22">
        <f ca="1">IF($L33&lt;&gt;0,VLOOKUP($N33,'Allocation Factors'!$B$12:$AU$603,34,FALSE)*$L33,0)+IF($H33&lt;&gt;0,(VLOOKUP($J33,'Allocation Factors'!$B$12:$AU$603,34,FALSE)*$H33),0)</f>
        <v>21.74633063892632</v>
      </c>
      <c r="AT33" s="22">
        <f ca="1">IF($L33&lt;&gt;0,VLOOKUP($N33,'Allocation Factors'!$B$12:$AU$603,35,FALSE)*$L33,0)+IF($H33&lt;&gt;0,(VLOOKUP($J33,'Allocation Factors'!$B$12:$AU$603,35,FALSE)*$H33),0)</f>
        <v>2875.8427877924319</v>
      </c>
      <c r="AU33" s="22">
        <f ca="1">IF($L33&lt;&gt;0,VLOOKUP($N33,'Allocation Factors'!$B$12:$AU$603,36,FALSE)*$L33,0)+IF($H33&lt;&gt;0,(VLOOKUP($J33,'Allocation Factors'!$B$12:$AU$603,36,FALSE)*$H33),0)</f>
        <v>24.195097471797311</v>
      </c>
      <c r="AV33" s="22">
        <f ca="1">IF($L33&lt;&gt;0,VLOOKUP($N33,'Allocation Factors'!$B$12:$AU$603,37,FALSE)*$L33,0)+IF($H33&lt;&gt;0,(VLOOKUP($J33,'Allocation Factors'!$B$12:$AU$603,37,FALSE)*$H33),0)</f>
        <v>144.3750215530068</v>
      </c>
      <c r="AW33" s="22">
        <f ca="1">IF($L33&lt;&gt;0,VLOOKUP($N33,'Allocation Factors'!$B$12:$AU$603,38,FALSE)*$L33,0)+IF($H33&lt;&gt;0,(VLOOKUP($J33,'Allocation Factors'!$B$12:$AU$603,38,FALSE)*$H33),0)</f>
        <v>0</v>
      </c>
      <c r="AX33" s="22">
        <f ca="1">IF($L33&lt;&gt;0,VLOOKUP($N33,'Allocation Factors'!$B$12:$AU$603,39,FALSE)*$L33,0)+IF($H33&lt;&gt;0,(VLOOKUP($J33,'Allocation Factors'!$B$12:$AU$603,39,FALSE)*$H33),0)</f>
        <v>0</v>
      </c>
      <c r="AY33" s="22">
        <f ca="1">IF($L33&lt;&gt;0,VLOOKUP($N33,'Allocation Factors'!$B$12:$AU$603,40,FALSE)*$L33,0)+IF($H33&lt;&gt;0,(VLOOKUP($J33,'Allocation Factors'!$B$12:$AU$603,40,FALSE)*$H33),0)</f>
        <v>0</v>
      </c>
      <c r="AZ33" s="22">
        <f ca="1">IF($L33&lt;&gt;0,VLOOKUP($N33,'Allocation Factors'!$B$12:$AU$603,41,FALSE)*$L33,0)+IF($H33&lt;&gt;0,(VLOOKUP($J33,'Allocation Factors'!$B$12:$AU$603,41,FALSE)*$H33),0)</f>
        <v>7629.4715431181521</v>
      </c>
      <c r="BA33" s="22">
        <f ca="1">IF($L33&lt;&gt;0,VLOOKUP($N33,'Allocation Factors'!$B$12:$AU$603,42,FALSE)*$L33,0)+IF($H33&lt;&gt;0,(VLOOKUP($J33,'Allocation Factors'!$B$12:$AU$603,42,FALSE)*$H33),0)</f>
        <v>3069.6510531900212</v>
      </c>
      <c r="BB33" s="22">
        <f ca="1">IF($L33&lt;&gt;0,VLOOKUP($N33,'Allocation Factors'!$B$12:$AU$603,43,FALSE)*$L33,0)+IF($H33&lt;&gt;0,(VLOOKUP($J33,'Allocation Factors'!$B$12:$AU$603,43,FALSE)*$H33),0)</f>
        <v>20353.8170066282</v>
      </c>
      <c r="BC33" s="22">
        <f ca="1">IF($L33&lt;&gt;0,VLOOKUP($N33,'Allocation Factors'!$B$12:$AU$603,44,FALSE)*$L33,0)+IF($H33&lt;&gt;0,(VLOOKUP($J33,'Allocation Factors'!$B$12:$AU$603,44,FALSE)*$H33),0)</f>
        <v>123.06885540871056</v>
      </c>
      <c r="BD33" s="22">
        <f ca="1">IF($L33&lt;&gt;0,VLOOKUP($N33,'Allocation Factors'!$B$12:$AU$603,45,FALSE)*$L33,0)+IF($H33&lt;&gt;0,(VLOOKUP($J33,'Allocation Factors'!$B$12:$AU$603,45,FALSE)*$H33),0)</f>
        <v>450.01002433162569</v>
      </c>
      <c r="BE33" s="22">
        <f ca="1">IF($L33&lt;&gt;0,VLOOKUP($N33,'Allocation Factors'!$B$12:$AU$603,46,FALSE)*$L33,0)+IF($H33&lt;&gt;0,(VLOOKUP($J33,'Allocation Factors'!$B$12:$AU$603,46,FALSE)*$H33),0)</f>
        <v>58.979012539590457</v>
      </c>
      <c r="BF33" s="9"/>
    </row>
    <row r="34" spans="1:58" s="73" customFormat="1" x14ac:dyDescent="0.25">
      <c r="A34" s="2">
        <f t="shared" si="10"/>
        <v>20</v>
      </c>
      <c r="B34" s="73" t="s">
        <v>122</v>
      </c>
      <c r="D34" s="79">
        <f ca="1">SUM(D27:D33)</f>
        <v>46519.092533442701</v>
      </c>
      <c r="E34" s="94"/>
      <c r="F34" s="79">
        <f ca="1">SUM(F27:F33)</f>
        <v>46519.092533442701</v>
      </c>
      <c r="G34" s="94"/>
      <c r="H34" s="79">
        <f ca="1">SUM(H27:H33)</f>
        <v>26965.613624531987</v>
      </c>
      <c r="I34" s="94"/>
      <c r="J34" s="91"/>
      <c r="K34" s="94"/>
      <c r="L34" s="79">
        <f ca="1">SUM(L27:L33)</f>
        <v>19553.478908910718</v>
      </c>
      <c r="M34" s="94"/>
      <c r="N34" s="91"/>
      <c r="O34" s="94"/>
      <c r="P34" s="79">
        <f t="shared" ref="P34:BE34" ca="1" si="11">SUM(P27:P33)</f>
        <v>2883.8665637074901</v>
      </c>
      <c r="Q34" s="79">
        <f t="shared" ca="1" si="11"/>
        <v>2749.0776617958909</v>
      </c>
      <c r="R34" s="79">
        <f t="shared" ca="1" si="11"/>
        <v>0</v>
      </c>
      <c r="S34" s="79">
        <f t="shared" ca="1" si="11"/>
        <v>15.241828310153593</v>
      </c>
      <c r="T34" s="79">
        <f t="shared" ca="1" si="11"/>
        <v>588.65143506463619</v>
      </c>
      <c r="U34" s="79">
        <f t="shared" ca="1" si="11"/>
        <v>206.70909160107456</v>
      </c>
      <c r="V34" s="79">
        <f t="shared" ca="1" si="11"/>
        <v>0</v>
      </c>
      <c r="W34" s="79">
        <f t="shared" ca="1" si="11"/>
        <v>27.855228498785657</v>
      </c>
      <c r="X34" s="79">
        <f t="shared" ca="1" si="11"/>
        <v>8.2878720607602538</v>
      </c>
      <c r="Y34" s="79">
        <f t="shared" ca="1" si="11"/>
        <v>170.49404801311661</v>
      </c>
      <c r="Z34" s="79">
        <f t="shared" ca="1" si="11"/>
        <v>105.45106504696035</v>
      </c>
      <c r="AA34" s="79">
        <f t="shared" ca="1" si="11"/>
        <v>0</v>
      </c>
      <c r="AB34" s="79">
        <f t="shared" ca="1" si="11"/>
        <v>13.48588314535748</v>
      </c>
      <c r="AC34" s="79">
        <f t="shared" ca="1" si="11"/>
        <v>566.94777156639475</v>
      </c>
      <c r="AD34" s="79">
        <f t="shared" ca="1" si="11"/>
        <v>184.31490010420805</v>
      </c>
      <c r="AE34" s="79">
        <f t="shared" ca="1" si="11"/>
        <v>74.407816176044477</v>
      </c>
      <c r="AF34" s="79">
        <f t="shared" ca="1" si="11"/>
        <v>3.0078108874304226</v>
      </c>
      <c r="AG34" s="79">
        <f t="shared" ca="1" si="11"/>
        <v>0</v>
      </c>
      <c r="AH34" s="79">
        <f t="shared" ca="1" si="11"/>
        <v>1861.8554052542829</v>
      </c>
      <c r="AI34" s="79">
        <f t="shared" ca="1" si="11"/>
        <v>749.60593796354624</v>
      </c>
      <c r="AJ34" s="79">
        <f t="shared" ca="1" si="11"/>
        <v>332.24009526669721</v>
      </c>
      <c r="AK34" s="79">
        <f t="shared" ca="1" si="11"/>
        <v>0.12553366625865775</v>
      </c>
      <c r="AL34" s="79">
        <f t="shared" ca="1" si="11"/>
        <v>2.4918016147956652</v>
      </c>
      <c r="AM34" s="79">
        <f t="shared" ca="1" si="11"/>
        <v>29.054604750274617</v>
      </c>
      <c r="AN34" s="79">
        <f t="shared" ca="1" si="11"/>
        <v>404.73613090897248</v>
      </c>
      <c r="AO34" s="79">
        <f t="shared" ca="1" si="11"/>
        <v>40.084242179340094</v>
      </c>
      <c r="AP34" s="79">
        <f t="shared" ca="1" si="11"/>
        <v>49.816924084016406</v>
      </c>
      <c r="AQ34" s="79">
        <f t="shared" ca="1" si="11"/>
        <v>0</v>
      </c>
      <c r="AR34" s="79">
        <f t="shared" ca="1" si="11"/>
        <v>259.83587509665119</v>
      </c>
      <c r="AS34" s="79">
        <f t="shared" ca="1" si="11"/>
        <v>21.74633063892632</v>
      </c>
      <c r="AT34" s="79">
        <f t="shared" ca="1" si="11"/>
        <v>3276.4060255032227</v>
      </c>
      <c r="AU34" s="79">
        <f t="shared" ca="1" si="11"/>
        <v>24.195097471797311</v>
      </c>
      <c r="AV34" s="79">
        <f t="shared" ca="1" si="11"/>
        <v>184.10205784931645</v>
      </c>
      <c r="AW34" s="79">
        <f t="shared" ca="1" si="11"/>
        <v>0</v>
      </c>
      <c r="AX34" s="79">
        <f t="shared" ca="1" si="11"/>
        <v>0</v>
      </c>
      <c r="AY34" s="79">
        <f t="shared" ca="1" si="11"/>
        <v>0</v>
      </c>
      <c r="AZ34" s="79">
        <f t="shared" ca="1" si="11"/>
        <v>7629.4715431181521</v>
      </c>
      <c r="BA34" s="79">
        <f t="shared" ca="1" si="11"/>
        <v>3069.6510531900212</v>
      </c>
      <c r="BB34" s="79">
        <f t="shared" ca="1" si="11"/>
        <v>20353.8170066282</v>
      </c>
      <c r="BC34" s="79">
        <f t="shared" ca="1" si="11"/>
        <v>123.06885540871056</v>
      </c>
      <c r="BD34" s="79">
        <f t="shared" ca="1" si="11"/>
        <v>450.01002433162569</v>
      </c>
      <c r="BE34" s="79">
        <f t="shared" ca="1" si="11"/>
        <v>58.979012539590457</v>
      </c>
    </row>
    <row r="35" spans="1:58" x14ac:dyDescent="0.25">
      <c r="B35" s="73"/>
      <c r="D35" s="23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6" spans="1:58" x14ac:dyDescent="0.25">
      <c r="B36" s="197" t="s">
        <v>123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</row>
    <row r="37" spans="1:58" x14ac:dyDescent="0.25">
      <c r="A37" s="2">
        <f>A34+1</f>
        <v>21</v>
      </c>
      <c r="B37" s="73" t="s">
        <v>321</v>
      </c>
      <c r="D37" s="22">
        <f ca="1">SUM('Distribution Class'!P116:P120,'Distribution Class'!P122)</f>
        <v>10937.610449326283</v>
      </c>
      <c r="E37" s="22"/>
      <c r="F37" s="22">
        <f t="shared" ref="F37:F39" ca="1" si="12">D37</f>
        <v>10937.610449326283</v>
      </c>
      <c r="G37" s="22"/>
      <c r="H37" s="22"/>
      <c r="I37" s="22"/>
      <c r="J37" s="213"/>
      <c r="K37" s="22"/>
      <c r="L37" s="22">
        <f t="shared" ref="L37:L51" ca="1" si="13">F37-H37</f>
        <v>10937.610449326283</v>
      </c>
      <c r="N37" s="28" t="str">
        <f>'Total ALLOCATION'!N37</f>
        <v>HIGHPRESS&gt;4</v>
      </c>
      <c r="P37" s="22">
        <f ca="1">IF($L37&lt;&gt;0,VLOOKUP($N37,'Allocation Factors'!$B$12:$AU$603,5,FALSE)*$L37,0)+IF($H37&lt;&gt;0,(VLOOKUP($J37,'Allocation Factors'!$B$12:$AU$603,5,FALSE)*$H37),0)</f>
        <v>2563.2101296785609</v>
      </c>
      <c r="Q37" s="22">
        <f ca="1">IF($L37&lt;&gt;0,VLOOKUP($N37,'Allocation Factors'!$B$12:$AU$603,6,FALSE)*$L37,0)+IF($H37&lt;&gt;0,(VLOOKUP($J37,'Allocation Factors'!$B$12:$AU$603,6,FALSE)*$H37),0)</f>
        <v>2287.3897811978513</v>
      </c>
      <c r="R37" s="22">
        <f ca="1">IF($L37&lt;&gt;0,VLOOKUP($N37,'Allocation Factors'!$B$12:$AU$603,7,FALSE)*$L37,0)+IF($H37&lt;&gt;0,(VLOOKUP($J37,'Allocation Factors'!$B$12:$AU$603,7,FALSE)*$H37),0)</f>
        <v>0</v>
      </c>
      <c r="S37" s="22">
        <f ca="1">IF($L37&lt;&gt;0,VLOOKUP($N37,'Allocation Factors'!$B$12:$AU$603,8,FALSE)*$L37,0)+IF($H37&lt;&gt;0,(VLOOKUP($J37,'Allocation Factors'!$B$12:$AU$603,8,FALSE)*$H37),0)</f>
        <v>8.0679578510845609</v>
      </c>
      <c r="T37" s="22">
        <f ca="1">IF($L37&lt;&gt;0,VLOOKUP($N37,'Allocation Factors'!$B$12:$AU$603,9,FALSE)*$L37,0)+IF($H37&lt;&gt;0,(VLOOKUP($J37,'Allocation Factors'!$B$12:$AU$603,9,FALSE)*$H37),0)</f>
        <v>262.46248197274434</v>
      </c>
      <c r="U37" s="22">
        <f ca="1">IF($L37&lt;&gt;0,VLOOKUP($N37,'Allocation Factors'!$B$12:$AU$603,10,FALSE)*$L37,0)+IF($H37&lt;&gt;0,(VLOOKUP($J37,'Allocation Factors'!$B$12:$AU$603,10,FALSE)*$H37),0)</f>
        <v>55.158989392189135</v>
      </c>
      <c r="V37" s="22">
        <f ca="1">IF($L37&lt;&gt;0,VLOOKUP($N37,'Allocation Factors'!$B$12:$AU$603,11,FALSE)*$L37,0)+IF($H37&lt;&gt;0,(VLOOKUP($J37,'Allocation Factors'!$B$12:$AU$603,11,FALSE)*$H37),0)</f>
        <v>450.08385127998349</v>
      </c>
      <c r="W37" s="22">
        <f ca="1">IF($L37&lt;&gt;0,VLOOKUP($N37,'Allocation Factors'!$B$12:$AU$603,12,FALSE)*$L37,0)+IF($H37&lt;&gt;0,(VLOOKUP($J37,'Allocation Factors'!$B$12:$AU$603,12,FALSE)*$H37),0)</f>
        <v>0.9145491346299891</v>
      </c>
      <c r="X37" s="22">
        <f ca="1">IF($L37&lt;&gt;0,VLOOKUP($N37,'Allocation Factors'!$B$12:$AU$603,13,FALSE)*$L37,0)+IF($H37&lt;&gt;0,(VLOOKUP($J37,'Allocation Factors'!$B$12:$AU$603,13,FALSE)*$H37),0)</f>
        <v>0</v>
      </c>
      <c r="Y37" s="22">
        <f ca="1">IF($L37&lt;&gt;0,VLOOKUP($N37,'Allocation Factors'!$B$12:$AU$603,14,FALSE)*$L37,0)+IF($H37&lt;&gt;0,(VLOOKUP($J37,'Allocation Factors'!$B$12:$AU$603,14,FALSE)*$H37),0)</f>
        <v>0</v>
      </c>
      <c r="Z37" s="22">
        <f ca="1">IF($L37&lt;&gt;0,VLOOKUP($N37,'Allocation Factors'!$B$12:$AU$603,15,FALSE)*$L37,0)+IF($H37&lt;&gt;0,(VLOOKUP($J37,'Allocation Factors'!$B$12:$AU$603,15,FALSE)*$H37),0)</f>
        <v>60.856184074508931</v>
      </c>
      <c r="AA37" s="22">
        <f ca="1">IF($L37&lt;&gt;0,VLOOKUP($N37,'Allocation Factors'!$B$12:$AU$603,16,FALSE)*$L37,0)+IF($H37&lt;&gt;0,(VLOOKUP($J37,'Allocation Factors'!$B$12:$AU$603,16,FALSE)*$H37),0)</f>
        <v>0</v>
      </c>
      <c r="AB37" s="22">
        <f ca="1">IF($L37&lt;&gt;0,VLOOKUP($N37,'Allocation Factors'!$B$12:$AU$603,17,FALSE)*$L37,0)+IF($H37&lt;&gt;0,(VLOOKUP($J37,'Allocation Factors'!$B$12:$AU$603,17,FALSE)*$H37),0)</f>
        <v>0</v>
      </c>
      <c r="AC37" s="22">
        <f ca="1">IF($L37&lt;&gt;0,VLOOKUP($N37,'Allocation Factors'!$B$12:$AU$603,18,FALSE)*$L37,0)+IF($H37&lt;&gt;0,(VLOOKUP($J37,'Allocation Factors'!$B$12:$AU$603,18,FALSE)*$H37),0)</f>
        <v>471.84712839308708</v>
      </c>
      <c r="AD37" s="22">
        <f ca="1">IF($L37&lt;&gt;0,VLOOKUP($N37,'Allocation Factors'!$B$12:$AU$603,19,FALSE)*$L37,0)+IF($H37&lt;&gt;0,(VLOOKUP($J37,'Allocation Factors'!$B$12:$AU$603,19,FALSE)*$H37),0)</f>
        <v>140.77215363042743</v>
      </c>
      <c r="AE37" s="22">
        <f ca="1">IF($L37&lt;&gt;0,VLOOKUP($N37,'Allocation Factors'!$B$12:$AU$603,20,FALSE)*$L37,0)+IF($H37&lt;&gt;0,(VLOOKUP($J37,'Allocation Factors'!$B$12:$AU$603,20,FALSE)*$H37),0)</f>
        <v>369.84800323489389</v>
      </c>
      <c r="AF37" s="22">
        <f ca="1">IF($L37&lt;&gt;0,VLOOKUP($N37,'Allocation Factors'!$B$12:$AU$603,21,FALSE)*$L37,0)+IF($H37&lt;&gt;0,(VLOOKUP($J37,'Allocation Factors'!$B$12:$AU$603,21,FALSE)*$H37),0)</f>
        <v>0</v>
      </c>
      <c r="AG37" s="22">
        <f ca="1">IF($L37&lt;&gt;0,VLOOKUP($N37,'Allocation Factors'!$B$12:$AU$603,22,FALSE)*$L37,0)+IF($H37&lt;&gt;0,(VLOOKUP($J37,'Allocation Factors'!$B$12:$AU$603,22,FALSE)*$H37),0)</f>
        <v>165.15843158166865</v>
      </c>
      <c r="AH37" s="22">
        <f ca="1">IF($L37&lt;&gt;0,VLOOKUP($N37,'Allocation Factors'!$B$12:$AU$603,23,FALSE)*$L37,0)+IF($H37&lt;&gt;0,(VLOOKUP($J37,'Allocation Factors'!$B$12:$AU$603,23,FALSE)*$H37),0)</f>
        <v>1509.7688899534423</v>
      </c>
      <c r="AI37" s="22">
        <f ca="1">IF($L37&lt;&gt;0,VLOOKUP($N37,'Allocation Factors'!$B$12:$AU$603,24,FALSE)*$L37,0)+IF($H37&lt;&gt;0,(VLOOKUP($J37,'Allocation Factors'!$B$12:$AU$603,24,FALSE)*$H37),0)</f>
        <v>559.41344528799925</v>
      </c>
      <c r="AJ37" s="22">
        <f ca="1">IF($L37&lt;&gt;0,VLOOKUP($N37,'Allocation Factors'!$B$12:$AU$603,25,FALSE)*$L37,0)+IF($H37&lt;&gt;0,(VLOOKUP($J37,'Allocation Factors'!$B$12:$AU$603,25,FALSE)*$H37),0)</f>
        <v>199.13295128766296</v>
      </c>
      <c r="AK37" s="22">
        <f ca="1">IF($L37&lt;&gt;0,VLOOKUP($N37,'Allocation Factors'!$B$12:$AU$603,26,FALSE)*$L37,0)+IF($H37&lt;&gt;0,(VLOOKUP($J37,'Allocation Factors'!$B$12:$AU$603,26,FALSE)*$H37),0)</f>
        <v>0</v>
      </c>
      <c r="AL37" s="22">
        <f ca="1">IF($L37&lt;&gt;0,VLOOKUP($N37,'Allocation Factors'!$B$12:$AU$603,27,FALSE)*$L37,0)+IF($H37&lt;&gt;0,(VLOOKUP($J37,'Allocation Factors'!$B$12:$AU$603,27,FALSE)*$H37),0)</f>
        <v>1.7493297477914904</v>
      </c>
      <c r="AM37" s="22">
        <f ca="1">IF($L37&lt;&gt;0,VLOOKUP($N37,'Allocation Factors'!$B$12:$AU$603,28,FALSE)*$L37,0)+IF($H37&lt;&gt;0,(VLOOKUP($J37,'Allocation Factors'!$B$12:$AU$603,28,FALSE)*$H37),0)</f>
        <v>0</v>
      </c>
      <c r="AN37" s="22">
        <f ca="1">IF($L37&lt;&gt;0,VLOOKUP($N37,'Allocation Factors'!$B$12:$AU$603,29,FALSE)*$L37,0)+IF($H37&lt;&gt;0,(VLOOKUP($J37,'Allocation Factors'!$B$12:$AU$603,29,FALSE)*$H37),0)</f>
        <v>294.55273823382385</v>
      </c>
      <c r="AO37" s="22">
        <f ca="1">IF($L37&lt;&gt;0,VLOOKUP($N37,'Allocation Factors'!$B$12:$AU$603,30,FALSE)*$L37,0)+IF($H37&lt;&gt;0,(VLOOKUP($J37,'Allocation Factors'!$B$12:$AU$603,30,FALSE)*$H37),0)</f>
        <v>0</v>
      </c>
      <c r="AP37" s="22">
        <f ca="1">IF($L37&lt;&gt;0,VLOOKUP($N37,'Allocation Factors'!$B$12:$AU$603,31,FALSE)*$L37,0)+IF($H37&lt;&gt;0,(VLOOKUP($J37,'Allocation Factors'!$B$12:$AU$603,31,FALSE)*$H37),0)</f>
        <v>24.046362465380906</v>
      </c>
      <c r="AQ37" s="22">
        <f ca="1">IF($L37&lt;&gt;0,VLOOKUP($N37,'Allocation Factors'!$B$12:$AU$603,32,FALSE)*$L37,0)+IF($H37&lt;&gt;0,(VLOOKUP($J37,'Allocation Factors'!$B$12:$AU$603,32,FALSE)*$H37),0)</f>
        <v>0</v>
      </c>
      <c r="AR37" s="22">
        <f ca="1">IF($L37&lt;&gt;0,VLOOKUP($N37,'Allocation Factors'!$B$12:$AU$603,33,FALSE)*$L37,0)+IF($H37&lt;&gt;0,(VLOOKUP($J37,'Allocation Factors'!$B$12:$AU$603,33,FALSE)*$H37),0)</f>
        <v>100.92703479037773</v>
      </c>
      <c r="AS37" s="22">
        <f ca="1">IF($L37&lt;&gt;0,VLOOKUP($N37,'Allocation Factors'!$B$12:$AU$603,34,FALSE)*$L37,0)+IF($H37&lt;&gt;0,(VLOOKUP($J37,'Allocation Factors'!$B$12:$AU$603,34,FALSE)*$H37),0)</f>
        <v>0</v>
      </c>
      <c r="AT37" s="22">
        <f ca="1">IF($L37&lt;&gt;0,VLOOKUP($N37,'Allocation Factors'!$B$12:$AU$603,35,FALSE)*$L37,0)+IF($H37&lt;&gt;0,(VLOOKUP($J37,'Allocation Factors'!$B$12:$AU$603,35,FALSE)*$H37),0)</f>
        <v>1274.7956517504981</v>
      </c>
      <c r="AU37" s="22">
        <f ca="1">IF($L37&lt;&gt;0,VLOOKUP($N37,'Allocation Factors'!$B$12:$AU$603,36,FALSE)*$L37,0)+IF($H37&lt;&gt;0,(VLOOKUP($J37,'Allocation Factors'!$B$12:$AU$603,36,FALSE)*$H37),0)</f>
        <v>0</v>
      </c>
      <c r="AV37" s="22">
        <f ca="1">IF($L37&lt;&gt;0,VLOOKUP($N37,'Allocation Factors'!$B$12:$AU$603,37,FALSE)*$L37,0)+IF($H37&lt;&gt;0,(VLOOKUP($J37,'Allocation Factors'!$B$12:$AU$603,37,FALSE)*$H37),0)</f>
        <v>126.4316051989647</v>
      </c>
      <c r="AW37" s="22">
        <f ca="1">IF($L37&lt;&gt;0,VLOOKUP($N37,'Allocation Factors'!$B$12:$AU$603,38,FALSE)*$L37,0)+IF($H37&lt;&gt;0,(VLOOKUP($J37,'Allocation Factors'!$B$12:$AU$603,38,FALSE)*$H37),0)</f>
        <v>0</v>
      </c>
      <c r="AX37" s="22">
        <f ca="1">IF($L37&lt;&gt;0,VLOOKUP($N37,'Allocation Factors'!$B$12:$AU$603,39,FALSE)*$L37,0)+IF($H37&lt;&gt;0,(VLOOKUP($J37,'Allocation Factors'!$B$12:$AU$603,39,FALSE)*$H37),0)</f>
        <v>0</v>
      </c>
      <c r="AY37" s="22">
        <f ca="1">IF($L37&lt;&gt;0,VLOOKUP($N37,'Allocation Factors'!$B$12:$AU$603,40,FALSE)*$L37,0)+IF($H37&lt;&gt;0,(VLOOKUP($J37,'Allocation Factors'!$B$12:$AU$603,40,FALSE)*$H37),0)</f>
        <v>0</v>
      </c>
      <c r="AZ37" s="22">
        <f ca="1">IF($L37&lt;&gt;0,VLOOKUP($N37,'Allocation Factors'!$B$12:$AU$603,41,FALSE)*$L37,0)+IF($H37&lt;&gt;0,(VLOOKUP($J37,'Allocation Factors'!$B$12:$AU$603,41,FALSE)*$H37),0)</f>
        <v>0</v>
      </c>
      <c r="BA37" s="22">
        <f ca="1">IF($L37&lt;&gt;0,VLOOKUP($N37,'Allocation Factors'!$B$12:$AU$603,42,FALSE)*$L37,0)+IF($H37&lt;&gt;0,(VLOOKUP($J37,'Allocation Factors'!$B$12:$AU$603,42,FALSE)*$H37),0)</f>
        <v>0</v>
      </c>
      <c r="BB37" s="22">
        <f ca="1">IF($L37&lt;&gt;0,VLOOKUP($N37,'Allocation Factors'!$B$12:$AU$603,43,FALSE)*$L37,0)+IF($H37&lt;&gt;0,(VLOOKUP($J37,'Allocation Factors'!$B$12:$AU$603,43,FALSE)*$H37),0)</f>
        <v>0</v>
      </c>
      <c r="BC37" s="22">
        <f ca="1">IF($L37&lt;&gt;0,VLOOKUP($N37,'Allocation Factors'!$B$12:$AU$603,44,FALSE)*$L37,0)+IF($H37&lt;&gt;0,(VLOOKUP($J37,'Allocation Factors'!$B$12:$AU$603,44,FALSE)*$H37),0)</f>
        <v>0</v>
      </c>
      <c r="BD37" s="22">
        <f ca="1">IF($L37&lt;&gt;0,VLOOKUP($N37,'Allocation Factors'!$B$12:$AU$603,45,FALSE)*$L37,0)+IF($H37&lt;&gt;0,(VLOOKUP($J37,'Allocation Factors'!$B$12:$AU$603,45,FALSE)*$H37),0)</f>
        <v>0</v>
      </c>
      <c r="BE37" s="22">
        <f ca="1">IF($L37&lt;&gt;0,VLOOKUP($N37,'Allocation Factors'!$B$12:$AU$603,46,FALSE)*$L37,0)+IF($H37&lt;&gt;0,(VLOOKUP($J37,'Allocation Factors'!$B$12:$AU$603,46,FALSE)*$H37),0)</f>
        <v>11.022799188711433</v>
      </c>
      <c r="BF37" s="9"/>
    </row>
    <row r="38" spans="1:58" x14ac:dyDescent="0.25">
      <c r="A38" s="2">
        <f>A37+1</f>
        <v>22</v>
      </c>
      <c r="B38" s="73" t="s">
        <v>322</v>
      </c>
      <c r="D38" s="22">
        <f ca="1">SUM('Distribution Class'!R116:R120,'Distribution Class'!R122)</f>
        <v>0</v>
      </c>
      <c r="E38" s="22"/>
      <c r="F38" s="22">
        <f t="shared" ca="1" si="12"/>
        <v>0</v>
      </c>
      <c r="G38" s="22"/>
      <c r="H38" s="22"/>
      <c r="I38" s="22"/>
      <c r="J38" s="213"/>
      <c r="K38" s="22"/>
      <c r="L38" s="22">
        <f t="shared" ca="1" si="13"/>
        <v>0</v>
      </c>
      <c r="N38" s="28" t="str">
        <f>'Total ALLOCATION'!N38</f>
        <v>HIGHPRESS&lt;=4</v>
      </c>
      <c r="P38" s="22">
        <f ca="1">IF($L38&lt;&gt;0,VLOOKUP($N38,'Allocation Factors'!$B$12:$AU$603,5,FALSE)*$L38,0)+IF($H38&lt;&gt;0,(VLOOKUP($J38,'Allocation Factors'!$B$12:$AU$603,5,FALSE)*$H38),0)</f>
        <v>0</v>
      </c>
      <c r="Q38" s="22">
        <f ca="1">IF($L38&lt;&gt;0,VLOOKUP($N38,'Allocation Factors'!$B$12:$AU$603,6,FALSE)*$L38,0)+IF($H38&lt;&gt;0,(VLOOKUP($J38,'Allocation Factors'!$B$12:$AU$603,6,FALSE)*$H38),0)</f>
        <v>0</v>
      </c>
      <c r="R38" s="22">
        <f ca="1">IF($L38&lt;&gt;0,VLOOKUP($N38,'Allocation Factors'!$B$12:$AU$603,7,FALSE)*$L38,0)+IF($H38&lt;&gt;0,(VLOOKUP($J38,'Allocation Factors'!$B$12:$AU$603,7,FALSE)*$H38),0)</f>
        <v>0</v>
      </c>
      <c r="S38" s="22">
        <f ca="1">IF($L38&lt;&gt;0,VLOOKUP($N38,'Allocation Factors'!$B$12:$AU$603,8,FALSE)*$L38,0)+IF($H38&lt;&gt;0,(VLOOKUP($J38,'Allocation Factors'!$B$12:$AU$603,8,FALSE)*$H38),0)</f>
        <v>0</v>
      </c>
      <c r="T38" s="22">
        <f ca="1">IF($L38&lt;&gt;0,VLOOKUP($N38,'Allocation Factors'!$B$12:$AU$603,9,FALSE)*$L38,0)+IF($H38&lt;&gt;0,(VLOOKUP($J38,'Allocation Factors'!$B$12:$AU$603,9,FALSE)*$H38),0)</f>
        <v>0</v>
      </c>
      <c r="U38" s="22">
        <f ca="1">IF($L38&lt;&gt;0,VLOOKUP($N38,'Allocation Factors'!$B$12:$AU$603,10,FALSE)*$L38,0)+IF($H38&lt;&gt;0,(VLOOKUP($J38,'Allocation Factors'!$B$12:$AU$603,10,FALSE)*$H38),0)</f>
        <v>0</v>
      </c>
      <c r="V38" s="22">
        <f ca="1">IF($L38&lt;&gt;0,VLOOKUP($N38,'Allocation Factors'!$B$12:$AU$603,11,FALSE)*$L38,0)+IF($H38&lt;&gt;0,(VLOOKUP($J38,'Allocation Factors'!$B$12:$AU$603,11,FALSE)*$H38),0)</f>
        <v>0</v>
      </c>
      <c r="W38" s="22">
        <f ca="1">IF($L38&lt;&gt;0,VLOOKUP($N38,'Allocation Factors'!$B$12:$AU$603,12,FALSE)*$L38,0)+IF($H38&lt;&gt;0,(VLOOKUP($J38,'Allocation Factors'!$B$12:$AU$603,12,FALSE)*$H38),0)</f>
        <v>0</v>
      </c>
      <c r="X38" s="22">
        <f ca="1">IF($L38&lt;&gt;0,VLOOKUP($N38,'Allocation Factors'!$B$12:$AU$603,13,FALSE)*$L38,0)+IF($H38&lt;&gt;0,(VLOOKUP($J38,'Allocation Factors'!$B$12:$AU$603,13,FALSE)*$H38),0)</f>
        <v>0</v>
      </c>
      <c r="Y38" s="22">
        <f ca="1">IF($L38&lt;&gt;0,VLOOKUP($N38,'Allocation Factors'!$B$12:$AU$603,14,FALSE)*$L38,0)+IF($H38&lt;&gt;0,(VLOOKUP($J38,'Allocation Factors'!$B$12:$AU$603,14,FALSE)*$H38),0)</f>
        <v>0</v>
      </c>
      <c r="Z38" s="22">
        <f ca="1">IF($L38&lt;&gt;0,VLOOKUP($N38,'Allocation Factors'!$B$12:$AU$603,15,FALSE)*$L38,0)+IF($H38&lt;&gt;0,(VLOOKUP($J38,'Allocation Factors'!$B$12:$AU$603,15,FALSE)*$H38),0)</f>
        <v>0</v>
      </c>
      <c r="AA38" s="22">
        <f ca="1">IF($L38&lt;&gt;0,VLOOKUP($N38,'Allocation Factors'!$B$12:$AU$603,16,FALSE)*$L38,0)+IF($H38&lt;&gt;0,(VLOOKUP($J38,'Allocation Factors'!$B$12:$AU$603,16,FALSE)*$H38),0)</f>
        <v>0</v>
      </c>
      <c r="AB38" s="22">
        <f ca="1">IF($L38&lt;&gt;0,VLOOKUP($N38,'Allocation Factors'!$B$12:$AU$603,17,FALSE)*$L38,0)+IF($H38&lt;&gt;0,(VLOOKUP($J38,'Allocation Factors'!$B$12:$AU$603,17,FALSE)*$H38),0)</f>
        <v>0</v>
      </c>
      <c r="AC38" s="22">
        <f ca="1">IF($L38&lt;&gt;0,VLOOKUP($N38,'Allocation Factors'!$B$12:$AU$603,18,FALSE)*$L38,0)+IF($H38&lt;&gt;0,(VLOOKUP($J38,'Allocation Factors'!$B$12:$AU$603,18,FALSE)*$H38),0)</f>
        <v>0</v>
      </c>
      <c r="AD38" s="22">
        <f ca="1">IF($L38&lt;&gt;0,VLOOKUP($N38,'Allocation Factors'!$B$12:$AU$603,19,FALSE)*$L38,0)+IF($H38&lt;&gt;0,(VLOOKUP($J38,'Allocation Factors'!$B$12:$AU$603,19,FALSE)*$H38),0)</f>
        <v>0</v>
      </c>
      <c r="AE38" s="22">
        <f ca="1">IF($L38&lt;&gt;0,VLOOKUP($N38,'Allocation Factors'!$B$12:$AU$603,20,FALSE)*$L38,0)+IF($H38&lt;&gt;0,(VLOOKUP($J38,'Allocation Factors'!$B$12:$AU$603,20,FALSE)*$H38),0)</f>
        <v>0</v>
      </c>
      <c r="AF38" s="22">
        <f ca="1">IF($L38&lt;&gt;0,VLOOKUP($N38,'Allocation Factors'!$B$12:$AU$603,21,FALSE)*$L38,0)+IF($H38&lt;&gt;0,(VLOOKUP($J38,'Allocation Factors'!$B$12:$AU$603,21,FALSE)*$H38),0)</f>
        <v>0</v>
      </c>
      <c r="AG38" s="22">
        <f ca="1">IF($L38&lt;&gt;0,VLOOKUP($N38,'Allocation Factors'!$B$12:$AU$603,22,FALSE)*$L38,0)+IF($H38&lt;&gt;0,(VLOOKUP($J38,'Allocation Factors'!$B$12:$AU$603,22,FALSE)*$H38),0)</f>
        <v>0</v>
      </c>
      <c r="AH38" s="22">
        <f ca="1">IF($L38&lt;&gt;0,VLOOKUP($N38,'Allocation Factors'!$B$12:$AU$603,23,FALSE)*$L38,0)+IF($H38&lt;&gt;0,(VLOOKUP($J38,'Allocation Factors'!$B$12:$AU$603,23,FALSE)*$H38),0)</f>
        <v>0</v>
      </c>
      <c r="AI38" s="22">
        <f ca="1">IF($L38&lt;&gt;0,VLOOKUP($N38,'Allocation Factors'!$B$12:$AU$603,24,FALSE)*$L38,0)+IF($H38&lt;&gt;0,(VLOOKUP($J38,'Allocation Factors'!$B$12:$AU$603,24,FALSE)*$H38),0)</f>
        <v>0</v>
      </c>
      <c r="AJ38" s="22">
        <f ca="1">IF($L38&lt;&gt;0,VLOOKUP($N38,'Allocation Factors'!$B$12:$AU$603,25,FALSE)*$L38,0)+IF($H38&lt;&gt;0,(VLOOKUP($J38,'Allocation Factors'!$B$12:$AU$603,25,FALSE)*$H38),0)</f>
        <v>0</v>
      </c>
      <c r="AK38" s="22">
        <f ca="1">IF($L38&lt;&gt;0,VLOOKUP($N38,'Allocation Factors'!$B$12:$AU$603,26,FALSE)*$L38,0)+IF($H38&lt;&gt;0,(VLOOKUP($J38,'Allocation Factors'!$B$12:$AU$603,26,FALSE)*$H38),0)</f>
        <v>0</v>
      </c>
      <c r="AL38" s="22">
        <f ca="1">IF($L38&lt;&gt;0,VLOOKUP($N38,'Allocation Factors'!$B$12:$AU$603,27,FALSE)*$L38,0)+IF($H38&lt;&gt;0,(VLOOKUP($J38,'Allocation Factors'!$B$12:$AU$603,27,FALSE)*$H38),0)</f>
        <v>0</v>
      </c>
      <c r="AM38" s="22">
        <f ca="1">IF($L38&lt;&gt;0,VLOOKUP($N38,'Allocation Factors'!$B$12:$AU$603,28,FALSE)*$L38,0)+IF($H38&lt;&gt;0,(VLOOKUP($J38,'Allocation Factors'!$B$12:$AU$603,28,FALSE)*$H38),0)</f>
        <v>0</v>
      </c>
      <c r="AN38" s="22">
        <f ca="1">IF($L38&lt;&gt;0,VLOOKUP($N38,'Allocation Factors'!$B$12:$AU$603,29,FALSE)*$L38,0)+IF($H38&lt;&gt;0,(VLOOKUP($J38,'Allocation Factors'!$B$12:$AU$603,29,FALSE)*$H38),0)</f>
        <v>0</v>
      </c>
      <c r="AO38" s="22">
        <f ca="1">IF($L38&lt;&gt;0,VLOOKUP($N38,'Allocation Factors'!$B$12:$AU$603,30,FALSE)*$L38,0)+IF($H38&lt;&gt;0,(VLOOKUP($J38,'Allocation Factors'!$B$12:$AU$603,30,FALSE)*$H38),0)</f>
        <v>0</v>
      </c>
      <c r="AP38" s="22">
        <f ca="1">IF($L38&lt;&gt;0,VLOOKUP($N38,'Allocation Factors'!$B$12:$AU$603,31,FALSE)*$L38,0)+IF($H38&lt;&gt;0,(VLOOKUP($J38,'Allocation Factors'!$B$12:$AU$603,31,FALSE)*$H38),0)</f>
        <v>0</v>
      </c>
      <c r="AQ38" s="22">
        <f ca="1">IF($L38&lt;&gt;0,VLOOKUP($N38,'Allocation Factors'!$B$12:$AU$603,32,FALSE)*$L38,0)+IF($H38&lt;&gt;0,(VLOOKUP($J38,'Allocation Factors'!$B$12:$AU$603,32,FALSE)*$H38),0)</f>
        <v>0</v>
      </c>
      <c r="AR38" s="22">
        <f ca="1">IF($L38&lt;&gt;0,VLOOKUP($N38,'Allocation Factors'!$B$12:$AU$603,33,FALSE)*$L38,0)+IF($H38&lt;&gt;0,(VLOOKUP($J38,'Allocation Factors'!$B$12:$AU$603,33,FALSE)*$H38),0)</f>
        <v>0</v>
      </c>
      <c r="AS38" s="22">
        <f ca="1">IF($L38&lt;&gt;0,VLOOKUP($N38,'Allocation Factors'!$B$12:$AU$603,34,FALSE)*$L38,0)+IF($H38&lt;&gt;0,(VLOOKUP($J38,'Allocation Factors'!$B$12:$AU$603,34,FALSE)*$H38),0)</f>
        <v>0</v>
      </c>
      <c r="AT38" s="22">
        <f ca="1">IF($L38&lt;&gt;0,VLOOKUP($N38,'Allocation Factors'!$B$12:$AU$603,35,FALSE)*$L38,0)+IF($H38&lt;&gt;0,(VLOOKUP($J38,'Allocation Factors'!$B$12:$AU$603,35,FALSE)*$H38),0)</f>
        <v>0</v>
      </c>
      <c r="AU38" s="22">
        <f ca="1">IF($L38&lt;&gt;0,VLOOKUP($N38,'Allocation Factors'!$B$12:$AU$603,36,FALSE)*$L38,0)+IF($H38&lt;&gt;0,(VLOOKUP($J38,'Allocation Factors'!$B$12:$AU$603,36,FALSE)*$H38),0)</f>
        <v>0</v>
      </c>
      <c r="AV38" s="22">
        <f ca="1">IF($L38&lt;&gt;0,VLOOKUP($N38,'Allocation Factors'!$B$12:$AU$603,37,FALSE)*$L38,0)+IF($H38&lt;&gt;0,(VLOOKUP($J38,'Allocation Factors'!$B$12:$AU$603,37,FALSE)*$H38),0)</f>
        <v>0</v>
      </c>
      <c r="AW38" s="22">
        <f ca="1">IF($L38&lt;&gt;0,VLOOKUP($N38,'Allocation Factors'!$B$12:$AU$603,38,FALSE)*$L38,0)+IF($H38&lt;&gt;0,(VLOOKUP($J38,'Allocation Factors'!$B$12:$AU$603,38,FALSE)*$H38),0)</f>
        <v>0</v>
      </c>
      <c r="AX38" s="22">
        <f ca="1">IF($L38&lt;&gt;0,VLOOKUP($N38,'Allocation Factors'!$B$12:$AU$603,39,FALSE)*$L38,0)+IF($H38&lt;&gt;0,(VLOOKUP($J38,'Allocation Factors'!$B$12:$AU$603,39,FALSE)*$H38),0)</f>
        <v>0</v>
      </c>
      <c r="AY38" s="22">
        <f ca="1">IF($L38&lt;&gt;0,VLOOKUP($N38,'Allocation Factors'!$B$12:$AU$603,40,FALSE)*$L38,0)+IF($H38&lt;&gt;0,(VLOOKUP($J38,'Allocation Factors'!$B$12:$AU$603,40,FALSE)*$H38),0)</f>
        <v>0</v>
      </c>
      <c r="AZ38" s="22">
        <f ca="1">IF($L38&lt;&gt;0,VLOOKUP($N38,'Allocation Factors'!$B$12:$AU$603,41,FALSE)*$L38,0)+IF($H38&lt;&gt;0,(VLOOKUP($J38,'Allocation Factors'!$B$12:$AU$603,41,FALSE)*$H38),0)</f>
        <v>0</v>
      </c>
      <c r="BA38" s="22">
        <f ca="1">IF($L38&lt;&gt;0,VLOOKUP($N38,'Allocation Factors'!$B$12:$AU$603,42,FALSE)*$L38,0)+IF($H38&lt;&gt;0,(VLOOKUP($J38,'Allocation Factors'!$B$12:$AU$603,42,FALSE)*$H38),0)</f>
        <v>0</v>
      </c>
      <c r="BB38" s="22">
        <f ca="1">IF($L38&lt;&gt;0,VLOOKUP($N38,'Allocation Factors'!$B$12:$AU$603,43,FALSE)*$L38,0)+IF($H38&lt;&gt;0,(VLOOKUP($J38,'Allocation Factors'!$B$12:$AU$603,43,FALSE)*$H38),0)</f>
        <v>0</v>
      </c>
      <c r="BC38" s="22">
        <f ca="1">IF($L38&lt;&gt;0,VLOOKUP($N38,'Allocation Factors'!$B$12:$AU$603,44,FALSE)*$L38,0)+IF($H38&lt;&gt;0,(VLOOKUP($J38,'Allocation Factors'!$B$12:$AU$603,44,FALSE)*$H38),0)</f>
        <v>0</v>
      </c>
      <c r="BD38" s="22">
        <f ca="1">IF($L38&lt;&gt;0,VLOOKUP($N38,'Allocation Factors'!$B$12:$AU$603,45,FALSE)*$L38,0)+IF($H38&lt;&gt;0,(VLOOKUP($J38,'Allocation Factors'!$B$12:$AU$603,45,FALSE)*$H38),0)</f>
        <v>0</v>
      </c>
      <c r="BE38" s="22">
        <f ca="1">IF($L38&lt;&gt;0,VLOOKUP($N38,'Allocation Factors'!$B$12:$AU$603,46,FALSE)*$L38,0)+IF($H38&lt;&gt;0,(VLOOKUP($J38,'Allocation Factors'!$B$12:$AU$603,46,FALSE)*$H38),0)</f>
        <v>0</v>
      </c>
      <c r="BF38" s="9"/>
    </row>
    <row r="39" spans="1:58" x14ac:dyDescent="0.25">
      <c r="A39" s="2">
        <f t="shared" ref="A39:A52" si="14">A38+1</f>
        <v>23</v>
      </c>
      <c r="B39" s="73" t="s">
        <v>323</v>
      </c>
      <c r="D39" s="22">
        <f ca="1">SUM('Distribution Class'!T116:T120,'Distribution Class'!T122)</f>
        <v>0</v>
      </c>
      <c r="E39" s="22"/>
      <c r="F39" s="22">
        <f t="shared" ca="1" si="12"/>
        <v>0</v>
      </c>
      <c r="G39" s="22"/>
      <c r="H39" s="22"/>
      <c r="I39" s="22"/>
      <c r="J39" s="213"/>
      <c r="K39" s="22"/>
      <c r="L39" s="22">
        <f t="shared" ca="1" si="13"/>
        <v>0</v>
      </c>
      <c r="N39" s="28" t="str">
        <f>'Total ALLOCATION'!N39</f>
        <v>LOWPRESS</v>
      </c>
      <c r="P39" s="22">
        <f ca="1">IF($L39&lt;&gt;0,VLOOKUP($N39,'Allocation Factors'!$B$12:$AU$603,5,FALSE)*$L39,0)+IF($H39&lt;&gt;0,(VLOOKUP($J39,'Allocation Factors'!$B$12:$AU$603,5,FALSE)*$H39),0)</f>
        <v>0</v>
      </c>
      <c r="Q39" s="22">
        <f ca="1">IF($L39&lt;&gt;0,VLOOKUP($N39,'Allocation Factors'!$B$12:$AU$603,6,FALSE)*$L39,0)+IF($H39&lt;&gt;0,(VLOOKUP($J39,'Allocation Factors'!$B$12:$AU$603,6,FALSE)*$H39),0)</f>
        <v>0</v>
      </c>
      <c r="R39" s="22">
        <f ca="1">IF($L39&lt;&gt;0,VLOOKUP($N39,'Allocation Factors'!$B$12:$AU$603,7,FALSE)*$L39,0)+IF($H39&lt;&gt;0,(VLOOKUP($J39,'Allocation Factors'!$B$12:$AU$603,7,FALSE)*$H39),0)</f>
        <v>0</v>
      </c>
      <c r="S39" s="22">
        <f ca="1">IF($L39&lt;&gt;0,VLOOKUP($N39,'Allocation Factors'!$B$12:$AU$603,8,FALSE)*$L39,0)+IF($H39&lt;&gt;0,(VLOOKUP($J39,'Allocation Factors'!$B$12:$AU$603,8,FALSE)*$H39),0)</f>
        <v>0</v>
      </c>
      <c r="T39" s="22">
        <f ca="1">IF($L39&lt;&gt;0,VLOOKUP($N39,'Allocation Factors'!$B$12:$AU$603,9,FALSE)*$L39,0)+IF($H39&lt;&gt;0,(VLOOKUP($J39,'Allocation Factors'!$B$12:$AU$603,9,FALSE)*$H39),0)</f>
        <v>0</v>
      </c>
      <c r="U39" s="22">
        <f ca="1">IF($L39&lt;&gt;0,VLOOKUP($N39,'Allocation Factors'!$B$12:$AU$603,10,FALSE)*$L39,0)+IF($H39&lt;&gt;0,(VLOOKUP($J39,'Allocation Factors'!$B$12:$AU$603,10,FALSE)*$H39),0)</f>
        <v>0</v>
      </c>
      <c r="V39" s="22">
        <f ca="1">IF($L39&lt;&gt;0,VLOOKUP($N39,'Allocation Factors'!$B$12:$AU$603,11,FALSE)*$L39,0)+IF($H39&lt;&gt;0,(VLOOKUP($J39,'Allocation Factors'!$B$12:$AU$603,11,FALSE)*$H39),0)</f>
        <v>0</v>
      </c>
      <c r="W39" s="22">
        <f ca="1">IF($L39&lt;&gt;0,VLOOKUP($N39,'Allocation Factors'!$B$12:$AU$603,12,FALSE)*$L39,0)+IF($H39&lt;&gt;0,(VLOOKUP($J39,'Allocation Factors'!$B$12:$AU$603,12,FALSE)*$H39),0)</f>
        <v>0</v>
      </c>
      <c r="X39" s="22">
        <f ca="1">IF($L39&lt;&gt;0,VLOOKUP($N39,'Allocation Factors'!$B$12:$AU$603,13,FALSE)*$L39,0)+IF($H39&lt;&gt;0,(VLOOKUP($J39,'Allocation Factors'!$B$12:$AU$603,13,FALSE)*$H39),0)</f>
        <v>0</v>
      </c>
      <c r="Y39" s="22">
        <f ca="1">IF($L39&lt;&gt;0,VLOOKUP($N39,'Allocation Factors'!$B$12:$AU$603,14,FALSE)*$L39,0)+IF($H39&lt;&gt;0,(VLOOKUP($J39,'Allocation Factors'!$B$12:$AU$603,14,FALSE)*$H39),0)</f>
        <v>0</v>
      </c>
      <c r="Z39" s="22">
        <f ca="1">IF($L39&lt;&gt;0,VLOOKUP($N39,'Allocation Factors'!$B$12:$AU$603,15,FALSE)*$L39,0)+IF($H39&lt;&gt;0,(VLOOKUP($J39,'Allocation Factors'!$B$12:$AU$603,15,FALSE)*$H39),0)</f>
        <v>0</v>
      </c>
      <c r="AA39" s="22">
        <f ca="1">IF($L39&lt;&gt;0,VLOOKUP($N39,'Allocation Factors'!$B$12:$AU$603,16,FALSE)*$L39,0)+IF($H39&lt;&gt;0,(VLOOKUP($J39,'Allocation Factors'!$B$12:$AU$603,16,FALSE)*$H39),0)</f>
        <v>0</v>
      </c>
      <c r="AB39" s="22">
        <f ca="1">IF($L39&lt;&gt;0,VLOOKUP($N39,'Allocation Factors'!$B$12:$AU$603,17,FALSE)*$L39,0)+IF($H39&lt;&gt;0,(VLOOKUP($J39,'Allocation Factors'!$B$12:$AU$603,17,FALSE)*$H39),0)</f>
        <v>0</v>
      </c>
      <c r="AC39" s="22">
        <f ca="1">IF($L39&lt;&gt;0,VLOOKUP($N39,'Allocation Factors'!$B$12:$AU$603,18,FALSE)*$L39,0)+IF($H39&lt;&gt;0,(VLOOKUP($J39,'Allocation Factors'!$B$12:$AU$603,18,FALSE)*$H39),0)</f>
        <v>0</v>
      </c>
      <c r="AD39" s="22">
        <f ca="1">IF($L39&lt;&gt;0,VLOOKUP($N39,'Allocation Factors'!$B$12:$AU$603,19,FALSE)*$L39,0)+IF($H39&lt;&gt;0,(VLOOKUP($J39,'Allocation Factors'!$B$12:$AU$603,19,FALSE)*$H39),0)</f>
        <v>0</v>
      </c>
      <c r="AE39" s="22">
        <f ca="1">IF($L39&lt;&gt;0,VLOOKUP($N39,'Allocation Factors'!$B$12:$AU$603,20,FALSE)*$L39,0)+IF($H39&lt;&gt;0,(VLOOKUP($J39,'Allocation Factors'!$B$12:$AU$603,20,FALSE)*$H39),0)</f>
        <v>0</v>
      </c>
      <c r="AF39" s="22">
        <f ca="1">IF($L39&lt;&gt;0,VLOOKUP($N39,'Allocation Factors'!$B$12:$AU$603,21,FALSE)*$L39,0)+IF($H39&lt;&gt;0,(VLOOKUP($J39,'Allocation Factors'!$B$12:$AU$603,21,FALSE)*$H39),0)</f>
        <v>0</v>
      </c>
      <c r="AG39" s="22">
        <f ca="1">IF($L39&lt;&gt;0,VLOOKUP($N39,'Allocation Factors'!$B$12:$AU$603,22,FALSE)*$L39,0)+IF($H39&lt;&gt;0,(VLOOKUP($J39,'Allocation Factors'!$B$12:$AU$603,22,FALSE)*$H39),0)</f>
        <v>0</v>
      </c>
      <c r="AH39" s="22">
        <f ca="1">IF($L39&lt;&gt;0,VLOOKUP($N39,'Allocation Factors'!$B$12:$AU$603,23,FALSE)*$L39,0)+IF($H39&lt;&gt;0,(VLOOKUP($J39,'Allocation Factors'!$B$12:$AU$603,23,FALSE)*$H39),0)</f>
        <v>0</v>
      </c>
      <c r="AI39" s="22">
        <f ca="1">IF($L39&lt;&gt;0,VLOOKUP($N39,'Allocation Factors'!$B$12:$AU$603,24,FALSE)*$L39,0)+IF($H39&lt;&gt;0,(VLOOKUP($J39,'Allocation Factors'!$B$12:$AU$603,24,FALSE)*$H39),0)</f>
        <v>0</v>
      </c>
      <c r="AJ39" s="22">
        <f ca="1">IF($L39&lt;&gt;0,VLOOKUP($N39,'Allocation Factors'!$B$12:$AU$603,25,FALSE)*$L39,0)+IF($H39&lt;&gt;0,(VLOOKUP($J39,'Allocation Factors'!$B$12:$AU$603,25,FALSE)*$H39),0)</f>
        <v>0</v>
      </c>
      <c r="AK39" s="22">
        <f ca="1">IF($L39&lt;&gt;0,VLOOKUP($N39,'Allocation Factors'!$B$12:$AU$603,26,FALSE)*$L39,0)+IF($H39&lt;&gt;0,(VLOOKUP($J39,'Allocation Factors'!$B$12:$AU$603,26,FALSE)*$H39),0)</f>
        <v>0</v>
      </c>
      <c r="AL39" s="22">
        <f ca="1">IF($L39&lt;&gt;0,VLOOKUP($N39,'Allocation Factors'!$B$12:$AU$603,27,FALSE)*$L39,0)+IF($H39&lt;&gt;0,(VLOOKUP($J39,'Allocation Factors'!$B$12:$AU$603,27,FALSE)*$H39),0)</f>
        <v>0</v>
      </c>
      <c r="AM39" s="22">
        <f ca="1">IF($L39&lt;&gt;0,VLOOKUP($N39,'Allocation Factors'!$B$12:$AU$603,28,FALSE)*$L39,0)+IF($H39&lt;&gt;0,(VLOOKUP($J39,'Allocation Factors'!$B$12:$AU$603,28,FALSE)*$H39),0)</f>
        <v>0</v>
      </c>
      <c r="AN39" s="22">
        <f ca="1">IF($L39&lt;&gt;0,VLOOKUP($N39,'Allocation Factors'!$B$12:$AU$603,29,FALSE)*$L39,0)+IF($H39&lt;&gt;0,(VLOOKUP($J39,'Allocation Factors'!$B$12:$AU$603,29,FALSE)*$H39),0)</f>
        <v>0</v>
      </c>
      <c r="AO39" s="22">
        <f ca="1">IF($L39&lt;&gt;0,VLOOKUP($N39,'Allocation Factors'!$B$12:$AU$603,30,FALSE)*$L39,0)+IF($H39&lt;&gt;0,(VLOOKUP($J39,'Allocation Factors'!$B$12:$AU$603,30,FALSE)*$H39),0)</f>
        <v>0</v>
      </c>
      <c r="AP39" s="22">
        <f ca="1">IF($L39&lt;&gt;0,VLOOKUP($N39,'Allocation Factors'!$B$12:$AU$603,31,FALSE)*$L39,0)+IF($H39&lt;&gt;0,(VLOOKUP($J39,'Allocation Factors'!$B$12:$AU$603,31,FALSE)*$H39),0)</f>
        <v>0</v>
      </c>
      <c r="AQ39" s="22">
        <f ca="1">IF($L39&lt;&gt;0,VLOOKUP($N39,'Allocation Factors'!$B$12:$AU$603,32,FALSE)*$L39,0)+IF($H39&lt;&gt;0,(VLOOKUP($J39,'Allocation Factors'!$B$12:$AU$603,32,FALSE)*$H39),0)</f>
        <v>0</v>
      </c>
      <c r="AR39" s="22">
        <f ca="1">IF($L39&lt;&gt;0,VLOOKUP($N39,'Allocation Factors'!$B$12:$AU$603,33,FALSE)*$L39,0)+IF($H39&lt;&gt;0,(VLOOKUP($J39,'Allocation Factors'!$B$12:$AU$603,33,FALSE)*$H39),0)</f>
        <v>0</v>
      </c>
      <c r="AS39" s="22">
        <f ca="1">IF($L39&lt;&gt;0,VLOOKUP($N39,'Allocation Factors'!$B$12:$AU$603,34,FALSE)*$L39,0)+IF($H39&lt;&gt;0,(VLOOKUP($J39,'Allocation Factors'!$B$12:$AU$603,34,FALSE)*$H39),0)</f>
        <v>0</v>
      </c>
      <c r="AT39" s="22">
        <f ca="1">IF($L39&lt;&gt;0,VLOOKUP($N39,'Allocation Factors'!$B$12:$AU$603,35,FALSE)*$L39,0)+IF($H39&lt;&gt;0,(VLOOKUP($J39,'Allocation Factors'!$B$12:$AU$603,35,FALSE)*$H39),0)</f>
        <v>0</v>
      </c>
      <c r="AU39" s="22">
        <f ca="1">IF($L39&lt;&gt;0,VLOOKUP($N39,'Allocation Factors'!$B$12:$AU$603,36,FALSE)*$L39,0)+IF($H39&lt;&gt;0,(VLOOKUP($J39,'Allocation Factors'!$B$12:$AU$603,36,FALSE)*$H39),0)</f>
        <v>0</v>
      </c>
      <c r="AV39" s="22">
        <f ca="1">IF($L39&lt;&gt;0,VLOOKUP($N39,'Allocation Factors'!$B$12:$AU$603,37,FALSE)*$L39,0)+IF($H39&lt;&gt;0,(VLOOKUP($J39,'Allocation Factors'!$B$12:$AU$603,37,FALSE)*$H39),0)</f>
        <v>0</v>
      </c>
      <c r="AW39" s="22">
        <f ca="1">IF($L39&lt;&gt;0,VLOOKUP($N39,'Allocation Factors'!$B$12:$AU$603,38,FALSE)*$L39,0)+IF($H39&lt;&gt;0,(VLOOKUP($J39,'Allocation Factors'!$B$12:$AU$603,38,FALSE)*$H39),0)</f>
        <v>0</v>
      </c>
      <c r="AX39" s="22">
        <f ca="1">IF($L39&lt;&gt;0,VLOOKUP($N39,'Allocation Factors'!$B$12:$AU$603,39,FALSE)*$L39,0)+IF($H39&lt;&gt;0,(VLOOKUP($J39,'Allocation Factors'!$B$12:$AU$603,39,FALSE)*$H39),0)</f>
        <v>0</v>
      </c>
      <c r="AY39" s="22">
        <f ca="1">IF($L39&lt;&gt;0,VLOOKUP($N39,'Allocation Factors'!$B$12:$AU$603,40,FALSE)*$L39,0)+IF($H39&lt;&gt;0,(VLOOKUP($J39,'Allocation Factors'!$B$12:$AU$603,40,FALSE)*$H39),0)</f>
        <v>0</v>
      </c>
      <c r="AZ39" s="22">
        <f ca="1">IF($L39&lt;&gt;0,VLOOKUP($N39,'Allocation Factors'!$B$12:$AU$603,41,FALSE)*$L39,0)+IF($H39&lt;&gt;0,(VLOOKUP($J39,'Allocation Factors'!$B$12:$AU$603,41,FALSE)*$H39),0)</f>
        <v>0</v>
      </c>
      <c r="BA39" s="22">
        <f ca="1">IF($L39&lt;&gt;0,VLOOKUP($N39,'Allocation Factors'!$B$12:$AU$603,42,FALSE)*$L39,0)+IF($H39&lt;&gt;0,(VLOOKUP($J39,'Allocation Factors'!$B$12:$AU$603,42,FALSE)*$H39),0)</f>
        <v>0</v>
      </c>
      <c r="BB39" s="22">
        <f ca="1">IF($L39&lt;&gt;0,VLOOKUP($N39,'Allocation Factors'!$B$12:$AU$603,43,FALSE)*$L39,0)+IF($H39&lt;&gt;0,(VLOOKUP($J39,'Allocation Factors'!$B$12:$AU$603,43,FALSE)*$H39),0)</f>
        <v>0</v>
      </c>
      <c r="BC39" s="22">
        <f ca="1">IF($L39&lt;&gt;0,VLOOKUP($N39,'Allocation Factors'!$B$12:$AU$603,44,FALSE)*$L39,0)+IF($H39&lt;&gt;0,(VLOOKUP($J39,'Allocation Factors'!$B$12:$AU$603,44,FALSE)*$H39),0)</f>
        <v>0</v>
      </c>
      <c r="BD39" s="22">
        <f ca="1">IF($L39&lt;&gt;0,VLOOKUP($N39,'Allocation Factors'!$B$12:$AU$603,45,FALSE)*$L39,0)+IF($H39&lt;&gt;0,(VLOOKUP($J39,'Allocation Factors'!$B$12:$AU$603,45,FALSE)*$H39),0)</f>
        <v>0</v>
      </c>
      <c r="BE39" s="22">
        <f ca="1">IF($L39&lt;&gt;0,VLOOKUP($N39,'Allocation Factors'!$B$12:$AU$603,46,FALSE)*$L39,0)+IF($H39&lt;&gt;0,(VLOOKUP($J39,'Allocation Factors'!$B$12:$AU$603,46,FALSE)*$H39),0)</f>
        <v>0</v>
      </c>
      <c r="BF39" s="9"/>
    </row>
    <row r="40" spans="1:58" x14ac:dyDescent="0.25">
      <c r="B40" s="73" t="s">
        <v>188</v>
      </c>
      <c r="D40" s="22"/>
      <c r="E40" s="22"/>
      <c r="F40" s="22"/>
      <c r="G40" s="22"/>
      <c r="H40" s="22"/>
      <c r="I40" s="22"/>
      <c r="J40" s="213"/>
      <c r="K40" s="22"/>
      <c r="L40" s="22"/>
    </row>
    <row r="41" spans="1:58" x14ac:dyDescent="0.25">
      <c r="A41" s="2">
        <f>A39+1</f>
        <v>24</v>
      </c>
      <c r="B41" s="206" t="s">
        <v>190</v>
      </c>
      <c r="D41" s="22">
        <v>0</v>
      </c>
      <c r="E41" s="22"/>
      <c r="F41" s="22">
        <f t="shared" ref="F41:F46" si="15">D41</f>
        <v>0</v>
      </c>
      <c r="G41" s="22"/>
      <c r="H41" s="22"/>
      <c r="I41" s="22"/>
      <c r="J41" s="213"/>
      <c r="K41" s="22"/>
      <c r="L41" s="22">
        <f t="shared" si="13"/>
        <v>0</v>
      </c>
      <c r="N41" s="28" t="str">
        <f>'Total ALLOCATION'!N41</f>
        <v>DSM_PRO</v>
      </c>
      <c r="P41" s="22">
        <f>IF($L41&lt;&gt;0,VLOOKUP($N41,'Allocation Factors'!$B$12:$AU$603,5,FALSE)*$L41,0)+IF($H41&lt;&gt;0,(VLOOKUP($J41,'Allocation Factors'!$B$12:$AU$603,5,FALSE)*$H41),0)</f>
        <v>0</v>
      </c>
      <c r="Q41" s="22">
        <f>IF($L41&lt;&gt;0,VLOOKUP($N41,'Allocation Factors'!$B$12:$AU$603,6,FALSE)*$L41,0)+IF($H41&lt;&gt;0,(VLOOKUP($J41,'Allocation Factors'!$B$12:$AU$603,6,FALSE)*$H41),0)</f>
        <v>0</v>
      </c>
      <c r="R41" s="22">
        <f>IF($L41&lt;&gt;0,VLOOKUP($N41,'Allocation Factors'!$B$12:$AU$603,7,FALSE)*$L41,0)+IF($H41&lt;&gt;0,(VLOOKUP($J41,'Allocation Factors'!$B$12:$AU$603,7,FALSE)*$H41),0)</f>
        <v>0</v>
      </c>
      <c r="S41" s="22">
        <f>IF($L41&lt;&gt;0,VLOOKUP($N41,'Allocation Factors'!$B$12:$AU$603,8,FALSE)*$L41,0)+IF($H41&lt;&gt;0,(VLOOKUP($J41,'Allocation Factors'!$B$12:$AU$603,8,FALSE)*$H41),0)</f>
        <v>0</v>
      </c>
      <c r="T41" s="22">
        <f>IF($L41&lt;&gt;0,VLOOKUP($N41,'Allocation Factors'!$B$12:$AU$603,9,FALSE)*$L41,0)+IF($H41&lt;&gt;0,(VLOOKUP($J41,'Allocation Factors'!$B$12:$AU$603,9,FALSE)*$H41),0)</f>
        <v>0</v>
      </c>
      <c r="U41" s="22">
        <f>IF($L41&lt;&gt;0,VLOOKUP($N41,'Allocation Factors'!$B$12:$AU$603,10,FALSE)*$L41,0)+IF($H41&lt;&gt;0,(VLOOKUP($J41,'Allocation Factors'!$B$12:$AU$603,10,FALSE)*$H41),0)</f>
        <v>0</v>
      </c>
      <c r="V41" s="22">
        <f>IF($L41&lt;&gt;0,VLOOKUP($N41,'Allocation Factors'!$B$12:$AU$603,11,FALSE)*$L41,0)+IF($H41&lt;&gt;0,(VLOOKUP($J41,'Allocation Factors'!$B$12:$AU$603,11,FALSE)*$H41),0)</f>
        <v>0</v>
      </c>
      <c r="W41" s="22">
        <f>IF($L41&lt;&gt;0,VLOOKUP($N41,'Allocation Factors'!$B$12:$AU$603,12,FALSE)*$L41,0)+IF($H41&lt;&gt;0,(VLOOKUP($J41,'Allocation Factors'!$B$12:$AU$603,12,FALSE)*$H41),0)</f>
        <v>0</v>
      </c>
      <c r="X41" s="22">
        <f>IF($L41&lt;&gt;0,VLOOKUP($N41,'Allocation Factors'!$B$12:$AU$603,13,FALSE)*$L41,0)+IF($H41&lt;&gt;0,(VLOOKUP($J41,'Allocation Factors'!$B$12:$AU$603,13,FALSE)*$H41),0)</f>
        <v>0</v>
      </c>
      <c r="Y41" s="22">
        <f>IF($L41&lt;&gt;0,VLOOKUP($N41,'Allocation Factors'!$B$12:$AU$603,14,FALSE)*$L41,0)+IF($H41&lt;&gt;0,(VLOOKUP($J41,'Allocation Factors'!$B$12:$AU$603,14,FALSE)*$H41),0)</f>
        <v>0</v>
      </c>
      <c r="Z41" s="22">
        <f>IF($L41&lt;&gt;0,VLOOKUP($N41,'Allocation Factors'!$B$12:$AU$603,15,FALSE)*$L41,0)+IF($H41&lt;&gt;0,(VLOOKUP($J41,'Allocation Factors'!$B$12:$AU$603,15,FALSE)*$H41),0)</f>
        <v>0</v>
      </c>
      <c r="AA41" s="22">
        <f>IF($L41&lt;&gt;0,VLOOKUP($N41,'Allocation Factors'!$B$12:$AU$603,16,FALSE)*$L41,0)+IF($H41&lt;&gt;0,(VLOOKUP($J41,'Allocation Factors'!$B$12:$AU$603,16,FALSE)*$H41),0)</f>
        <v>0</v>
      </c>
      <c r="AB41" s="22">
        <f>IF($L41&lt;&gt;0,VLOOKUP($N41,'Allocation Factors'!$B$12:$AU$603,17,FALSE)*$L41,0)+IF($H41&lt;&gt;0,(VLOOKUP($J41,'Allocation Factors'!$B$12:$AU$603,17,FALSE)*$H41),0)</f>
        <v>0</v>
      </c>
      <c r="AC41" s="22">
        <f>IF($L41&lt;&gt;0,VLOOKUP($N41,'Allocation Factors'!$B$12:$AU$603,18,FALSE)*$L41,0)+IF($H41&lt;&gt;0,(VLOOKUP($J41,'Allocation Factors'!$B$12:$AU$603,18,FALSE)*$H41),0)</f>
        <v>0</v>
      </c>
      <c r="AD41" s="22">
        <f>IF($L41&lt;&gt;0,VLOOKUP($N41,'Allocation Factors'!$B$12:$AU$603,19,FALSE)*$L41,0)+IF($H41&lt;&gt;0,(VLOOKUP($J41,'Allocation Factors'!$B$12:$AU$603,19,FALSE)*$H41),0)</f>
        <v>0</v>
      </c>
      <c r="AE41" s="22">
        <f>IF($L41&lt;&gt;0,VLOOKUP($N41,'Allocation Factors'!$B$12:$AU$603,20,FALSE)*$L41,0)+IF($H41&lt;&gt;0,(VLOOKUP($J41,'Allocation Factors'!$B$12:$AU$603,20,FALSE)*$H41),0)</f>
        <v>0</v>
      </c>
      <c r="AF41" s="22">
        <f>IF($L41&lt;&gt;0,VLOOKUP($N41,'Allocation Factors'!$B$12:$AU$603,21,FALSE)*$L41,0)+IF($H41&lt;&gt;0,(VLOOKUP($J41,'Allocation Factors'!$B$12:$AU$603,21,FALSE)*$H41),0)</f>
        <v>0</v>
      </c>
      <c r="AG41" s="22">
        <f>IF($L41&lt;&gt;0,VLOOKUP($N41,'Allocation Factors'!$B$12:$AU$603,22,FALSE)*$L41,0)+IF($H41&lt;&gt;0,(VLOOKUP($J41,'Allocation Factors'!$B$12:$AU$603,22,FALSE)*$H41),0)</f>
        <v>0</v>
      </c>
      <c r="AH41" s="22">
        <f>IF($L41&lt;&gt;0,VLOOKUP($N41,'Allocation Factors'!$B$12:$AU$603,23,FALSE)*$L41,0)+IF($H41&lt;&gt;0,(VLOOKUP($J41,'Allocation Factors'!$B$12:$AU$603,23,FALSE)*$H41),0)</f>
        <v>0</v>
      </c>
      <c r="AI41" s="22">
        <f>IF($L41&lt;&gt;0,VLOOKUP($N41,'Allocation Factors'!$B$12:$AU$603,24,FALSE)*$L41,0)+IF($H41&lt;&gt;0,(VLOOKUP($J41,'Allocation Factors'!$B$12:$AU$603,24,FALSE)*$H41),0)</f>
        <v>0</v>
      </c>
      <c r="AJ41" s="22">
        <f>IF($L41&lt;&gt;0,VLOOKUP($N41,'Allocation Factors'!$B$12:$AU$603,25,FALSE)*$L41,0)+IF($H41&lt;&gt;0,(VLOOKUP($J41,'Allocation Factors'!$B$12:$AU$603,25,FALSE)*$H41),0)</f>
        <v>0</v>
      </c>
      <c r="AK41" s="22">
        <f>IF($L41&lt;&gt;0,VLOOKUP($N41,'Allocation Factors'!$B$12:$AU$603,26,FALSE)*$L41,0)+IF($H41&lt;&gt;0,(VLOOKUP($J41,'Allocation Factors'!$B$12:$AU$603,26,FALSE)*$H41),0)</f>
        <v>0</v>
      </c>
      <c r="AL41" s="22">
        <f>IF($L41&lt;&gt;0,VLOOKUP($N41,'Allocation Factors'!$B$12:$AU$603,27,FALSE)*$L41,0)+IF($H41&lt;&gt;0,(VLOOKUP($J41,'Allocation Factors'!$B$12:$AU$603,27,FALSE)*$H41),0)</f>
        <v>0</v>
      </c>
      <c r="AM41" s="22">
        <f>IF($L41&lt;&gt;0,VLOOKUP($N41,'Allocation Factors'!$B$12:$AU$603,28,FALSE)*$L41,0)+IF($H41&lt;&gt;0,(VLOOKUP($J41,'Allocation Factors'!$B$12:$AU$603,28,FALSE)*$H41),0)</f>
        <v>0</v>
      </c>
      <c r="AN41" s="22">
        <f>IF($L41&lt;&gt;0,VLOOKUP($N41,'Allocation Factors'!$B$12:$AU$603,29,FALSE)*$L41,0)+IF($H41&lt;&gt;0,(VLOOKUP($J41,'Allocation Factors'!$B$12:$AU$603,29,FALSE)*$H41),0)</f>
        <v>0</v>
      </c>
      <c r="AO41" s="22">
        <f>IF($L41&lt;&gt;0,VLOOKUP($N41,'Allocation Factors'!$B$12:$AU$603,30,FALSE)*$L41,0)+IF($H41&lt;&gt;0,(VLOOKUP($J41,'Allocation Factors'!$B$12:$AU$603,30,FALSE)*$H41),0)</f>
        <v>0</v>
      </c>
      <c r="AP41" s="22">
        <f>IF($L41&lt;&gt;0,VLOOKUP($N41,'Allocation Factors'!$B$12:$AU$603,31,FALSE)*$L41,0)+IF($H41&lt;&gt;0,(VLOOKUP($J41,'Allocation Factors'!$B$12:$AU$603,31,FALSE)*$H41),0)</f>
        <v>0</v>
      </c>
      <c r="AQ41" s="22">
        <f>IF($L41&lt;&gt;0,VLOOKUP($N41,'Allocation Factors'!$B$12:$AU$603,32,FALSE)*$L41,0)+IF($H41&lt;&gt;0,(VLOOKUP($J41,'Allocation Factors'!$B$12:$AU$603,32,FALSE)*$H41),0)</f>
        <v>0</v>
      </c>
      <c r="AR41" s="22">
        <f>IF($L41&lt;&gt;0,VLOOKUP($N41,'Allocation Factors'!$B$12:$AU$603,33,FALSE)*$L41,0)+IF($H41&lt;&gt;0,(VLOOKUP($J41,'Allocation Factors'!$B$12:$AU$603,33,FALSE)*$H41),0)</f>
        <v>0</v>
      </c>
      <c r="AS41" s="22">
        <f>IF($L41&lt;&gt;0,VLOOKUP($N41,'Allocation Factors'!$B$12:$AU$603,34,FALSE)*$L41,0)+IF($H41&lt;&gt;0,(VLOOKUP($J41,'Allocation Factors'!$B$12:$AU$603,34,FALSE)*$H41),0)</f>
        <v>0</v>
      </c>
      <c r="AT41" s="22">
        <f>IF($L41&lt;&gt;0,VLOOKUP($N41,'Allocation Factors'!$B$12:$AU$603,35,FALSE)*$L41,0)+IF($H41&lt;&gt;0,(VLOOKUP($J41,'Allocation Factors'!$B$12:$AU$603,35,FALSE)*$H41),0)</f>
        <v>0</v>
      </c>
      <c r="AU41" s="22">
        <f>IF($L41&lt;&gt;0,VLOOKUP($N41,'Allocation Factors'!$B$12:$AU$603,36,FALSE)*$L41,0)+IF($H41&lt;&gt;0,(VLOOKUP($J41,'Allocation Factors'!$B$12:$AU$603,36,FALSE)*$H41),0)</f>
        <v>0</v>
      </c>
      <c r="AV41" s="22">
        <f>IF($L41&lt;&gt;0,VLOOKUP($N41,'Allocation Factors'!$B$12:$AU$603,37,FALSE)*$L41,0)+IF($H41&lt;&gt;0,(VLOOKUP($J41,'Allocation Factors'!$B$12:$AU$603,37,FALSE)*$H41),0)</f>
        <v>0</v>
      </c>
      <c r="AW41" s="22">
        <f>IF($L41&lt;&gt;0,VLOOKUP($N41,'Allocation Factors'!$B$12:$AU$603,38,FALSE)*$L41,0)+IF($H41&lt;&gt;0,(VLOOKUP($J41,'Allocation Factors'!$B$12:$AU$603,38,FALSE)*$H41),0)</f>
        <v>0</v>
      </c>
      <c r="AX41" s="22">
        <f>IF($L41&lt;&gt;0,VLOOKUP($N41,'Allocation Factors'!$B$12:$AU$603,39,FALSE)*$L41,0)+IF($H41&lt;&gt;0,(VLOOKUP($J41,'Allocation Factors'!$B$12:$AU$603,39,FALSE)*$H41),0)</f>
        <v>0</v>
      </c>
      <c r="AY41" s="22">
        <f>IF($L41&lt;&gt;0,VLOOKUP($N41,'Allocation Factors'!$B$12:$AU$603,40,FALSE)*$L41,0)+IF($H41&lt;&gt;0,(VLOOKUP($J41,'Allocation Factors'!$B$12:$AU$603,40,FALSE)*$H41),0)</f>
        <v>0</v>
      </c>
      <c r="AZ41" s="22">
        <f>IF($L41&lt;&gt;0,VLOOKUP($N41,'Allocation Factors'!$B$12:$AU$603,41,FALSE)*$L41,0)+IF($H41&lt;&gt;0,(VLOOKUP($J41,'Allocation Factors'!$B$12:$AU$603,41,FALSE)*$H41),0)</f>
        <v>0</v>
      </c>
      <c r="BA41" s="22">
        <f>IF($L41&lt;&gt;0,VLOOKUP($N41,'Allocation Factors'!$B$12:$AU$603,42,FALSE)*$L41,0)+IF($H41&lt;&gt;0,(VLOOKUP($J41,'Allocation Factors'!$B$12:$AU$603,42,FALSE)*$H41),0)</f>
        <v>0</v>
      </c>
      <c r="BB41" s="22">
        <f>IF($L41&lt;&gt;0,VLOOKUP($N41,'Allocation Factors'!$B$12:$AU$603,43,FALSE)*$L41,0)+IF($H41&lt;&gt;0,(VLOOKUP($J41,'Allocation Factors'!$B$12:$AU$603,43,FALSE)*$H41),0)</f>
        <v>0</v>
      </c>
      <c r="BC41" s="22">
        <f>IF($L41&lt;&gt;0,VLOOKUP($N41,'Allocation Factors'!$B$12:$AU$603,44,FALSE)*$L41,0)+IF($H41&lt;&gt;0,(VLOOKUP($J41,'Allocation Factors'!$B$12:$AU$603,44,FALSE)*$H41),0)</f>
        <v>0</v>
      </c>
      <c r="BD41" s="22">
        <f>IF($L41&lt;&gt;0,VLOOKUP($N41,'Allocation Factors'!$B$12:$AU$603,45,FALSE)*$L41,0)+IF($H41&lt;&gt;0,(VLOOKUP($J41,'Allocation Factors'!$B$12:$AU$603,45,FALSE)*$H41),0)</f>
        <v>0</v>
      </c>
      <c r="BE41" s="22">
        <f>IF($L41&lt;&gt;0,VLOOKUP($N41,'Allocation Factors'!$B$12:$AU$603,46,FALSE)*$L41,0)+IF($H41&lt;&gt;0,(VLOOKUP($J41,'Allocation Factors'!$B$12:$AU$603,46,FALSE)*$H41),0)</f>
        <v>0</v>
      </c>
      <c r="BF41" s="9"/>
    </row>
    <row r="42" spans="1:58" x14ac:dyDescent="0.25">
      <c r="A42" s="2">
        <f t="shared" si="14"/>
        <v>25</v>
      </c>
      <c r="B42" s="206" t="s">
        <v>191</v>
      </c>
      <c r="D42" s="22">
        <f ca="1">+SUM('Distribution Class'!V116:V122)</f>
        <v>0</v>
      </c>
      <c r="E42" s="22"/>
      <c r="F42" s="22">
        <f t="shared" ca="1" si="15"/>
        <v>0</v>
      </c>
      <c r="G42" s="22"/>
      <c r="H42" s="22"/>
      <c r="I42" s="22"/>
      <c r="J42" s="213"/>
      <c r="K42" s="22"/>
      <c r="L42" s="22">
        <f t="shared" ca="1" si="13"/>
        <v>0</v>
      </c>
      <c r="N42" s="28" t="str">
        <f>'Total ALLOCATION'!N42</f>
        <v>DSM_ADM</v>
      </c>
      <c r="P42" s="22">
        <f ca="1">IF($L42&lt;&gt;0,VLOOKUP($N42,'Allocation Factors'!$B$12:$AU$603,5,FALSE)*$L42,0)+IF($H42&lt;&gt;0,(VLOOKUP($J42,'Allocation Factors'!$B$12:$AU$603,5,FALSE)*$H42),0)</f>
        <v>0</v>
      </c>
      <c r="Q42" s="22">
        <f ca="1">IF($L42&lt;&gt;0,VLOOKUP($N42,'Allocation Factors'!$B$12:$AU$603,6,FALSE)*$L42,0)+IF($H42&lt;&gt;0,(VLOOKUP($J42,'Allocation Factors'!$B$12:$AU$603,6,FALSE)*$H42),0)</f>
        <v>0</v>
      </c>
      <c r="R42" s="22">
        <f ca="1">IF($L42&lt;&gt;0,VLOOKUP($N42,'Allocation Factors'!$B$12:$AU$603,7,FALSE)*$L42,0)+IF($H42&lt;&gt;0,(VLOOKUP($J42,'Allocation Factors'!$B$12:$AU$603,7,FALSE)*$H42),0)</f>
        <v>0</v>
      </c>
      <c r="S42" s="22">
        <f ca="1">IF($L42&lt;&gt;0,VLOOKUP($N42,'Allocation Factors'!$B$12:$AU$603,8,FALSE)*$L42,0)+IF($H42&lt;&gt;0,(VLOOKUP($J42,'Allocation Factors'!$B$12:$AU$603,8,FALSE)*$H42),0)</f>
        <v>0</v>
      </c>
      <c r="T42" s="22">
        <f ca="1">IF($L42&lt;&gt;0,VLOOKUP($N42,'Allocation Factors'!$B$12:$AU$603,9,FALSE)*$L42,0)+IF($H42&lt;&gt;0,(VLOOKUP($J42,'Allocation Factors'!$B$12:$AU$603,9,FALSE)*$H42),0)</f>
        <v>0</v>
      </c>
      <c r="U42" s="22">
        <f ca="1">IF($L42&lt;&gt;0,VLOOKUP($N42,'Allocation Factors'!$B$12:$AU$603,10,FALSE)*$L42,0)+IF($H42&lt;&gt;0,(VLOOKUP($J42,'Allocation Factors'!$B$12:$AU$603,10,FALSE)*$H42),0)</f>
        <v>0</v>
      </c>
      <c r="V42" s="22">
        <f ca="1">IF($L42&lt;&gt;0,VLOOKUP($N42,'Allocation Factors'!$B$12:$AU$603,11,FALSE)*$L42,0)+IF($H42&lt;&gt;0,(VLOOKUP($J42,'Allocation Factors'!$B$12:$AU$603,11,FALSE)*$H42),0)</f>
        <v>0</v>
      </c>
      <c r="W42" s="22">
        <f ca="1">IF($L42&lt;&gt;0,VLOOKUP($N42,'Allocation Factors'!$B$12:$AU$603,12,FALSE)*$L42,0)+IF($H42&lt;&gt;0,(VLOOKUP($J42,'Allocation Factors'!$B$12:$AU$603,12,FALSE)*$H42),0)</f>
        <v>0</v>
      </c>
      <c r="X42" s="22">
        <f ca="1">IF($L42&lt;&gt;0,VLOOKUP($N42,'Allocation Factors'!$B$12:$AU$603,13,FALSE)*$L42,0)+IF($H42&lt;&gt;0,(VLOOKUP($J42,'Allocation Factors'!$B$12:$AU$603,13,FALSE)*$H42),0)</f>
        <v>0</v>
      </c>
      <c r="Y42" s="22">
        <f ca="1">IF($L42&lt;&gt;0,VLOOKUP($N42,'Allocation Factors'!$B$12:$AU$603,14,FALSE)*$L42,0)+IF($H42&lt;&gt;0,(VLOOKUP($J42,'Allocation Factors'!$B$12:$AU$603,14,FALSE)*$H42),0)</f>
        <v>0</v>
      </c>
      <c r="Z42" s="22">
        <f ca="1">IF($L42&lt;&gt;0,VLOOKUP($N42,'Allocation Factors'!$B$12:$AU$603,15,FALSE)*$L42,0)+IF($H42&lt;&gt;0,(VLOOKUP($J42,'Allocation Factors'!$B$12:$AU$603,15,FALSE)*$H42),0)</f>
        <v>0</v>
      </c>
      <c r="AA42" s="22">
        <f ca="1">IF($L42&lt;&gt;0,VLOOKUP($N42,'Allocation Factors'!$B$12:$AU$603,16,FALSE)*$L42,0)+IF($H42&lt;&gt;0,(VLOOKUP($J42,'Allocation Factors'!$B$12:$AU$603,16,FALSE)*$H42),0)</f>
        <v>0</v>
      </c>
      <c r="AB42" s="22">
        <f ca="1">IF($L42&lt;&gt;0,VLOOKUP($N42,'Allocation Factors'!$B$12:$AU$603,17,FALSE)*$L42,0)+IF($H42&lt;&gt;0,(VLOOKUP($J42,'Allocation Factors'!$B$12:$AU$603,17,FALSE)*$H42),0)</f>
        <v>0</v>
      </c>
      <c r="AC42" s="22">
        <f ca="1">IF($L42&lt;&gt;0,VLOOKUP($N42,'Allocation Factors'!$B$12:$AU$603,18,FALSE)*$L42,0)+IF($H42&lt;&gt;0,(VLOOKUP($J42,'Allocation Factors'!$B$12:$AU$603,18,FALSE)*$H42),0)</f>
        <v>0</v>
      </c>
      <c r="AD42" s="22">
        <f ca="1">IF($L42&lt;&gt;0,VLOOKUP($N42,'Allocation Factors'!$B$12:$AU$603,19,FALSE)*$L42,0)+IF($H42&lt;&gt;0,(VLOOKUP($J42,'Allocation Factors'!$B$12:$AU$603,19,FALSE)*$H42),0)</f>
        <v>0</v>
      </c>
      <c r="AE42" s="22">
        <f ca="1">IF($L42&lt;&gt;0,VLOOKUP($N42,'Allocation Factors'!$B$12:$AU$603,20,FALSE)*$L42,0)+IF($H42&lt;&gt;0,(VLOOKUP($J42,'Allocation Factors'!$B$12:$AU$603,20,FALSE)*$H42),0)</f>
        <v>0</v>
      </c>
      <c r="AF42" s="22">
        <f ca="1">IF($L42&lt;&gt;0,VLOOKUP($N42,'Allocation Factors'!$B$12:$AU$603,21,FALSE)*$L42,0)+IF($H42&lt;&gt;0,(VLOOKUP($J42,'Allocation Factors'!$B$12:$AU$603,21,FALSE)*$H42),0)</f>
        <v>0</v>
      </c>
      <c r="AG42" s="22">
        <f ca="1">IF($L42&lt;&gt;0,VLOOKUP($N42,'Allocation Factors'!$B$12:$AU$603,22,FALSE)*$L42,0)+IF($H42&lt;&gt;0,(VLOOKUP($J42,'Allocation Factors'!$B$12:$AU$603,22,FALSE)*$H42),0)</f>
        <v>0</v>
      </c>
      <c r="AH42" s="22">
        <f ca="1">IF($L42&lt;&gt;0,VLOOKUP($N42,'Allocation Factors'!$B$12:$AU$603,23,FALSE)*$L42,0)+IF($H42&lt;&gt;0,(VLOOKUP($J42,'Allocation Factors'!$B$12:$AU$603,23,FALSE)*$H42),0)</f>
        <v>0</v>
      </c>
      <c r="AI42" s="22">
        <f ca="1">IF($L42&lt;&gt;0,VLOOKUP($N42,'Allocation Factors'!$B$12:$AU$603,24,FALSE)*$L42,0)+IF($H42&lt;&gt;0,(VLOOKUP($J42,'Allocation Factors'!$B$12:$AU$603,24,FALSE)*$H42),0)</f>
        <v>0</v>
      </c>
      <c r="AJ42" s="22">
        <f ca="1">IF($L42&lt;&gt;0,VLOOKUP($N42,'Allocation Factors'!$B$12:$AU$603,25,FALSE)*$L42,0)+IF($H42&lt;&gt;0,(VLOOKUP($J42,'Allocation Factors'!$B$12:$AU$603,25,FALSE)*$H42),0)</f>
        <v>0</v>
      </c>
      <c r="AK42" s="22">
        <f ca="1">IF($L42&lt;&gt;0,VLOOKUP($N42,'Allocation Factors'!$B$12:$AU$603,26,FALSE)*$L42,0)+IF($H42&lt;&gt;0,(VLOOKUP($J42,'Allocation Factors'!$B$12:$AU$603,26,FALSE)*$H42),0)</f>
        <v>0</v>
      </c>
      <c r="AL42" s="22">
        <f ca="1">IF($L42&lt;&gt;0,VLOOKUP($N42,'Allocation Factors'!$B$12:$AU$603,27,FALSE)*$L42,0)+IF($H42&lt;&gt;0,(VLOOKUP($J42,'Allocation Factors'!$B$12:$AU$603,27,FALSE)*$H42),0)</f>
        <v>0</v>
      </c>
      <c r="AM42" s="22">
        <f ca="1">IF($L42&lt;&gt;0,VLOOKUP($N42,'Allocation Factors'!$B$12:$AU$603,28,FALSE)*$L42,0)+IF($H42&lt;&gt;0,(VLOOKUP($J42,'Allocation Factors'!$B$12:$AU$603,28,FALSE)*$H42),0)</f>
        <v>0</v>
      </c>
      <c r="AN42" s="22">
        <f ca="1">IF($L42&lt;&gt;0,VLOOKUP($N42,'Allocation Factors'!$B$12:$AU$603,29,FALSE)*$L42,0)+IF($H42&lt;&gt;0,(VLOOKUP($J42,'Allocation Factors'!$B$12:$AU$603,29,FALSE)*$H42),0)</f>
        <v>0</v>
      </c>
      <c r="AO42" s="22">
        <f ca="1">IF($L42&lt;&gt;0,VLOOKUP($N42,'Allocation Factors'!$B$12:$AU$603,30,FALSE)*$L42,0)+IF($H42&lt;&gt;0,(VLOOKUP($J42,'Allocation Factors'!$B$12:$AU$603,30,FALSE)*$H42),0)</f>
        <v>0</v>
      </c>
      <c r="AP42" s="22">
        <f ca="1">IF($L42&lt;&gt;0,VLOOKUP($N42,'Allocation Factors'!$B$12:$AU$603,31,FALSE)*$L42,0)+IF($H42&lt;&gt;0,(VLOOKUP($J42,'Allocation Factors'!$B$12:$AU$603,31,FALSE)*$H42),0)</f>
        <v>0</v>
      </c>
      <c r="AQ42" s="22">
        <f ca="1">IF($L42&lt;&gt;0,VLOOKUP($N42,'Allocation Factors'!$B$12:$AU$603,32,FALSE)*$L42,0)+IF($H42&lt;&gt;0,(VLOOKUP($J42,'Allocation Factors'!$B$12:$AU$603,32,FALSE)*$H42),0)</f>
        <v>0</v>
      </c>
      <c r="AR42" s="22">
        <f ca="1">IF($L42&lt;&gt;0,VLOOKUP($N42,'Allocation Factors'!$B$12:$AU$603,33,FALSE)*$L42,0)+IF($H42&lt;&gt;0,(VLOOKUP($J42,'Allocation Factors'!$B$12:$AU$603,33,FALSE)*$H42),0)</f>
        <v>0</v>
      </c>
      <c r="AS42" s="22">
        <f ca="1">IF($L42&lt;&gt;0,VLOOKUP($N42,'Allocation Factors'!$B$12:$AU$603,34,FALSE)*$L42,0)+IF($H42&lt;&gt;0,(VLOOKUP($J42,'Allocation Factors'!$B$12:$AU$603,34,FALSE)*$H42),0)</f>
        <v>0</v>
      </c>
      <c r="AT42" s="22">
        <f ca="1">IF($L42&lt;&gt;0,VLOOKUP($N42,'Allocation Factors'!$B$12:$AU$603,35,FALSE)*$L42,0)+IF($H42&lt;&gt;0,(VLOOKUP($J42,'Allocation Factors'!$B$12:$AU$603,35,FALSE)*$H42),0)</f>
        <v>0</v>
      </c>
      <c r="AU42" s="22">
        <f ca="1">IF($L42&lt;&gt;0,VLOOKUP($N42,'Allocation Factors'!$B$12:$AU$603,36,FALSE)*$L42,0)+IF($H42&lt;&gt;0,(VLOOKUP($J42,'Allocation Factors'!$B$12:$AU$603,36,FALSE)*$H42),0)</f>
        <v>0</v>
      </c>
      <c r="AV42" s="22">
        <f ca="1">IF($L42&lt;&gt;0,VLOOKUP($N42,'Allocation Factors'!$B$12:$AU$603,37,FALSE)*$L42,0)+IF($H42&lt;&gt;0,(VLOOKUP($J42,'Allocation Factors'!$B$12:$AU$603,37,FALSE)*$H42),0)</f>
        <v>0</v>
      </c>
      <c r="AW42" s="22">
        <f ca="1">IF($L42&lt;&gt;0,VLOOKUP($N42,'Allocation Factors'!$B$12:$AU$603,38,FALSE)*$L42,0)+IF($H42&lt;&gt;0,(VLOOKUP($J42,'Allocation Factors'!$B$12:$AU$603,38,FALSE)*$H42),0)</f>
        <v>0</v>
      </c>
      <c r="AX42" s="22">
        <f ca="1">IF($L42&lt;&gt;0,VLOOKUP($N42,'Allocation Factors'!$B$12:$AU$603,39,FALSE)*$L42,0)+IF($H42&lt;&gt;0,(VLOOKUP($J42,'Allocation Factors'!$B$12:$AU$603,39,FALSE)*$H42),0)</f>
        <v>0</v>
      </c>
      <c r="AY42" s="22">
        <f ca="1">IF($L42&lt;&gt;0,VLOOKUP($N42,'Allocation Factors'!$B$12:$AU$603,40,FALSE)*$L42,0)+IF($H42&lt;&gt;0,(VLOOKUP($J42,'Allocation Factors'!$B$12:$AU$603,40,FALSE)*$H42),0)</f>
        <v>0</v>
      </c>
      <c r="AZ42" s="22">
        <f ca="1">IF($L42&lt;&gt;0,VLOOKUP($N42,'Allocation Factors'!$B$12:$AU$603,41,FALSE)*$L42,0)+IF($H42&lt;&gt;0,(VLOOKUP($J42,'Allocation Factors'!$B$12:$AU$603,41,FALSE)*$H42),0)</f>
        <v>0</v>
      </c>
      <c r="BA42" s="22">
        <f ca="1">IF($L42&lt;&gt;0,VLOOKUP($N42,'Allocation Factors'!$B$12:$AU$603,42,FALSE)*$L42,0)+IF($H42&lt;&gt;0,(VLOOKUP($J42,'Allocation Factors'!$B$12:$AU$603,42,FALSE)*$H42),0)</f>
        <v>0</v>
      </c>
      <c r="BB42" s="22">
        <f ca="1">IF($L42&lt;&gt;0,VLOOKUP($N42,'Allocation Factors'!$B$12:$AU$603,43,FALSE)*$L42,0)+IF($H42&lt;&gt;0,(VLOOKUP($J42,'Allocation Factors'!$B$12:$AU$603,43,FALSE)*$H42),0)</f>
        <v>0</v>
      </c>
      <c r="BC42" s="22">
        <f ca="1">IF($L42&lt;&gt;0,VLOOKUP($N42,'Allocation Factors'!$B$12:$AU$603,44,FALSE)*$L42,0)+IF($H42&lt;&gt;0,(VLOOKUP($J42,'Allocation Factors'!$B$12:$AU$603,44,FALSE)*$H42),0)</f>
        <v>0</v>
      </c>
      <c r="BD42" s="22">
        <f ca="1">IF($L42&lt;&gt;0,VLOOKUP($N42,'Allocation Factors'!$B$12:$AU$603,45,FALSE)*$L42,0)+IF($H42&lt;&gt;0,(VLOOKUP($J42,'Allocation Factors'!$B$12:$AU$603,45,FALSE)*$H42),0)</f>
        <v>0</v>
      </c>
      <c r="BE42" s="22">
        <f ca="1">IF($L42&lt;&gt;0,VLOOKUP($N42,'Allocation Factors'!$B$12:$AU$603,46,FALSE)*$L42,0)+IF($H42&lt;&gt;0,(VLOOKUP($J42,'Allocation Factors'!$B$12:$AU$603,46,FALSE)*$H42),0)</f>
        <v>0</v>
      </c>
      <c r="BF42" s="9"/>
    </row>
    <row r="43" spans="1:58" x14ac:dyDescent="0.25">
      <c r="A43" s="2">
        <f t="shared" si="14"/>
        <v>26</v>
      </c>
      <c r="B43" s="73" t="s">
        <v>124</v>
      </c>
      <c r="D43" s="22">
        <f ca="1">SUM('Distribution Class'!X116:X120,'Distribution Class'!X122)</f>
        <v>0</v>
      </c>
      <c r="E43" s="22"/>
      <c r="F43" s="22">
        <f t="shared" ca="1" si="15"/>
        <v>0</v>
      </c>
      <c r="G43" s="22"/>
      <c r="H43" s="22"/>
      <c r="I43" s="22"/>
      <c r="J43" s="213"/>
      <c r="K43" s="22"/>
      <c r="L43" s="22">
        <f t="shared" ca="1" si="13"/>
        <v>0</v>
      </c>
      <c r="N43" s="28" t="str">
        <f>'Total ALLOCATION'!N43</f>
        <v>TOTAL_CUSTOMERS</v>
      </c>
      <c r="P43" s="22">
        <f ca="1">IF($L43&lt;&gt;0,VLOOKUP($N43,'Allocation Factors'!$B$12:$AU$603,5,FALSE)*$L43,0)+IF($H43&lt;&gt;0,(VLOOKUP($J43,'Allocation Factors'!$B$12:$AU$603,5,FALSE)*$H43),0)</f>
        <v>0</v>
      </c>
      <c r="Q43" s="22">
        <f ca="1">IF($L43&lt;&gt;0,VLOOKUP($N43,'Allocation Factors'!$B$12:$AU$603,6,FALSE)*$L43,0)+IF($H43&lt;&gt;0,(VLOOKUP($J43,'Allocation Factors'!$B$12:$AU$603,6,FALSE)*$H43),0)</f>
        <v>0</v>
      </c>
      <c r="R43" s="22">
        <f ca="1">IF($L43&lt;&gt;0,VLOOKUP($N43,'Allocation Factors'!$B$12:$AU$603,7,FALSE)*$L43,0)+IF($H43&lt;&gt;0,(VLOOKUP($J43,'Allocation Factors'!$B$12:$AU$603,7,FALSE)*$H43),0)</f>
        <v>0</v>
      </c>
      <c r="S43" s="22">
        <f ca="1">IF($L43&lt;&gt;0,VLOOKUP($N43,'Allocation Factors'!$B$12:$AU$603,8,FALSE)*$L43,0)+IF($H43&lt;&gt;0,(VLOOKUP($J43,'Allocation Factors'!$B$12:$AU$603,8,FALSE)*$H43),0)</f>
        <v>0</v>
      </c>
      <c r="T43" s="22">
        <f ca="1">IF($L43&lt;&gt;0,VLOOKUP($N43,'Allocation Factors'!$B$12:$AU$603,9,FALSE)*$L43,0)+IF($H43&lt;&gt;0,(VLOOKUP($J43,'Allocation Factors'!$B$12:$AU$603,9,FALSE)*$H43),0)</f>
        <v>0</v>
      </c>
      <c r="U43" s="22">
        <f ca="1">IF($L43&lt;&gt;0,VLOOKUP($N43,'Allocation Factors'!$B$12:$AU$603,10,FALSE)*$L43,0)+IF($H43&lt;&gt;0,(VLOOKUP($J43,'Allocation Factors'!$B$12:$AU$603,10,FALSE)*$H43),0)</f>
        <v>0</v>
      </c>
      <c r="V43" s="22">
        <f ca="1">IF($L43&lt;&gt;0,VLOOKUP($N43,'Allocation Factors'!$B$12:$AU$603,11,FALSE)*$L43,0)+IF($H43&lt;&gt;0,(VLOOKUP($J43,'Allocation Factors'!$B$12:$AU$603,11,FALSE)*$H43),0)</f>
        <v>0</v>
      </c>
      <c r="W43" s="22">
        <f ca="1">IF($L43&lt;&gt;0,VLOOKUP($N43,'Allocation Factors'!$B$12:$AU$603,12,FALSE)*$L43,0)+IF($H43&lt;&gt;0,(VLOOKUP($J43,'Allocation Factors'!$B$12:$AU$603,12,FALSE)*$H43),0)</f>
        <v>0</v>
      </c>
      <c r="X43" s="22">
        <f ca="1">IF($L43&lt;&gt;0,VLOOKUP($N43,'Allocation Factors'!$B$12:$AU$603,13,FALSE)*$L43,0)+IF($H43&lt;&gt;0,(VLOOKUP($J43,'Allocation Factors'!$B$12:$AU$603,13,FALSE)*$H43),0)</f>
        <v>0</v>
      </c>
      <c r="Y43" s="22">
        <f ca="1">IF($L43&lt;&gt;0,VLOOKUP($N43,'Allocation Factors'!$B$12:$AU$603,14,FALSE)*$L43,0)+IF($H43&lt;&gt;0,(VLOOKUP($J43,'Allocation Factors'!$B$12:$AU$603,14,FALSE)*$H43),0)</f>
        <v>0</v>
      </c>
      <c r="Z43" s="22">
        <f ca="1">IF($L43&lt;&gt;0,VLOOKUP($N43,'Allocation Factors'!$B$12:$AU$603,15,FALSE)*$L43,0)+IF($H43&lt;&gt;0,(VLOOKUP($J43,'Allocation Factors'!$B$12:$AU$603,15,FALSE)*$H43),0)</f>
        <v>0</v>
      </c>
      <c r="AA43" s="22">
        <f ca="1">IF($L43&lt;&gt;0,VLOOKUP($N43,'Allocation Factors'!$B$12:$AU$603,16,FALSE)*$L43,0)+IF($H43&lt;&gt;0,(VLOOKUP($J43,'Allocation Factors'!$B$12:$AU$603,16,FALSE)*$H43),0)</f>
        <v>0</v>
      </c>
      <c r="AB43" s="22">
        <f ca="1">IF($L43&lt;&gt;0,VLOOKUP($N43,'Allocation Factors'!$B$12:$AU$603,17,FALSE)*$L43,0)+IF($H43&lt;&gt;0,(VLOOKUP($J43,'Allocation Factors'!$B$12:$AU$603,17,FALSE)*$H43),0)</f>
        <v>0</v>
      </c>
      <c r="AC43" s="22">
        <f ca="1">IF($L43&lt;&gt;0,VLOOKUP($N43,'Allocation Factors'!$B$12:$AU$603,18,FALSE)*$L43,0)+IF($H43&lt;&gt;0,(VLOOKUP($J43,'Allocation Factors'!$B$12:$AU$603,18,FALSE)*$H43),0)</f>
        <v>0</v>
      </c>
      <c r="AD43" s="22">
        <f ca="1">IF($L43&lt;&gt;0,VLOOKUP($N43,'Allocation Factors'!$B$12:$AU$603,19,FALSE)*$L43,0)+IF($H43&lt;&gt;0,(VLOOKUP($J43,'Allocation Factors'!$B$12:$AU$603,19,FALSE)*$H43),0)</f>
        <v>0</v>
      </c>
      <c r="AE43" s="22">
        <f ca="1">IF($L43&lt;&gt;0,VLOOKUP($N43,'Allocation Factors'!$B$12:$AU$603,20,FALSE)*$L43,0)+IF($H43&lt;&gt;0,(VLOOKUP($J43,'Allocation Factors'!$B$12:$AU$603,20,FALSE)*$H43),0)</f>
        <v>0</v>
      </c>
      <c r="AF43" s="22">
        <f ca="1">IF($L43&lt;&gt;0,VLOOKUP($N43,'Allocation Factors'!$B$12:$AU$603,21,FALSE)*$L43,0)+IF($H43&lt;&gt;0,(VLOOKUP($J43,'Allocation Factors'!$B$12:$AU$603,21,FALSE)*$H43),0)</f>
        <v>0</v>
      </c>
      <c r="AG43" s="22">
        <f ca="1">IF($L43&lt;&gt;0,VLOOKUP($N43,'Allocation Factors'!$B$12:$AU$603,22,FALSE)*$L43,0)+IF($H43&lt;&gt;0,(VLOOKUP($J43,'Allocation Factors'!$B$12:$AU$603,22,FALSE)*$H43),0)</f>
        <v>0</v>
      </c>
      <c r="AH43" s="22">
        <f ca="1">IF($L43&lt;&gt;0,VLOOKUP($N43,'Allocation Factors'!$B$12:$AU$603,23,FALSE)*$L43,0)+IF($H43&lt;&gt;0,(VLOOKUP($J43,'Allocation Factors'!$B$12:$AU$603,23,FALSE)*$H43),0)</f>
        <v>0</v>
      </c>
      <c r="AI43" s="22">
        <f ca="1">IF($L43&lt;&gt;0,VLOOKUP($N43,'Allocation Factors'!$B$12:$AU$603,24,FALSE)*$L43,0)+IF($H43&lt;&gt;0,(VLOOKUP($J43,'Allocation Factors'!$B$12:$AU$603,24,FALSE)*$H43),0)</f>
        <v>0</v>
      </c>
      <c r="AJ43" s="22">
        <f ca="1">IF($L43&lt;&gt;0,VLOOKUP($N43,'Allocation Factors'!$B$12:$AU$603,25,FALSE)*$L43,0)+IF($H43&lt;&gt;0,(VLOOKUP($J43,'Allocation Factors'!$B$12:$AU$603,25,FALSE)*$H43),0)</f>
        <v>0</v>
      </c>
      <c r="AK43" s="22">
        <f ca="1">IF($L43&lt;&gt;0,VLOOKUP($N43,'Allocation Factors'!$B$12:$AU$603,26,FALSE)*$L43,0)+IF($H43&lt;&gt;0,(VLOOKUP($J43,'Allocation Factors'!$B$12:$AU$603,26,FALSE)*$H43),0)</f>
        <v>0</v>
      </c>
      <c r="AL43" s="22">
        <f ca="1">IF($L43&lt;&gt;0,VLOOKUP($N43,'Allocation Factors'!$B$12:$AU$603,27,FALSE)*$L43,0)+IF($H43&lt;&gt;0,(VLOOKUP($J43,'Allocation Factors'!$B$12:$AU$603,27,FALSE)*$H43),0)</f>
        <v>0</v>
      </c>
      <c r="AM43" s="22">
        <f ca="1">IF($L43&lt;&gt;0,VLOOKUP($N43,'Allocation Factors'!$B$12:$AU$603,28,FALSE)*$L43,0)+IF($H43&lt;&gt;0,(VLOOKUP($J43,'Allocation Factors'!$B$12:$AU$603,28,FALSE)*$H43),0)</f>
        <v>0</v>
      </c>
      <c r="AN43" s="22">
        <f ca="1">IF($L43&lt;&gt;0,VLOOKUP($N43,'Allocation Factors'!$B$12:$AU$603,29,FALSE)*$L43,0)+IF($H43&lt;&gt;0,(VLOOKUP($J43,'Allocation Factors'!$B$12:$AU$603,29,FALSE)*$H43),0)</f>
        <v>0</v>
      </c>
      <c r="AO43" s="22">
        <f ca="1">IF($L43&lt;&gt;0,VLOOKUP($N43,'Allocation Factors'!$B$12:$AU$603,30,FALSE)*$L43,0)+IF($H43&lt;&gt;0,(VLOOKUP($J43,'Allocation Factors'!$B$12:$AU$603,30,FALSE)*$H43),0)</f>
        <v>0</v>
      </c>
      <c r="AP43" s="22">
        <f ca="1">IF($L43&lt;&gt;0,VLOOKUP($N43,'Allocation Factors'!$B$12:$AU$603,31,FALSE)*$L43,0)+IF($H43&lt;&gt;0,(VLOOKUP($J43,'Allocation Factors'!$B$12:$AU$603,31,FALSE)*$H43),0)</f>
        <v>0</v>
      </c>
      <c r="AQ43" s="22">
        <f ca="1">IF($L43&lt;&gt;0,VLOOKUP($N43,'Allocation Factors'!$B$12:$AU$603,32,FALSE)*$L43,0)+IF($H43&lt;&gt;0,(VLOOKUP($J43,'Allocation Factors'!$B$12:$AU$603,32,FALSE)*$H43),0)</f>
        <v>0</v>
      </c>
      <c r="AR43" s="22">
        <f ca="1">IF($L43&lt;&gt;0,VLOOKUP($N43,'Allocation Factors'!$B$12:$AU$603,33,FALSE)*$L43,0)+IF($H43&lt;&gt;0,(VLOOKUP($J43,'Allocation Factors'!$B$12:$AU$603,33,FALSE)*$H43),0)</f>
        <v>0</v>
      </c>
      <c r="AS43" s="22">
        <f ca="1">IF($L43&lt;&gt;0,VLOOKUP($N43,'Allocation Factors'!$B$12:$AU$603,34,FALSE)*$L43,0)+IF($H43&lt;&gt;0,(VLOOKUP($J43,'Allocation Factors'!$B$12:$AU$603,34,FALSE)*$H43),0)</f>
        <v>0</v>
      </c>
      <c r="AT43" s="22">
        <f ca="1">IF($L43&lt;&gt;0,VLOOKUP($N43,'Allocation Factors'!$B$12:$AU$603,35,FALSE)*$L43,0)+IF($H43&lt;&gt;0,(VLOOKUP($J43,'Allocation Factors'!$B$12:$AU$603,35,FALSE)*$H43),0)</f>
        <v>0</v>
      </c>
      <c r="AU43" s="22">
        <f ca="1">IF($L43&lt;&gt;0,VLOOKUP($N43,'Allocation Factors'!$B$12:$AU$603,36,FALSE)*$L43,0)+IF($H43&lt;&gt;0,(VLOOKUP($J43,'Allocation Factors'!$B$12:$AU$603,36,FALSE)*$H43),0)</f>
        <v>0</v>
      </c>
      <c r="AV43" s="22">
        <f ca="1">IF($L43&lt;&gt;0,VLOOKUP($N43,'Allocation Factors'!$B$12:$AU$603,37,FALSE)*$L43,0)+IF($H43&lt;&gt;0,(VLOOKUP($J43,'Allocation Factors'!$B$12:$AU$603,37,FALSE)*$H43),0)</f>
        <v>0</v>
      </c>
      <c r="AW43" s="22">
        <f ca="1">IF($L43&lt;&gt;0,VLOOKUP($N43,'Allocation Factors'!$B$12:$AU$603,38,FALSE)*$L43,0)+IF($H43&lt;&gt;0,(VLOOKUP($J43,'Allocation Factors'!$B$12:$AU$603,38,FALSE)*$H43),0)</f>
        <v>0</v>
      </c>
      <c r="AX43" s="22">
        <f ca="1">IF($L43&lt;&gt;0,VLOOKUP($N43,'Allocation Factors'!$B$12:$AU$603,39,FALSE)*$L43,0)+IF($H43&lt;&gt;0,(VLOOKUP($J43,'Allocation Factors'!$B$12:$AU$603,39,FALSE)*$H43),0)</f>
        <v>0</v>
      </c>
      <c r="AY43" s="22">
        <f ca="1">IF($L43&lt;&gt;0,VLOOKUP($N43,'Allocation Factors'!$B$12:$AU$603,40,FALSE)*$L43,0)+IF($H43&lt;&gt;0,(VLOOKUP($J43,'Allocation Factors'!$B$12:$AU$603,40,FALSE)*$H43),0)</f>
        <v>0</v>
      </c>
      <c r="AZ43" s="22">
        <f ca="1">IF($L43&lt;&gt;0,VLOOKUP($N43,'Allocation Factors'!$B$12:$AU$603,41,FALSE)*$L43,0)+IF($H43&lt;&gt;0,(VLOOKUP($J43,'Allocation Factors'!$B$12:$AU$603,41,FALSE)*$H43),0)</f>
        <v>0</v>
      </c>
      <c r="BA43" s="22">
        <f ca="1">IF($L43&lt;&gt;0,VLOOKUP($N43,'Allocation Factors'!$B$12:$AU$603,42,FALSE)*$L43,0)+IF($H43&lt;&gt;0,(VLOOKUP($J43,'Allocation Factors'!$B$12:$AU$603,42,FALSE)*$H43),0)</f>
        <v>0</v>
      </c>
      <c r="BB43" s="22">
        <f ca="1">IF($L43&lt;&gt;0,VLOOKUP($N43,'Allocation Factors'!$B$12:$AU$603,43,FALSE)*$L43,0)+IF($H43&lt;&gt;0,(VLOOKUP($J43,'Allocation Factors'!$B$12:$AU$603,43,FALSE)*$H43),0)</f>
        <v>0</v>
      </c>
      <c r="BC43" s="22">
        <f ca="1">IF($L43&lt;&gt;0,VLOOKUP($N43,'Allocation Factors'!$B$12:$AU$603,44,FALSE)*$L43,0)+IF($H43&lt;&gt;0,(VLOOKUP($J43,'Allocation Factors'!$B$12:$AU$603,44,FALSE)*$H43),0)</f>
        <v>0</v>
      </c>
      <c r="BD43" s="22">
        <f ca="1">IF($L43&lt;&gt;0,VLOOKUP($N43,'Allocation Factors'!$B$12:$AU$603,45,FALSE)*$L43,0)+IF($H43&lt;&gt;0,(VLOOKUP($J43,'Allocation Factors'!$B$12:$AU$603,45,FALSE)*$H43),0)</f>
        <v>0</v>
      </c>
      <c r="BE43" s="22">
        <f ca="1">IF($L43&lt;&gt;0,VLOOKUP($N43,'Allocation Factors'!$B$12:$AU$603,46,FALSE)*$L43,0)+IF($H43&lt;&gt;0,(VLOOKUP($J43,'Allocation Factors'!$B$12:$AU$603,46,FALSE)*$H43),0)</f>
        <v>0</v>
      </c>
      <c r="BF43" s="9"/>
    </row>
    <row r="44" spans="1:58" x14ac:dyDescent="0.25">
      <c r="A44" s="2">
        <f t="shared" si="14"/>
        <v>27</v>
      </c>
      <c r="B44" s="73" t="s">
        <v>125</v>
      </c>
      <c r="D44" s="22">
        <f ca="1">SUM('Distribution Class'!Z116:Z120,'Distribution Class'!Z122)</f>
        <v>0</v>
      </c>
      <c r="E44" s="22"/>
      <c r="F44" s="22">
        <f t="shared" ca="1" si="15"/>
        <v>0</v>
      </c>
      <c r="G44" s="22"/>
      <c r="H44" s="22"/>
      <c r="I44" s="22"/>
      <c r="J44" s="213"/>
      <c r="K44" s="22"/>
      <c r="L44" s="22">
        <f t="shared" ca="1" si="13"/>
        <v>0</v>
      </c>
      <c r="N44" s="28" t="str">
        <f>'Total ALLOCATION'!N44</f>
        <v>TOTAL_CUSTOMERS</v>
      </c>
      <c r="P44" s="22">
        <f ca="1">IF($L44&lt;&gt;0,VLOOKUP($N44,'Allocation Factors'!$B$12:$AU$603,5,FALSE)*$L44,0)+IF($H44&lt;&gt;0,(VLOOKUP($J44,'Allocation Factors'!$B$12:$AU$603,5,FALSE)*$H44),0)</f>
        <v>0</v>
      </c>
      <c r="Q44" s="22">
        <f ca="1">IF($L44&lt;&gt;0,VLOOKUP($N44,'Allocation Factors'!$B$12:$AU$603,6,FALSE)*$L44,0)+IF($H44&lt;&gt;0,(VLOOKUP($J44,'Allocation Factors'!$B$12:$AU$603,6,FALSE)*$H44),0)</f>
        <v>0</v>
      </c>
      <c r="R44" s="22">
        <f ca="1">IF($L44&lt;&gt;0,VLOOKUP($N44,'Allocation Factors'!$B$12:$AU$603,7,FALSE)*$L44,0)+IF($H44&lt;&gt;0,(VLOOKUP($J44,'Allocation Factors'!$B$12:$AU$603,7,FALSE)*$H44),0)</f>
        <v>0</v>
      </c>
      <c r="S44" s="22">
        <f ca="1">IF($L44&lt;&gt;0,VLOOKUP($N44,'Allocation Factors'!$B$12:$AU$603,8,FALSE)*$L44,0)+IF($H44&lt;&gt;0,(VLOOKUP($J44,'Allocation Factors'!$B$12:$AU$603,8,FALSE)*$H44),0)</f>
        <v>0</v>
      </c>
      <c r="T44" s="22">
        <f ca="1">IF($L44&lt;&gt;0,VLOOKUP($N44,'Allocation Factors'!$B$12:$AU$603,9,FALSE)*$L44,0)+IF($H44&lt;&gt;0,(VLOOKUP($J44,'Allocation Factors'!$B$12:$AU$603,9,FALSE)*$H44),0)</f>
        <v>0</v>
      </c>
      <c r="U44" s="22">
        <f ca="1">IF($L44&lt;&gt;0,VLOOKUP($N44,'Allocation Factors'!$B$12:$AU$603,10,FALSE)*$L44,0)+IF($H44&lt;&gt;0,(VLOOKUP($J44,'Allocation Factors'!$B$12:$AU$603,10,FALSE)*$H44),0)</f>
        <v>0</v>
      </c>
      <c r="V44" s="22">
        <f ca="1">IF($L44&lt;&gt;0,VLOOKUP($N44,'Allocation Factors'!$B$12:$AU$603,11,FALSE)*$L44,0)+IF($H44&lt;&gt;0,(VLOOKUP($J44,'Allocation Factors'!$B$12:$AU$603,11,FALSE)*$H44),0)</f>
        <v>0</v>
      </c>
      <c r="W44" s="22">
        <f ca="1">IF($L44&lt;&gt;0,VLOOKUP($N44,'Allocation Factors'!$B$12:$AU$603,12,FALSE)*$L44,0)+IF($H44&lt;&gt;0,(VLOOKUP($J44,'Allocation Factors'!$B$12:$AU$603,12,FALSE)*$H44),0)</f>
        <v>0</v>
      </c>
      <c r="X44" s="22">
        <f ca="1">IF($L44&lt;&gt;0,VLOOKUP($N44,'Allocation Factors'!$B$12:$AU$603,13,FALSE)*$L44,0)+IF($H44&lt;&gt;0,(VLOOKUP($J44,'Allocation Factors'!$B$12:$AU$603,13,FALSE)*$H44),0)</f>
        <v>0</v>
      </c>
      <c r="Y44" s="22">
        <f ca="1">IF($L44&lt;&gt;0,VLOOKUP($N44,'Allocation Factors'!$B$12:$AU$603,14,FALSE)*$L44,0)+IF($H44&lt;&gt;0,(VLOOKUP($J44,'Allocation Factors'!$B$12:$AU$603,14,FALSE)*$H44),0)</f>
        <v>0</v>
      </c>
      <c r="Z44" s="22">
        <f ca="1">IF($L44&lt;&gt;0,VLOOKUP($N44,'Allocation Factors'!$B$12:$AU$603,15,FALSE)*$L44,0)+IF($H44&lt;&gt;0,(VLOOKUP($J44,'Allocation Factors'!$B$12:$AU$603,15,FALSE)*$H44),0)</f>
        <v>0</v>
      </c>
      <c r="AA44" s="22">
        <f ca="1">IF($L44&lt;&gt;0,VLOOKUP($N44,'Allocation Factors'!$B$12:$AU$603,16,FALSE)*$L44,0)+IF($H44&lt;&gt;0,(VLOOKUP($J44,'Allocation Factors'!$B$12:$AU$603,16,FALSE)*$H44),0)</f>
        <v>0</v>
      </c>
      <c r="AB44" s="22">
        <f ca="1">IF($L44&lt;&gt;0,VLOOKUP($N44,'Allocation Factors'!$B$12:$AU$603,17,FALSE)*$L44,0)+IF($H44&lt;&gt;0,(VLOOKUP($J44,'Allocation Factors'!$B$12:$AU$603,17,FALSE)*$H44),0)</f>
        <v>0</v>
      </c>
      <c r="AC44" s="22">
        <f ca="1">IF($L44&lt;&gt;0,VLOOKUP($N44,'Allocation Factors'!$B$12:$AU$603,18,FALSE)*$L44,0)+IF($H44&lt;&gt;0,(VLOOKUP($J44,'Allocation Factors'!$B$12:$AU$603,18,FALSE)*$H44),0)</f>
        <v>0</v>
      </c>
      <c r="AD44" s="22">
        <f ca="1">IF($L44&lt;&gt;0,VLOOKUP($N44,'Allocation Factors'!$B$12:$AU$603,19,FALSE)*$L44,0)+IF($H44&lt;&gt;0,(VLOOKUP($J44,'Allocation Factors'!$B$12:$AU$603,19,FALSE)*$H44),0)</f>
        <v>0</v>
      </c>
      <c r="AE44" s="22">
        <f ca="1">IF($L44&lt;&gt;0,VLOOKUP($N44,'Allocation Factors'!$B$12:$AU$603,20,FALSE)*$L44,0)+IF($H44&lt;&gt;0,(VLOOKUP($J44,'Allocation Factors'!$B$12:$AU$603,20,FALSE)*$H44),0)</f>
        <v>0</v>
      </c>
      <c r="AF44" s="22">
        <f ca="1">IF($L44&lt;&gt;0,VLOOKUP($N44,'Allocation Factors'!$B$12:$AU$603,21,FALSE)*$L44,0)+IF($H44&lt;&gt;0,(VLOOKUP($J44,'Allocation Factors'!$B$12:$AU$603,21,FALSE)*$H44),0)</f>
        <v>0</v>
      </c>
      <c r="AG44" s="22">
        <f ca="1">IF($L44&lt;&gt;0,VLOOKUP($N44,'Allocation Factors'!$B$12:$AU$603,22,FALSE)*$L44,0)+IF($H44&lt;&gt;0,(VLOOKUP($J44,'Allocation Factors'!$B$12:$AU$603,22,FALSE)*$H44),0)</f>
        <v>0</v>
      </c>
      <c r="AH44" s="22">
        <f ca="1">IF($L44&lt;&gt;0,VLOOKUP($N44,'Allocation Factors'!$B$12:$AU$603,23,FALSE)*$L44,0)+IF($H44&lt;&gt;0,(VLOOKUP($J44,'Allocation Factors'!$B$12:$AU$603,23,FALSE)*$H44),0)</f>
        <v>0</v>
      </c>
      <c r="AI44" s="22">
        <f ca="1">IF($L44&lt;&gt;0,VLOOKUP($N44,'Allocation Factors'!$B$12:$AU$603,24,FALSE)*$L44,0)+IF($H44&lt;&gt;0,(VLOOKUP($J44,'Allocation Factors'!$B$12:$AU$603,24,FALSE)*$H44),0)</f>
        <v>0</v>
      </c>
      <c r="AJ44" s="22">
        <f ca="1">IF($L44&lt;&gt;0,VLOOKUP($N44,'Allocation Factors'!$B$12:$AU$603,25,FALSE)*$L44,0)+IF($H44&lt;&gt;0,(VLOOKUP($J44,'Allocation Factors'!$B$12:$AU$603,25,FALSE)*$H44),0)</f>
        <v>0</v>
      </c>
      <c r="AK44" s="22">
        <f ca="1">IF($L44&lt;&gt;0,VLOOKUP($N44,'Allocation Factors'!$B$12:$AU$603,26,FALSE)*$L44,0)+IF($H44&lt;&gt;0,(VLOOKUP($J44,'Allocation Factors'!$B$12:$AU$603,26,FALSE)*$H44),0)</f>
        <v>0</v>
      </c>
      <c r="AL44" s="22">
        <f ca="1">IF($L44&lt;&gt;0,VLOOKUP($N44,'Allocation Factors'!$B$12:$AU$603,27,FALSE)*$L44,0)+IF($H44&lt;&gt;0,(VLOOKUP($J44,'Allocation Factors'!$B$12:$AU$603,27,FALSE)*$H44),0)</f>
        <v>0</v>
      </c>
      <c r="AM44" s="22">
        <f ca="1">IF($L44&lt;&gt;0,VLOOKUP($N44,'Allocation Factors'!$B$12:$AU$603,28,FALSE)*$L44,0)+IF($H44&lt;&gt;0,(VLOOKUP($J44,'Allocation Factors'!$B$12:$AU$603,28,FALSE)*$H44),0)</f>
        <v>0</v>
      </c>
      <c r="AN44" s="22">
        <f ca="1">IF($L44&lt;&gt;0,VLOOKUP($N44,'Allocation Factors'!$B$12:$AU$603,29,FALSE)*$L44,0)+IF($H44&lt;&gt;0,(VLOOKUP($J44,'Allocation Factors'!$B$12:$AU$603,29,FALSE)*$H44),0)</f>
        <v>0</v>
      </c>
      <c r="AO44" s="22">
        <f ca="1">IF($L44&lt;&gt;0,VLOOKUP($N44,'Allocation Factors'!$B$12:$AU$603,30,FALSE)*$L44,0)+IF($H44&lt;&gt;0,(VLOOKUP($J44,'Allocation Factors'!$B$12:$AU$603,30,FALSE)*$H44),0)</f>
        <v>0</v>
      </c>
      <c r="AP44" s="22">
        <f ca="1">IF($L44&lt;&gt;0,VLOOKUP($N44,'Allocation Factors'!$B$12:$AU$603,31,FALSE)*$L44,0)+IF($H44&lt;&gt;0,(VLOOKUP($J44,'Allocation Factors'!$B$12:$AU$603,31,FALSE)*$H44),0)</f>
        <v>0</v>
      </c>
      <c r="AQ44" s="22">
        <f ca="1">IF($L44&lt;&gt;0,VLOOKUP($N44,'Allocation Factors'!$B$12:$AU$603,32,FALSE)*$L44,0)+IF($H44&lt;&gt;0,(VLOOKUP($J44,'Allocation Factors'!$B$12:$AU$603,32,FALSE)*$H44),0)</f>
        <v>0</v>
      </c>
      <c r="AR44" s="22">
        <f ca="1">IF($L44&lt;&gt;0,VLOOKUP($N44,'Allocation Factors'!$B$12:$AU$603,33,FALSE)*$L44,0)+IF($H44&lt;&gt;0,(VLOOKUP($J44,'Allocation Factors'!$B$12:$AU$603,33,FALSE)*$H44),0)</f>
        <v>0</v>
      </c>
      <c r="AS44" s="22">
        <f ca="1">IF($L44&lt;&gt;0,VLOOKUP($N44,'Allocation Factors'!$B$12:$AU$603,34,FALSE)*$L44,0)+IF($H44&lt;&gt;0,(VLOOKUP($J44,'Allocation Factors'!$B$12:$AU$603,34,FALSE)*$H44),0)</f>
        <v>0</v>
      </c>
      <c r="AT44" s="22">
        <f ca="1">IF($L44&lt;&gt;0,VLOOKUP($N44,'Allocation Factors'!$B$12:$AU$603,35,FALSE)*$L44,0)+IF($H44&lt;&gt;0,(VLOOKUP($J44,'Allocation Factors'!$B$12:$AU$603,35,FALSE)*$H44),0)</f>
        <v>0</v>
      </c>
      <c r="AU44" s="22">
        <f ca="1">IF($L44&lt;&gt;0,VLOOKUP($N44,'Allocation Factors'!$B$12:$AU$603,36,FALSE)*$L44,0)+IF($H44&lt;&gt;0,(VLOOKUP($J44,'Allocation Factors'!$B$12:$AU$603,36,FALSE)*$H44),0)</f>
        <v>0</v>
      </c>
      <c r="AV44" s="22">
        <f ca="1">IF($L44&lt;&gt;0,VLOOKUP($N44,'Allocation Factors'!$B$12:$AU$603,37,FALSE)*$L44,0)+IF($H44&lt;&gt;0,(VLOOKUP($J44,'Allocation Factors'!$B$12:$AU$603,37,FALSE)*$H44),0)</f>
        <v>0</v>
      </c>
      <c r="AW44" s="22">
        <f ca="1">IF($L44&lt;&gt;0,VLOOKUP($N44,'Allocation Factors'!$B$12:$AU$603,38,FALSE)*$L44,0)+IF($H44&lt;&gt;0,(VLOOKUP($J44,'Allocation Factors'!$B$12:$AU$603,38,FALSE)*$H44),0)</f>
        <v>0</v>
      </c>
      <c r="AX44" s="22">
        <f ca="1">IF($L44&lt;&gt;0,VLOOKUP($N44,'Allocation Factors'!$B$12:$AU$603,39,FALSE)*$L44,0)+IF($H44&lt;&gt;0,(VLOOKUP($J44,'Allocation Factors'!$B$12:$AU$603,39,FALSE)*$H44),0)</f>
        <v>0</v>
      </c>
      <c r="AY44" s="22">
        <f ca="1">IF($L44&lt;&gt;0,VLOOKUP($N44,'Allocation Factors'!$B$12:$AU$603,40,FALSE)*$L44,0)+IF($H44&lt;&gt;0,(VLOOKUP($J44,'Allocation Factors'!$B$12:$AU$603,40,FALSE)*$H44),0)</f>
        <v>0</v>
      </c>
      <c r="AZ44" s="22">
        <f ca="1">IF($L44&lt;&gt;0,VLOOKUP($N44,'Allocation Factors'!$B$12:$AU$603,41,FALSE)*$L44,0)+IF($H44&lt;&gt;0,(VLOOKUP($J44,'Allocation Factors'!$B$12:$AU$603,41,FALSE)*$H44),0)</f>
        <v>0</v>
      </c>
      <c r="BA44" s="22">
        <f ca="1">IF($L44&lt;&gt;0,VLOOKUP($N44,'Allocation Factors'!$B$12:$AU$603,42,FALSE)*$L44,0)+IF($H44&lt;&gt;0,(VLOOKUP($J44,'Allocation Factors'!$B$12:$AU$603,42,FALSE)*$H44),0)</f>
        <v>0</v>
      </c>
      <c r="BB44" s="22">
        <f ca="1">IF($L44&lt;&gt;0,VLOOKUP($N44,'Allocation Factors'!$B$12:$AU$603,43,FALSE)*$L44,0)+IF($H44&lt;&gt;0,(VLOOKUP($J44,'Allocation Factors'!$B$12:$AU$603,43,FALSE)*$H44),0)</f>
        <v>0</v>
      </c>
      <c r="BC44" s="22">
        <f ca="1">IF($L44&lt;&gt;0,VLOOKUP($N44,'Allocation Factors'!$B$12:$AU$603,44,FALSE)*$L44,0)+IF($H44&lt;&gt;0,(VLOOKUP($J44,'Allocation Factors'!$B$12:$AU$603,44,FALSE)*$H44),0)</f>
        <v>0</v>
      </c>
      <c r="BD44" s="22">
        <f ca="1">IF($L44&lt;&gt;0,VLOOKUP($N44,'Allocation Factors'!$B$12:$AU$603,45,FALSE)*$L44,0)+IF($H44&lt;&gt;0,(VLOOKUP($J44,'Allocation Factors'!$B$12:$AU$603,45,FALSE)*$H44),0)</f>
        <v>0</v>
      </c>
      <c r="BE44" s="22">
        <f ca="1">IF($L44&lt;&gt;0,VLOOKUP($N44,'Allocation Factors'!$B$12:$AU$603,46,FALSE)*$L44,0)+IF($H44&lt;&gt;0,(VLOOKUP($J44,'Allocation Factors'!$B$12:$AU$603,46,FALSE)*$H44),0)</f>
        <v>0</v>
      </c>
      <c r="BF44" s="9"/>
    </row>
    <row r="45" spans="1:58" x14ac:dyDescent="0.25">
      <c r="A45" s="2">
        <f t="shared" si="14"/>
        <v>28</v>
      </c>
      <c r="B45" s="73" t="s">
        <v>126</v>
      </c>
      <c r="D45" s="22">
        <f ca="1">SUM('Distribution Class'!AB116:AB120,'Distribution Class'!AB122)</f>
        <v>0</v>
      </c>
      <c r="E45" s="22"/>
      <c r="F45" s="22">
        <f t="shared" ca="1" si="15"/>
        <v>0</v>
      </c>
      <c r="G45" s="22"/>
      <c r="H45" s="22"/>
      <c r="I45" s="22"/>
      <c r="J45" s="213"/>
      <c r="K45" s="22"/>
      <c r="L45" s="22">
        <f t="shared" ca="1" si="13"/>
        <v>0</v>
      </c>
      <c r="N45" s="28" t="str">
        <f>'Total ALLOCATION'!N45</f>
        <v>METERREPLCOST</v>
      </c>
      <c r="P45" s="22">
        <f ca="1">IF($L45&lt;&gt;0,VLOOKUP($N45,'Allocation Factors'!$B$12:$AU$603,5,FALSE)*$L45,0)+IF($H45&lt;&gt;0,(VLOOKUP($J45,'Allocation Factors'!$B$12:$AU$603,5,FALSE)*$H45),0)</f>
        <v>0</v>
      </c>
      <c r="Q45" s="22">
        <f ca="1">IF($L45&lt;&gt;0,VLOOKUP($N45,'Allocation Factors'!$B$12:$AU$603,6,FALSE)*$L45,0)+IF($H45&lt;&gt;0,(VLOOKUP($J45,'Allocation Factors'!$B$12:$AU$603,6,FALSE)*$H45),0)</f>
        <v>0</v>
      </c>
      <c r="R45" s="22">
        <f ca="1">IF($L45&lt;&gt;0,VLOOKUP($N45,'Allocation Factors'!$B$12:$AU$603,7,FALSE)*$L45,0)+IF($H45&lt;&gt;0,(VLOOKUP($J45,'Allocation Factors'!$B$12:$AU$603,7,FALSE)*$H45),0)</f>
        <v>0</v>
      </c>
      <c r="S45" s="22">
        <f ca="1">IF($L45&lt;&gt;0,VLOOKUP($N45,'Allocation Factors'!$B$12:$AU$603,8,FALSE)*$L45,0)+IF($H45&lt;&gt;0,(VLOOKUP($J45,'Allocation Factors'!$B$12:$AU$603,8,FALSE)*$H45),0)</f>
        <v>0</v>
      </c>
      <c r="T45" s="22">
        <f ca="1">IF($L45&lt;&gt;0,VLOOKUP($N45,'Allocation Factors'!$B$12:$AU$603,9,FALSE)*$L45,0)+IF($H45&lt;&gt;0,(VLOOKUP($J45,'Allocation Factors'!$B$12:$AU$603,9,FALSE)*$H45),0)</f>
        <v>0</v>
      </c>
      <c r="U45" s="22">
        <f ca="1">IF($L45&lt;&gt;0,VLOOKUP($N45,'Allocation Factors'!$B$12:$AU$603,10,FALSE)*$L45,0)+IF($H45&lt;&gt;0,(VLOOKUP($J45,'Allocation Factors'!$B$12:$AU$603,10,FALSE)*$H45),0)</f>
        <v>0</v>
      </c>
      <c r="V45" s="22">
        <f ca="1">IF($L45&lt;&gt;0,VLOOKUP($N45,'Allocation Factors'!$B$12:$AU$603,11,FALSE)*$L45,0)+IF($H45&lt;&gt;0,(VLOOKUP($J45,'Allocation Factors'!$B$12:$AU$603,11,FALSE)*$H45),0)</f>
        <v>0</v>
      </c>
      <c r="W45" s="22">
        <f ca="1">IF($L45&lt;&gt;0,VLOOKUP($N45,'Allocation Factors'!$B$12:$AU$603,12,FALSE)*$L45,0)+IF($H45&lt;&gt;0,(VLOOKUP($J45,'Allocation Factors'!$B$12:$AU$603,12,FALSE)*$H45),0)</f>
        <v>0</v>
      </c>
      <c r="X45" s="22">
        <f ca="1">IF($L45&lt;&gt;0,VLOOKUP($N45,'Allocation Factors'!$B$12:$AU$603,13,FALSE)*$L45,0)+IF($H45&lt;&gt;0,(VLOOKUP($J45,'Allocation Factors'!$B$12:$AU$603,13,FALSE)*$H45),0)</f>
        <v>0</v>
      </c>
      <c r="Y45" s="22">
        <f ca="1">IF($L45&lt;&gt;0,VLOOKUP($N45,'Allocation Factors'!$B$12:$AU$603,14,FALSE)*$L45,0)+IF($H45&lt;&gt;0,(VLOOKUP($J45,'Allocation Factors'!$B$12:$AU$603,14,FALSE)*$H45),0)</f>
        <v>0</v>
      </c>
      <c r="Z45" s="22">
        <f ca="1">IF($L45&lt;&gt;0,VLOOKUP($N45,'Allocation Factors'!$B$12:$AU$603,15,FALSE)*$L45,0)+IF($H45&lt;&gt;0,(VLOOKUP($J45,'Allocation Factors'!$B$12:$AU$603,15,FALSE)*$H45),0)</f>
        <v>0</v>
      </c>
      <c r="AA45" s="22">
        <f ca="1">IF($L45&lt;&gt;0,VLOOKUP($N45,'Allocation Factors'!$B$12:$AU$603,16,FALSE)*$L45,0)+IF($H45&lt;&gt;0,(VLOOKUP($J45,'Allocation Factors'!$B$12:$AU$603,16,FALSE)*$H45),0)</f>
        <v>0</v>
      </c>
      <c r="AB45" s="22">
        <f ca="1">IF($L45&lt;&gt;0,VLOOKUP($N45,'Allocation Factors'!$B$12:$AU$603,17,FALSE)*$L45,0)+IF($H45&lt;&gt;0,(VLOOKUP($J45,'Allocation Factors'!$B$12:$AU$603,17,FALSE)*$H45),0)</f>
        <v>0</v>
      </c>
      <c r="AC45" s="22">
        <f ca="1">IF($L45&lt;&gt;0,VLOOKUP($N45,'Allocation Factors'!$B$12:$AU$603,18,FALSE)*$L45,0)+IF($H45&lt;&gt;0,(VLOOKUP($J45,'Allocation Factors'!$B$12:$AU$603,18,FALSE)*$H45),0)</f>
        <v>0</v>
      </c>
      <c r="AD45" s="22">
        <f ca="1">IF($L45&lt;&gt;0,VLOOKUP($N45,'Allocation Factors'!$B$12:$AU$603,19,FALSE)*$L45,0)+IF($H45&lt;&gt;0,(VLOOKUP($J45,'Allocation Factors'!$B$12:$AU$603,19,FALSE)*$H45),0)</f>
        <v>0</v>
      </c>
      <c r="AE45" s="22">
        <f ca="1">IF($L45&lt;&gt;0,VLOOKUP($N45,'Allocation Factors'!$B$12:$AU$603,20,FALSE)*$L45,0)+IF($H45&lt;&gt;0,(VLOOKUP($J45,'Allocation Factors'!$B$12:$AU$603,20,FALSE)*$H45),0)</f>
        <v>0</v>
      </c>
      <c r="AF45" s="22">
        <f ca="1">IF($L45&lt;&gt;0,VLOOKUP($N45,'Allocation Factors'!$B$12:$AU$603,21,FALSE)*$L45,0)+IF($H45&lt;&gt;0,(VLOOKUP($J45,'Allocation Factors'!$B$12:$AU$603,21,FALSE)*$H45),0)</f>
        <v>0</v>
      </c>
      <c r="AG45" s="22">
        <f ca="1">IF($L45&lt;&gt;0,VLOOKUP($N45,'Allocation Factors'!$B$12:$AU$603,22,FALSE)*$L45,0)+IF($H45&lt;&gt;0,(VLOOKUP($J45,'Allocation Factors'!$B$12:$AU$603,22,FALSE)*$H45),0)</f>
        <v>0</v>
      </c>
      <c r="AH45" s="22">
        <f ca="1">IF($L45&lt;&gt;0,VLOOKUP($N45,'Allocation Factors'!$B$12:$AU$603,23,FALSE)*$L45,0)+IF($H45&lt;&gt;0,(VLOOKUP($J45,'Allocation Factors'!$B$12:$AU$603,23,FALSE)*$H45),0)</f>
        <v>0</v>
      </c>
      <c r="AI45" s="22">
        <f ca="1">IF($L45&lt;&gt;0,VLOOKUP($N45,'Allocation Factors'!$B$12:$AU$603,24,FALSE)*$L45,0)+IF($H45&lt;&gt;0,(VLOOKUP($J45,'Allocation Factors'!$B$12:$AU$603,24,FALSE)*$H45),0)</f>
        <v>0</v>
      </c>
      <c r="AJ45" s="22">
        <f ca="1">IF($L45&lt;&gt;0,VLOOKUP($N45,'Allocation Factors'!$B$12:$AU$603,25,FALSE)*$L45,0)+IF($H45&lt;&gt;0,(VLOOKUP($J45,'Allocation Factors'!$B$12:$AU$603,25,FALSE)*$H45),0)</f>
        <v>0</v>
      </c>
      <c r="AK45" s="22">
        <f ca="1">IF($L45&lt;&gt;0,VLOOKUP($N45,'Allocation Factors'!$B$12:$AU$603,26,FALSE)*$L45,0)+IF($H45&lt;&gt;0,(VLOOKUP($J45,'Allocation Factors'!$B$12:$AU$603,26,FALSE)*$H45),0)</f>
        <v>0</v>
      </c>
      <c r="AL45" s="22">
        <f ca="1">IF($L45&lt;&gt;0,VLOOKUP($N45,'Allocation Factors'!$B$12:$AU$603,27,FALSE)*$L45,0)+IF($H45&lt;&gt;0,(VLOOKUP($J45,'Allocation Factors'!$B$12:$AU$603,27,FALSE)*$H45),0)</f>
        <v>0</v>
      </c>
      <c r="AM45" s="22">
        <f ca="1">IF($L45&lt;&gt;0,VLOOKUP($N45,'Allocation Factors'!$B$12:$AU$603,28,FALSE)*$L45,0)+IF($H45&lt;&gt;0,(VLOOKUP($J45,'Allocation Factors'!$B$12:$AU$603,28,FALSE)*$H45),0)</f>
        <v>0</v>
      </c>
      <c r="AN45" s="22">
        <f ca="1">IF($L45&lt;&gt;0,VLOOKUP($N45,'Allocation Factors'!$B$12:$AU$603,29,FALSE)*$L45,0)+IF($H45&lt;&gt;0,(VLOOKUP($J45,'Allocation Factors'!$B$12:$AU$603,29,FALSE)*$H45),0)</f>
        <v>0</v>
      </c>
      <c r="AO45" s="22">
        <f ca="1">IF($L45&lt;&gt;0,VLOOKUP($N45,'Allocation Factors'!$B$12:$AU$603,30,FALSE)*$L45,0)+IF($H45&lt;&gt;0,(VLOOKUP($J45,'Allocation Factors'!$B$12:$AU$603,30,FALSE)*$H45),0)</f>
        <v>0</v>
      </c>
      <c r="AP45" s="22">
        <f ca="1">IF($L45&lt;&gt;0,VLOOKUP($N45,'Allocation Factors'!$B$12:$AU$603,31,FALSE)*$L45,0)+IF($H45&lt;&gt;0,(VLOOKUP($J45,'Allocation Factors'!$B$12:$AU$603,31,FALSE)*$H45),0)</f>
        <v>0</v>
      </c>
      <c r="AQ45" s="22">
        <f ca="1">IF($L45&lt;&gt;0,VLOOKUP($N45,'Allocation Factors'!$B$12:$AU$603,32,FALSE)*$L45,0)+IF($H45&lt;&gt;0,(VLOOKUP($J45,'Allocation Factors'!$B$12:$AU$603,32,FALSE)*$H45),0)</f>
        <v>0</v>
      </c>
      <c r="AR45" s="22">
        <f ca="1">IF($L45&lt;&gt;0,VLOOKUP($N45,'Allocation Factors'!$B$12:$AU$603,33,FALSE)*$L45,0)+IF($H45&lt;&gt;0,(VLOOKUP($J45,'Allocation Factors'!$B$12:$AU$603,33,FALSE)*$H45),0)</f>
        <v>0</v>
      </c>
      <c r="AS45" s="22">
        <f ca="1">IF($L45&lt;&gt;0,VLOOKUP($N45,'Allocation Factors'!$B$12:$AU$603,34,FALSE)*$L45,0)+IF($H45&lt;&gt;0,(VLOOKUP($J45,'Allocation Factors'!$B$12:$AU$603,34,FALSE)*$H45),0)</f>
        <v>0</v>
      </c>
      <c r="AT45" s="22">
        <f ca="1">IF($L45&lt;&gt;0,VLOOKUP($N45,'Allocation Factors'!$B$12:$AU$603,35,FALSE)*$L45,0)+IF($H45&lt;&gt;0,(VLOOKUP($J45,'Allocation Factors'!$B$12:$AU$603,35,FALSE)*$H45),0)</f>
        <v>0</v>
      </c>
      <c r="AU45" s="22">
        <f ca="1">IF($L45&lt;&gt;0,VLOOKUP($N45,'Allocation Factors'!$B$12:$AU$603,36,FALSE)*$L45,0)+IF($H45&lt;&gt;0,(VLOOKUP($J45,'Allocation Factors'!$B$12:$AU$603,36,FALSE)*$H45),0)</f>
        <v>0</v>
      </c>
      <c r="AV45" s="22">
        <f ca="1">IF($L45&lt;&gt;0,VLOOKUP($N45,'Allocation Factors'!$B$12:$AU$603,37,FALSE)*$L45,0)+IF($H45&lt;&gt;0,(VLOOKUP($J45,'Allocation Factors'!$B$12:$AU$603,37,FALSE)*$H45),0)</f>
        <v>0</v>
      </c>
      <c r="AW45" s="22">
        <f ca="1">IF($L45&lt;&gt;0,VLOOKUP($N45,'Allocation Factors'!$B$12:$AU$603,38,FALSE)*$L45,0)+IF($H45&lt;&gt;0,(VLOOKUP($J45,'Allocation Factors'!$B$12:$AU$603,38,FALSE)*$H45),0)</f>
        <v>0</v>
      </c>
      <c r="AX45" s="22">
        <f ca="1">IF($L45&lt;&gt;0,VLOOKUP($N45,'Allocation Factors'!$B$12:$AU$603,39,FALSE)*$L45,0)+IF($H45&lt;&gt;0,(VLOOKUP($J45,'Allocation Factors'!$B$12:$AU$603,39,FALSE)*$H45),0)</f>
        <v>0</v>
      </c>
      <c r="AY45" s="22">
        <f ca="1">IF($L45&lt;&gt;0,VLOOKUP($N45,'Allocation Factors'!$B$12:$AU$603,40,FALSE)*$L45,0)+IF($H45&lt;&gt;0,(VLOOKUP($J45,'Allocation Factors'!$B$12:$AU$603,40,FALSE)*$H45),0)</f>
        <v>0</v>
      </c>
      <c r="AZ45" s="22">
        <f ca="1">IF($L45&lt;&gt;0,VLOOKUP($N45,'Allocation Factors'!$B$12:$AU$603,41,FALSE)*$L45,0)+IF($H45&lt;&gt;0,(VLOOKUP($J45,'Allocation Factors'!$B$12:$AU$603,41,FALSE)*$H45),0)</f>
        <v>0</v>
      </c>
      <c r="BA45" s="22">
        <f ca="1">IF($L45&lt;&gt;0,VLOOKUP($N45,'Allocation Factors'!$B$12:$AU$603,42,FALSE)*$L45,0)+IF($H45&lt;&gt;0,(VLOOKUP($J45,'Allocation Factors'!$B$12:$AU$603,42,FALSE)*$H45),0)</f>
        <v>0</v>
      </c>
      <c r="BB45" s="22">
        <f ca="1">IF($L45&lt;&gt;0,VLOOKUP($N45,'Allocation Factors'!$B$12:$AU$603,43,FALSE)*$L45,0)+IF($H45&lt;&gt;0,(VLOOKUP($J45,'Allocation Factors'!$B$12:$AU$603,43,FALSE)*$H45),0)</f>
        <v>0</v>
      </c>
      <c r="BC45" s="22">
        <f ca="1">IF($L45&lt;&gt;0,VLOOKUP($N45,'Allocation Factors'!$B$12:$AU$603,44,FALSE)*$L45,0)+IF($H45&lt;&gt;0,(VLOOKUP($J45,'Allocation Factors'!$B$12:$AU$603,44,FALSE)*$H45),0)</f>
        <v>0</v>
      </c>
      <c r="BD45" s="22">
        <f ca="1">IF($L45&lt;&gt;0,VLOOKUP($N45,'Allocation Factors'!$B$12:$AU$603,45,FALSE)*$L45,0)+IF($H45&lt;&gt;0,(VLOOKUP($J45,'Allocation Factors'!$B$12:$AU$603,45,FALSE)*$H45),0)</f>
        <v>0</v>
      </c>
      <c r="BE45" s="22">
        <f ca="1">IF($L45&lt;&gt;0,VLOOKUP($N45,'Allocation Factors'!$B$12:$AU$603,46,FALSE)*$L45,0)+IF($H45&lt;&gt;0,(VLOOKUP($J45,'Allocation Factors'!$B$12:$AU$603,46,FALSE)*$H45),0)</f>
        <v>0</v>
      </c>
      <c r="BF45" s="9"/>
    </row>
    <row r="46" spans="1:58" x14ac:dyDescent="0.25">
      <c r="A46" s="2">
        <f t="shared" si="14"/>
        <v>29</v>
      </c>
      <c r="B46" s="73" t="s">
        <v>211</v>
      </c>
      <c r="D46" s="22">
        <f ca="1">SUM('Distribution Class'!AD116:AD120,'Distribution Class'!AD122)</f>
        <v>0</v>
      </c>
      <c r="E46" s="22"/>
      <c r="F46" s="22">
        <f t="shared" ca="1" si="15"/>
        <v>0</v>
      </c>
      <c r="G46" s="22"/>
      <c r="H46" s="22"/>
      <c r="I46" s="22"/>
      <c r="J46" s="213"/>
      <c r="K46" s="22"/>
      <c r="L46" s="22">
        <f t="shared" ca="1" si="13"/>
        <v>0</v>
      </c>
      <c r="N46" s="28" t="str">
        <f>'Total ALLOCATION'!N46</f>
        <v>STATIONREPLCOST</v>
      </c>
      <c r="P46" s="22">
        <f ca="1">IF($L46&lt;&gt;0,VLOOKUP($N46,'Allocation Factors'!$B$12:$AU$603,5,FALSE)*$L46,0)+IF($H46&lt;&gt;0,(VLOOKUP($J46,'Allocation Factors'!$B$12:$AU$603,5,FALSE)*$H46),0)</f>
        <v>0</v>
      </c>
      <c r="Q46" s="22">
        <f ca="1">IF($L46&lt;&gt;0,VLOOKUP($N46,'Allocation Factors'!$B$12:$AU$603,6,FALSE)*$L46,0)+IF($H46&lt;&gt;0,(VLOOKUP($J46,'Allocation Factors'!$B$12:$AU$603,6,FALSE)*$H46),0)</f>
        <v>0</v>
      </c>
      <c r="R46" s="22">
        <f ca="1">IF($L46&lt;&gt;0,VLOOKUP($N46,'Allocation Factors'!$B$12:$AU$603,7,FALSE)*$L46,0)+IF($H46&lt;&gt;0,(VLOOKUP($J46,'Allocation Factors'!$B$12:$AU$603,7,FALSE)*$H46),0)</f>
        <v>0</v>
      </c>
      <c r="S46" s="22">
        <f ca="1">IF($L46&lt;&gt;0,VLOOKUP($N46,'Allocation Factors'!$B$12:$AU$603,8,FALSE)*$L46,0)+IF($H46&lt;&gt;0,(VLOOKUP($J46,'Allocation Factors'!$B$12:$AU$603,8,FALSE)*$H46),0)</f>
        <v>0</v>
      </c>
      <c r="T46" s="22">
        <f ca="1">IF($L46&lt;&gt;0,VLOOKUP($N46,'Allocation Factors'!$B$12:$AU$603,9,FALSE)*$L46,0)+IF($H46&lt;&gt;0,(VLOOKUP($J46,'Allocation Factors'!$B$12:$AU$603,9,FALSE)*$H46),0)</f>
        <v>0</v>
      </c>
      <c r="U46" s="22">
        <f ca="1">IF($L46&lt;&gt;0,VLOOKUP($N46,'Allocation Factors'!$B$12:$AU$603,10,FALSE)*$L46,0)+IF($H46&lt;&gt;0,(VLOOKUP($J46,'Allocation Factors'!$B$12:$AU$603,10,FALSE)*$H46),0)</f>
        <v>0</v>
      </c>
      <c r="V46" s="22">
        <f ca="1">IF($L46&lt;&gt;0,VLOOKUP($N46,'Allocation Factors'!$B$12:$AU$603,11,FALSE)*$L46,0)+IF($H46&lt;&gt;0,(VLOOKUP($J46,'Allocation Factors'!$B$12:$AU$603,11,FALSE)*$H46),0)</f>
        <v>0</v>
      </c>
      <c r="W46" s="22">
        <f ca="1">IF($L46&lt;&gt;0,VLOOKUP($N46,'Allocation Factors'!$B$12:$AU$603,12,FALSE)*$L46,0)+IF($H46&lt;&gt;0,(VLOOKUP($J46,'Allocation Factors'!$B$12:$AU$603,12,FALSE)*$H46),0)</f>
        <v>0</v>
      </c>
      <c r="X46" s="22">
        <f ca="1">IF($L46&lt;&gt;0,VLOOKUP($N46,'Allocation Factors'!$B$12:$AU$603,13,FALSE)*$L46,0)+IF($H46&lt;&gt;0,(VLOOKUP($J46,'Allocation Factors'!$B$12:$AU$603,13,FALSE)*$H46),0)</f>
        <v>0</v>
      </c>
      <c r="Y46" s="22">
        <f ca="1">IF($L46&lt;&gt;0,VLOOKUP($N46,'Allocation Factors'!$B$12:$AU$603,14,FALSE)*$L46,0)+IF($H46&lt;&gt;0,(VLOOKUP($J46,'Allocation Factors'!$B$12:$AU$603,14,FALSE)*$H46),0)</f>
        <v>0</v>
      </c>
      <c r="Z46" s="22">
        <f ca="1">IF($L46&lt;&gt;0,VLOOKUP($N46,'Allocation Factors'!$B$12:$AU$603,15,FALSE)*$L46,0)+IF($H46&lt;&gt;0,(VLOOKUP($J46,'Allocation Factors'!$B$12:$AU$603,15,FALSE)*$H46),0)</f>
        <v>0</v>
      </c>
      <c r="AA46" s="22">
        <f ca="1">IF($L46&lt;&gt;0,VLOOKUP($N46,'Allocation Factors'!$B$12:$AU$603,16,FALSE)*$L46,0)+IF($H46&lt;&gt;0,(VLOOKUP($J46,'Allocation Factors'!$B$12:$AU$603,16,FALSE)*$H46),0)</f>
        <v>0</v>
      </c>
      <c r="AB46" s="22">
        <f ca="1">IF($L46&lt;&gt;0,VLOOKUP($N46,'Allocation Factors'!$B$12:$AU$603,17,FALSE)*$L46,0)+IF($H46&lt;&gt;0,(VLOOKUP($J46,'Allocation Factors'!$B$12:$AU$603,17,FALSE)*$H46),0)</f>
        <v>0</v>
      </c>
      <c r="AC46" s="22">
        <f ca="1">IF($L46&lt;&gt;0,VLOOKUP($N46,'Allocation Factors'!$B$12:$AU$603,18,FALSE)*$L46,0)+IF($H46&lt;&gt;0,(VLOOKUP($J46,'Allocation Factors'!$B$12:$AU$603,18,FALSE)*$H46),0)</f>
        <v>0</v>
      </c>
      <c r="AD46" s="22">
        <f ca="1">IF($L46&lt;&gt;0,VLOOKUP($N46,'Allocation Factors'!$B$12:$AU$603,19,FALSE)*$L46,0)+IF($H46&lt;&gt;0,(VLOOKUP($J46,'Allocation Factors'!$B$12:$AU$603,19,FALSE)*$H46),0)</f>
        <v>0</v>
      </c>
      <c r="AE46" s="22">
        <f ca="1">IF($L46&lt;&gt;0,VLOOKUP($N46,'Allocation Factors'!$B$12:$AU$603,20,FALSE)*$L46,0)+IF($H46&lt;&gt;0,(VLOOKUP($J46,'Allocation Factors'!$B$12:$AU$603,20,FALSE)*$H46),0)</f>
        <v>0</v>
      </c>
      <c r="AF46" s="22">
        <f ca="1">IF($L46&lt;&gt;0,VLOOKUP($N46,'Allocation Factors'!$B$12:$AU$603,21,FALSE)*$L46,0)+IF($H46&lt;&gt;0,(VLOOKUP($J46,'Allocation Factors'!$B$12:$AU$603,21,FALSE)*$H46),0)</f>
        <v>0</v>
      </c>
      <c r="AG46" s="22">
        <f ca="1">IF($L46&lt;&gt;0,VLOOKUP($N46,'Allocation Factors'!$B$12:$AU$603,22,FALSE)*$L46,0)+IF($H46&lt;&gt;0,(VLOOKUP($J46,'Allocation Factors'!$B$12:$AU$603,22,FALSE)*$H46),0)</f>
        <v>0</v>
      </c>
      <c r="AH46" s="22">
        <f ca="1">IF($L46&lt;&gt;0,VLOOKUP($N46,'Allocation Factors'!$B$12:$AU$603,23,FALSE)*$L46,0)+IF($H46&lt;&gt;0,(VLOOKUP($J46,'Allocation Factors'!$B$12:$AU$603,23,FALSE)*$H46),0)</f>
        <v>0</v>
      </c>
      <c r="AI46" s="22">
        <f ca="1">IF($L46&lt;&gt;0,VLOOKUP($N46,'Allocation Factors'!$B$12:$AU$603,24,FALSE)*$L46,0)+IF($H46&lt;&gt;0,(VLOOKUP($J46,'Allocation Factors'!$B$12:$AU$603,24,FALSE)*$H46),0)</f>
        <v>0</v>
      </c>
      <c r="AJ46" s="22">
        <f ca="1">IF($L46&lt;&gt;0,VLOOKUP($N46,'Allocation Factors'!$B$12:$AU$603,25,FALSE)*$L46,0)+IF($H46&lt;&gt;0,(VLOOKUP($J46,'Allocation Factors'!$B$12:$AU$603,25,FALSE)*$H46),0)</f>
        <v>0</v>
      </c>
      <c r="AK46" s="22">
        <f ca="1">IF($L46&lt;&gt;0,VLOOKUP($N46,'Allocation Factors'!$B$12:$AU$603,26,FALSE)*$L46,0)+IF($H46&lt;&gt;0,(VLOOKUP($J46,'Allocation Factors'!$B$12:$AU$603,26,FALSE)*$H46),0)</f>
        <v>0</v>
      </c>
      <c r="AL46" s="22">
        <f ca="1">IF($L46&lt;&gt;0,VLOOKUP($N46,'Allocation Factors'!$B$12:$AU$603,27,FALSE)*$L46,0)+IF($H46&lt;&gt;0,(VLOOKUP($J46,'Allocation Factors'!$B$12:$AU$603,27,FALSE)*$H46),0)</f>
        <v>0</v>
      </c>
      <c r="AM46" s="22">
        <f ca="1">IF($L46&lt;&gt;0,VLOOKUP($N46,'Allocation Factors'!$B$12:$AU$603,28,FALSE)*$L46,0)+IF($H46&lt;&gt;0,(VLOOKUP($J46,'Allocation Factors'!$B$12:$AU$603,28,FALSE)*$H46),0)</f>
        <v>0</v>
      </c>
      <c r="AN46" s="22">
        <f ca="1">IF($L46&lt;&gt;0,VLOOKUP($N46,'Allocation Factors'!$B$12:$AU$603,29,FALSE)*$L46,0)+IF($H46&lt;&gt;0,(VLOOKUP($J46,'Allocation Factors'!$B$12:$AU$603,29,FALSE)*$H46),0)</f>
        <v>0</v>
      </c>
      <c r="AO46" s="22">
        <f ca="1">IF($L46&lt;&gt;0,VLOOKUP($N46,'Allocation Factors'!$B$12:$AU$603,30,FALSE)*$L46,0)+IF($H46&lt;&gt;0,(VLOOKUP($J46,'Allocation Factors'!$B$12:$AU$603,30,FALSE)*$H46),0)</f>
        <v>0</v>
      </c>
      <c r="AP46" s="22">
        <f ca="1">IF($L46&lt;&gt;0,VLOOKUP($N46,'Allocation Factors'!$B$12:$AU$603,31,FALSE)*$L46,0)+IF($H46&lt;&gt;0,(VLOOKUP($J46,'Allocation Factors'!$B$12:$AU$603,31,FALSE)*$H46),0)</f>
        <v>0</v>
      </c>
      <c r="AQ46" s="22">
        <f ca="1">IF($L46&lt;&gt;0,VLOOKUP($N46,'Allocation Factors'!$B$12:$AU$603,32,FALSE)*$L46,0)+IF($H46&lt;&gt;0,(VLOOKUP($J46,'Allocation Factors'!$B$12:$AU$603,32,FALSE)*$H46),0)</f>
        <v>0</v>
      </c>
      <c r="AR46" s="22">
        <f ca="1">IF($L46&lt;&gt;0,VLOOKUP($N46,'Allocation Factors'!$B$12:$AU$603,33,FALSE)*$L46,0)+IF($H46&lt;&gt;0,(VLOOKUP($J46,'Allocation Factors'!$B$12:$AU$603,33,FALSE)*$H46),0)</f>
        <v>0</v>
      </c>
      <c r="AS46" s="22">
        <f ca="1">IF($L46&lt;&gt;0,VLOOKUP($N46,'Allocation Factors'!$B$12:$AU$603,34,FALSE)*$L46,0)+IF($H46&lt;&gt;0,(VLOOKUP($J46,'Allocation Factors'!$B$12:$AU$603,34,FALSE)*$H46),0)</f>
        <v>0</v>
      </c>
      <c r="AT46" s="22">
        <f ca="1">IF($L46&lt;&gt;0,VLOOKUP($N46,'Allocation Factors'!$B$12:$AU$603,35,FALSE)*$L46,0)+IF($H46&lt;&gt;0,(VLOOKUP($J46,'Allocation Factors'!$B$12:$AU$603,35,FALSE)*$H46),0)</f>
        <v>0</v>
      </c>
      <c r="AU46" s="22">
        <f ca="1">IF($L46&lt;&gt;0,VLOOKUP($N46,'Allocation Factors'!$B$12:$AU$603,36,FALSE)*$L46,0)+IF($H46&lt;&gt;0,(VLOOKUP($J46,'Allocation Factors'!$B$12:$AU$603,36,FALSE)*$H46),0)</f>
        <v>0</v>
      </c>
      <c r="AV46" s="22">
        <f ca="1">IF($L46&lt;&gt;0,VLOOKUP($N46,'Allocation Factors'!$B$12:$AU$603,37,FALSE)*$L46,0)+IF($H46&lt;&gt;0,(VLOOKUP($J46,'Allocation Factors'!$B$12:$AU$603,37,FALSE)*$H46),0)</f>
        <v>0</v>
      </c>
      <c r="AW46" s="22">
        <f ca="1">IF($L46&lt;&gt;0,VLOOKUP($N46,'Allocation Factors'!$B$12:$AU$603,38,FALSE)*$L46,0)+IF($H46&lt;&gt;0,(VLOOKUP($J46,'Allocation Factors'!$B$12:$AU$603,38,FALSE)*$H46),0)</f>
        <v>0</v>
      </c>
      <c r="AX46" s="22">
        <f ca="1">IF($L46&lt;&gt;0,VLOOKUP($N46,'Allocation Factors'!$B$12:$AU$603,39,FALSE)*$L46,0)+IF($H46&lt;&gt;0,(VLOOKUP($J46,'Allocation Factors'!$B$12:$AU$603,39,FALSE)*$H46),0)</f>
        <v>0</v>
      </c>
      <c r="AY46" s="22">
        <f ca="1">IF($L46&lt;&gt;0,VLOOKUP($N46,'Allocation Factors'!$B$12:$AU$603,40,FALSE)*$L46,0)+IF($H46&lt;&gt;0,(VLOOKUP($J46,'Allocation Factors'!$B$12:$AU$603,40,FALSE)*$H46),0)</f>
        <v>0</v>
      </c>
      <c r="AZ46" s="22">
        <f ca="1">IF($L46&lt;&gt;0,VLOOKUP($N46,'Allocation Factors'!$B$12:$AU$603,41,FALSE)*$L46,0)+IF($H46&lt;&gt;0,(VLOOKUP($J46,'Allocation Factors'!$B$12:$AU$603,41,FALSE)*$H46),0)</f>
        <v>0</v>
      </c>
      <c r="BA46" s="22">
        <f ca="1">IF($L46&lt;&gt;0,VLOOKUP($N46,'Allocation Factors'!$B$12:$AU$603,42,FALSE)*$L46,0)+IF($H46&lt;&gt;0,(VLOOKUP($J46,'Allocation Factors'!$B$12:$AU$603,42,FALSE)*$H46),0)</f>
        <v>0</v>
      </c>
      <c r="BB46" s="22">
        <f ca="1">IF($L46&lt;&gt;0,VLOOKUP($N46,'Allocation Factors'!$B$12:$AU$603,43,FALSE)*$L46,0)+IF($H46&lt;&gt;0,(VLOOKUP($J46,'Allocation Factors'!$B$12:$AU$603,43,FALSE)*$H46),0)</f>
        <v>0</v>
      </c>
      <c r="BC46" s="22">
        <f ca="1">IF($L46&lt;&gt;0,VLOOKUP($N46,'Allocation Factors'!$B$12:$AU$603,44,FALSE)*$L46,0)+IF($H46&lt;&gt;0,(VLOOKUP($J46,'Allocation Factors'!$B$12:$AU$603,44,FALSE)*$H46),0)</f>
        <v>0</v>
      </c>
      <c r="BD46" s="22">
        <f ca="1">IF($L46&lt;&gt;0,VLOOKUP($N46,'Allocation Factors'!$B$12:$AU$603,45,FALSE)*$L46,0)+IF($H46&lt;&gt;0,(VLOOKUP($J46,'Allocation Factors'!$B$12:$AU$603,45,FALSE)*$H46),0)</f>
        <v>0</v>
      </c>
      <c r="BE46" s="22">
        <f ca="1">IF($L46&lt;&gt;0,VLOOKUP($N46,'Allocation Factors'!$B$12:$AU$603,46,FALSE)*$L46,0)+IF($H46&lt;&gt;0,(VLOOKUP($J46,'Allocation Factors'!$B$12:$AU$603,46,FALSE)*$H46),0)</f>
        <v>0</v>
      </c>
      <c r="BF46" s="9"/>
    </row>
    <row r="47" spans="1:58" x14ac:dyDescent="0.25">
      <c r="B47" s="73" t="s">
        <v>189</v>
      </c>
      <c r="D47" s="22"/>
      <c r="E47" s="22"/>
      <c r="F47" s="22"/>
      <c r="G47" s="22"/>
      <c r="H47" s="22"/>
      <c r="I47" s="22"/>
      <c r="J47" s="213"/>
      <c r="K47" s="22"/>
      <c r="L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</row>
    <row r="48" spans="1:58" x14ac:dyDescent="0.25">
      <c r="A48" s="2">
        <f>A46+1</f>
        <v>30</v>
      </c>
      <c r="B48" s="206" t="s">
        <v>201</v>
      </c>
      <c r="D48" s="22">
        <v>0</v>
      </c>
      <c r="F48" s="22">
        <f>D48</f>
        <v>0</v>
      </c>
      <c r="L48" s="22">
        <f t="shared" si="13"/>
        <v>0</v>
      </c>
      <c r="N48" s="28" t="str">
        <f>'Total ALLOCATION'!N48</f>
        <v>BAD_DEBT</v>
      </c>
      <c r="P48" s="22">
        <f>IF($L48&lt;&gt;0,VLOOKUP($N48,'Allocation Factors'!$B$12:$AU$603,5,FALSE)*$L48,0)+IF($H48&lt;&gt;0,(VLOOKUP($J48,'Allocation Factors'!$B$12:$AU$603,5,FALSE)*$H48),0)</f>
        <v>0</v>
      </c>
      <c r="Q48" s="22">
        <f>IF($L48&lt;&gt;0,VLOOKUP($N48,'Allocation Factors'!$B$12:$AU$603,6,FALSE)*$L48,0)+IF($H48&lt;&gt;0,(VLOOKUP($J48,'Allocation Factors'!$B$12:$AU$603,6,FALSE)*$H48),0)</f>
        <v>0</v>
      </c>
      <c r="R48" s="22">
        <f>IF($L48&lt;&gt;0,VLOOKUP($N48,'Allocation Factors'!$B$12:$AU$603,7,FALSE)*$L48,0)+IF($H48&lt;&gt;0,(VLOOKUP($J48,'Allocation Factors'!$B$12:$AU$603,7,FALSE)*$H48),0)</f>
        <v>0</v>
      </c>
      <c r="S48" s="22">
        <f>IF($L48&lt;&gt;0,VLOOKUP($N48,'Allocation Factors'!$B$12:$AU$603,8,FALSE)*$L48,0)+IF($H48&lt;&gt;0,(VLOOKUP($J48,'Allocation Factors'!$B$12:$AU$603,8,FALSE)*$H48),0)</f>
        <v>0</v>
      </c>
      <c r="T48" s="22">
        <f>IF($L48&lt;&gt;0,VLOOKUP($N48,'Allocation Factors'!$B$12:$AU$603,9,FALSE)*$L48,0)+IF($H48&lt;&gt;0,(VLOOKUP($J48,'Allocation Factors'!$B$12:$AU$603,9,FALSE)*$H48),0)</f>
        <v>0</v>
      </c>
      <c r="U48" s="22">
        <f>IF($L48&lt;&gt;0,VLOOKUP($N48,'Allocation Factors'!$B$12:$AU$603,10,FALSE)*$L48,0)+IF($H48&lt;&gt;0,(VLOOKUP($J48,'Allocation Factors'!$B$12:$AU$603,10,FALSE)*$H48),0)</f>
        <v>0</v>
      </c>
      <c r="V48" s="22">
        <f>IF($L48&lt;&gt;0,VLOOKUP($N48,'Allocation Factors'!$B$12:$AU$603,11,FALSE)*$L48,0)+IF($H48&lt;&gt;0,(VLOOKUP($J48,'Allocation Factors'!$B$12:$AU$603,11,FALSE)*$H48),0)</f>
        <v>0</v>
      </c>
      <c r="W48" s="22">
        <f>IF($L48&lt;&gt;0,VLOOKUP($N48,'Allocation Factors'!$B$12:$AU$603,12,FALSE)*$L48,0)+IF($H48&lt;&gt;0,(VLOOKUP($J48,'Allocation Factors'!$B$12:$AU$603,12,FALSE)*$H48),0)</f>
        <v>0</v>
      </c>
      <c r="X48" s="22">
        <f>IF($L48&lt;&gt;0,VLOOKUP($N48,'Allocation Factors'!$B$12:$AU$603,13,FALSE)*$L48,0)+IF($H48&lt;&gt;0,(VLOOKUP($J48,'Allocation Factors'!$B$12:$AU$603,13,FALSE)*$H48),0)</f>
        <v>0</v>
      </c>
      <c r="Y48" s="22">
        <f>IF($L48&lt;&gt;0,VLOOKUP($N48,'Allocation Factors'!$B$12:$AU$603,14,FALSE)*$L48,0)+IF($H48&lt;&gt;0,(VLOOKUP($J48,'Allocation Factors'!$B$12:$AU$603,14,FALSE)*$H48),0)</f>
        <v>0</v>
      </c>
      <c r="Z48" s="22">
        <f>IF($L48&lt;&gt;0,VLOOKUP($N48,'Allocation Factors'!$B$12:$AU$603,15,FALSE)*$L48,0)+IF($H48&lt;&gt;0,(VLOOKUP($J48,'Allocation Factors'!$B$12:$AU$603,15,FALSE)*$H48),0)</f>
        <v>0</v>
      </c>
      <c r="AA48" s="22">
        <f>IF($L48&lt;&gt;0,VLOOKUP($N48,'Allocation Factors'!$B$12:$AU$603,16,FALSE)*$L48,0)+IF($H48&lt;&gt;0,(VLOOKUP($J48,'Allocation Factors'!$B$12:$AU$603,16,FALSE)*$H48),0)</f>
        <v>0</v>
      </c>
      <c r="AB48" s="22">
        <f>IF($L48&lt;&gt;0,VLOOKUP($N48,'Allocation Factors'!$B$12:$AU$603,17,FALSE)*$L48,0)+IF($H48&lt;&gt;0,(VLOOKUP($J48,'Allocation Factors'!$B$12:$AU$603,17,FALSE)*$H48),0)</f>
        <v>0</v>
      </c>
      <c r="AC48" s="22">
        <f>IF($L48&lt;&gt;0,VLOOKUP($N48,'Allocation Factors'!$B$12:$AU$603,18,FALSE)*$L48,0)+IF($H48&lt;&gt;0,(VLOOKUP($J48,'Allocation Factors'!$B$12:$AU$603,18,FALSE)*$H48),0)</f>
        <v>0</v>
      </c>
      <c r="AD48" s="22">
        <f>IF($L48&lt;&gt;0,VLOOKUP($N48,'Allocation Factors'!$B$12:$AU$603,19,FALSE)*$L48,0)+IF($H48&lt;&gt;0,(VLOOKUP($J48,'Allocation Factors'!$B$12:$AU$603,19,FALSE)*$H48),0)</f>
        <v>0</v>
      </c>
      <c r="AE48" s="22">
        <f>IF($L48&lt;&gt;0,VLOOKUP($N48,'Allocation Factors'!$B$12:$AU$603,20,FALSE)*$L48,0)+IF($H48&lt;&gt;0,(VLOOKUP($J48,'Allocation Factors'!$B$12:$AU$603,20,FALSE)*$H48),0)</f>
        <v>0</v>
      </c>
      <c r="AF48" s="22">
        <f>IF($L48&lt;&gt;0,VLOOKUP($N48,'Allocation Factors'!$B$12:$AU$603,21,FALSE)*$L48,0)+IF($H48&lt;&gt;0,(VLOOKUP($J48,'Allocation Factors'!$B$12:$AU$603,21,FALSE)*$H48),0)</f>
        <v>0</v>
      </c>
      <c r="AG48" s="22">
        <f>IF($L48&lt;&gt;0,VLOOKUP($N48,'Allocation Factors'!$B$12:$AU$603,22,FALSE)*$L48,0)+IF($H48&lt;&gt;0,(VLOOKUP($J48,'Allocation Factors'!$B$12:$AU$603,22,FALSE)*$H48),0)</f>
        <v>0</v>
      </c>
      <c r="AH48" s="22">
        <f>IF($L48&lt;&gt;0,VLOOKUP($N48,'Allocation Factors'!$B$12:$AU$603,23,FALSE)*$L48,0)+IF($H48&lt;&gt;0,(VLOOKUP($J48,'Allocation Factors'!$B$12:$AU$603,23,FALSE)*$H48),0)</f>
        <v>0</v>
      </c>
      <c r="AI48" s="22">
        <f>IF($L48&lt;&gt;0,VLOOKUP($N48,'Allocation Factors'!$B$12:$AU$603,24,FALSE)*$L48,0)+IF($H48&lt;&gt;0,(VLOOKUP($J48,'Allocation Factors'!$B$12:$AU$603,24,FALSE)*$H48),0)</f>
        <v>0</v>
      </c>
      <c r="AJ48" s="22">
        <f>IF($L48&lt;&gt;0,VLOOKUP($N48,'Allocation Factors'!$B$12:$AU$603,25,FALSE)*$L48,0)+IF($H48&lt;&gt;0,(VLOOKUP($J48,'Allocation Factors'!$B$12:$AU$603,25,FALSE)*$H48),0)</f>
        <v>0</v>
      </c>
      <c r="AK48" s="22">
        <f>IF($L48&lt;&gt;0,VLOOKUP($N48,'Allocation Factors'!$B$12:$AU$603,26,FALSE)*$L48,0)+IF($H48&lt;&gt;0,(VLOOKUP($J48,'Allocation Factors'!$B$12:$AU$603,26,FALSE)*$H48),0)</f>
        <v>0</v>
      </c>
      <c r="AL48" s="22">
        <f>IF($L48&lt;&gt;0,VLOOKUP($N48,'Allocation Factors'!$B$12:$AU$603,27,FALSE)*$L48,0)+IF($H48&lt;&gt;0,(VLOOKUP($J48,'Allocation Factors'!$B$12:$AU$603,27,FALSE)*$H48),0)</f>
        <v>0</v>
      </c>
      <c r="AM48" s="22">
        <f>IF($L48&lt;&gt;0,VLOOKUP($N48,'Allocation Factors'!$B$12:$AU$603,28,FALSE)*$L48,0)+IF($H48&lt;&gt;0,(VLOOKUP($J48,'Allocation Factors'!$B$12:$AU$603,28,FALSE)*$H48),0)</f>
        <v>0</v>
      </c>
      <c r="AN48" s="22">
        <f>IF($L48&lt;&gt;0,VLOOKUP($N48,'Allocation Factors'!$B$12:$AU$603,29,FALSE)*$L48,0)+IF($H48&lt;&gt;0,(VLOOKUP($J48,'Allocation Factors'!$B$12:$AU$603,29,FALSE)*$H48),0)</f>
        <v>0</v>
      </c>
      <c r="AO48" s="22">
        <f>IF($L48&lt;&gt;0,VLOOKUP($N48,'Allocation Factors'!$B$12:$AU$603,30,FALSE)*$L48,0)+IF($H48&lt;&gt;0,(VLOOKUP($J48,'Allocation Factors'!$B$12:$AU$603,30,FALSE)*$H48),0)</f>
        <v>0</v>
      </c>
      <c r="AP48" s="22">
        <f>IF($L48&lt;&gt;0,VLOOKUP($N48,'Allocation Factors'!$B$12:$AU$603,31,FALSE)*$L48,0)+IF($H48&lt;&gt;0,(VLOOKUP($J48,'Allocation Factors'!$B$12:$AU$603,31,FALSE)*$H48),0)</f>
        <v>0</v>
      </c>
      <c r="AQ48" s="22">
        <f>IF($L48&lt;&gt;0,VLOOKUP($N48,'Allocation Factors'!$B$12:$AU$603,32,FALSE)*$L48,0)+IF($H48&lt;&gt;0,(VLOOKUP($J48,'Allocation Factors'!$B$12:$AU$603,32,FALSE)*$H48),0)</f>
        <v>0</v>
      </c>
      <c r="AR48" s="22">
        <f>IF($L48&lt;&gt;0,VLOOKUP($N48,'Allocation Factors'!$B$12:$AU$603,33,FALSE)*$L48,0)+IF($H48&lt;&gt;0,(VLOOKUP($J48,'Allocation Factors'!$B$12:$AU$603,33,FALSE)*$H48),0)</f>
        <v>0</v>
      </c>
      <c r="AS48" s="22">
        <f>IF($L48&lt;&gt;0,VLOOKUP($N48,'Allocation Factors'!$B$12:$AU$603,34,FALSE)*$L48,0)+IF($H48&lt;&gt;0,(VLOOKUP($J48,'Allocation Factors'!$B$12:$AU$603,34,FALSE)*$H48),0)</f>
        <v>0</v>
      </c>
      <c r="AT48" s="22">
        <f>IF($L48&lt;&gt;0,VLOOKUP($N48,'Allocation Factors'!$B$12:$AU$603,35,FALSE)*$L48,0)+IF($H48&lt;&gt;0,(VLOOKUP($J48,'Allocation Factors'!$B$12:$AU$603,35,FALSE)*$H48),0)</f>
        <v>0</v>
      </c>
      <c r="AU48" s="22">
        <f>IF($L48&lt;&gt;0,VLOOKUP($N48,'Allocation Factors'!$B$12:$AU$603,36,FALSE)*$L48,0)+IF($H48&lt;&gt;0,(VLOOKUP($J48,'Allocation Factors'!$B$12:$AU$603,36,FALSE)*$H48),0)</f>
        <v>0</v>
      </c>
      <c r="AV48" s="22">
        <f>IF($L48&lt;&gt;0,VLOOKUP($N48,'Allocation Factors'!$B$12:$AU$603,37,FALSE)*$L48,0)+IF($H48&lt;&gt;0,(VLOOKUP($J48,'Allocation Factors'!$B$12:$AU$603,37,FALSE)*$H48),0)</f>
        <v>0</v>
      </c>
      <c r="AW48" s="22">
        <f>IF($L48&lt;&gt;0,VLOOKUP($N48,'Allocation Factors'!$B$12:$AU$603,38,FALSE)*$L48,0)+IF($H48&lt;&gt;0,(VLOOKUP($J48,'Allocation Factors'!$B$12:$AU$603,38,FALSE)*$H48),0)</f>
        <v>0</v>
      </c>
      <c r="AX48" s="22">
        <f>IF($L48&lt;&gt;0,VLOOKUP($N48,'Allocation Factors'!$B$12:$AU$603,39,FALSE)*$L48,0)+IF($H48&lt;&gt;0,(VLOOKUP($J48,'Allocation Factors'!$B$12:$AU$603,39,FALSE)*$H48),0)</f>
        <v>0</v>
      </c>
      <c r="AY48" s="22">
        <f>IF($L48&lt;&gt;0,VLOOKUP($N48,'Allocation Factors'!$B$12:$AU$603,40,FALSE)*$L48,0)+IF($H48&lt;&gt;0,(VLOOKUP($J48,'Allocation Factors'!$B$12:$AU$603,40,FALSE)*$H48),0)</f>
        <v>0</v>
      </c>
      <c r="AZ48" s="22">
        <f>IF($L48&lt;&gt;0,VLOOKUP($N48,'Allocation Factors'!$B$12:$AU$603,41,FALSE)*$L48,0)+IF($H48&lt;&gt;0,(VLOOKUP($J48,'Allocation Factors'!$B$12:$AU$603,41,FALSE)*$H48),0)</f>
        <v>0</v>
      </c>
      <c r="BA48" s="22">
        <f>IF($L48&lt;&gt;0,VLOOKUP($N48,'Allocation Factors'!$B$12:$AU$603,42,FALSE)*$L48,0)+IF($H48&lt;&gt;0,(VLOOKUP($J48,'Allocation Factors'!$B$12:$AU$603,42,FALSE)*$H48),0)</f>
        <v>0</v>
      </c>
      <c r="BB48" s="22">
        <f>IF($L48&lt;&gt;0,VLOOKUP($N48,'Allocation Factors'!$B$12:$AU$603,43,FALSE)*$L48,0)+IF($H48&lt;&gt;0,(VLOOKUP($J48,'Allocation Factors'!$B$12:$AU$603,43,FALSE)*$H48),0)</f>
        <v>0</v>
      </c>
      <c r="BC48" s="22">
        <f>IF($L48&lt;&gt;0,VLOOKUP($N48,'Allocation Factors'!$B$12:$AU$603,44,FALSE)*$L48,0)+IF($H48&lt;&gt;0,(VLOOKUP($J48,'Allocation Factors'!$B$12:$AU$603,44,FALSE)*$H48),0)</f>
        <v>0</v>
      </c>
      <c r="BD48" s="22">
        <f>IF($L48&lt;&gt;0,VLOOKUP($N48,'Allocation Factors'!$B$12:$AU$603,45,FALSE)*$L48,0)+IF($H48&lt;&gt;0,(VLOOKUP($J48,'Allocation Factors'!$B$12:$AU$603,45,FALSE)*$H48),0)</f>
        <v>0</v>
      </c>
      <c r="BE48" s="22">
        <f>IF($L48&lt;&gt;0,VLOOKUP($N48,'Allocation Factors'!$B$12:$AU$603,46,FALSE)*$L48,0)+IF($H48&lt;&gt;0,(VLOOKUP($J48,'Allocation Factors'!$B$12:$AU$603,46,FALSE)*$H48),0)</f>
        <v>0</v>
      </c>
      <c r="BF48" s="9"/>
    </row>
    <row r="49" spans="1:58" x14ac:dyDescent="0.25">
      <c r="A49" s="2">
        <f t="shared" si="14"/>
        <v>31</v>
      </c>
      <c r="B49" s="206" t="s">
        <v>72</v>
      </c>
      <c r="D49" s="22">
        <v>0</v>
      </c>
      <c r="F49" s="22">
        <f>D49</f>
        <v>0</v>
      </c>
      <c r="L49" s="22">
        <f t="shared" si="13"/>
        <v>0</v>
      </c>
      <c r="N49" s="28" t="str">
        <f>'Total ALLOCATION'!N49</f>
        <v>TOTAL_CUSTOMERS</v>
      </c>
      <c r="P49" s="22">
        <f>IF($L49&lt;&gt;0,VLOOKUP($N49,'Allocation Factors'!$B$12:$AU$603,5,FALSE)*$L49,0)+IF($H49&lt;&gt;0,(VLOOKUP($J49,'Allocation Factors'!$B$12:$AU$603,5,FALSE)*$H49),0)</f>
        <v>0</v>
      </c>
      <c r="Q49" s="22">
        <f>IF($L49&lt;&gt;0,VLOOKUP($N49,'Allocation Factors'!$B$12:$AU$603,6,FALSE)*$L49,0)+IF($H49&lt;&gt;0,(VLOOKUP($J49,'Allocation Factors'!$B$12:$AU$603,6,FALSE)*$H49),0)</f>
        <v>0</v>
      </c>
      <c r="R49" s="22">
        <f>IF($L49&lt;&gt;0,VLOOKUP($N49,'Allocation Factors'!$B$12:$AU$603,7,FALSE)*$L49,0)+IF($H49&lt;&gt;0,(VLOOKUP($J49,'Allocation Factors'!$B$12:$AU$603,7,FALSE)*$H49),0)</f>
        <v>0</v>
      </c>
      <c r="S49" s="22">
        <f>IF($L49&lt;&gt;0,VLOOKUP($N49,'Allocation Factors'!$B$12:$AU$603,8,FALSE)*$L49,0)+IF($H49&lt;&gt;0,(VLOOKUP($J49,'Allocation Factors'!$B$12:$AU$603,8,FALSE)*$H49),0)</f>
        <v>0</v>
      </c>
      <c r="T49" s="22">
        <f>IF($L49&lt;&gt;0,VLOOKUP($N49,'Allocation Factors'!$B$12:$AU$603,9,FALSE)*$L49,0)+IF($H49&lt;&gt;0,(VLOOKUP($J49,'Allocation Factors'!$B$12:$AU$603,9,FALSE)*$H49),0)</f>
        <v>0</v>
      </c>
      <c r="U49" s="22">
        <f>IF($L49&lt;&gt;0,VLOOKUP($N49,'Allocation Factors'!$B$12:$AU$603,10,FALSE)*$L49,0)+IF($H49&lt;&gt;0,(VLOOKUP($J49,'Allocation Factors'!$B$12:$AU$603,10,FALSE)*$H49),0)</f>
        <v>0</v>
      </c>
      <c r="V49" s="22">
        <f>IF($L49&lt;&gt;0,VLOOKUP($N49,'Allocation Factors'!$B$12:$AU$603,11,FALSE)*$L49,0)+IF($H49&lt;&gt;0,(VLOOKUP($J49,'Allocation Factors'!$B$12:$AU$603,11,FALSE)*$H49),0)</f>
        <v>0</v>
      </c>
      <c r="W49" s="22">
        <f>IF($L49&lt;&gt;0,VLOOKUP($N49,'Allocation Factors'!$B$12:$AU$603,12,FALSE)*$L49,0)+IF($H49&lt;&gt;0,(VLOOKUP($J49,'Allocation Factors'!$B$12:$AU$603,12,FALSE)*$H49),0)</f>
        <v>0</v>
      </c>
      <c r="X49" s="22">
        <f>IF($L49&lt;&gt;0,VLOOKUP($N49,'Allocation Factors'!$B$12:$AU$603,13,FALSE)*$L49,0)+IF($H49&lt;&gt;0,(VLOOKUP($J49,'Allocation Factors'!$B$12:$AU$603,13,FALSE)*$H49),0)</f>
        <v>0</v>
      </c>
      <c r="Y49" s="22">
        <f>IF($L49&lt;&gt;0,VLOOKUP($N49,'Allocation Factors'!$B$12:$AU$603,14,FALSE)*$L49,0)+IF($H49&lt;&gt;0,(VLOOKUP($J49,'Allocation Factors'!$B$12:$AU$603,14,FALSE)*$H49),0)</f>
        <v>0</v>
      </c>
      <c r="Z49" s="22">
        <f>IF($L49&lt;&gt;0,VLOOKUP($N49,'Allocation Factors'!$B$12:$AU$603,15,FALSE)*$L49,0)+IF($H49&lt;&gt;0,(VLOOKUP($J49,'Allocation Factors'!$B$12:$AU$603,15,FALSE)*$H49),0)</f>
        <v>0</v>
      </c>
      <c r="AA49" s="22">
        <f>IF($L49&lt;&gt;0,VLOOKUP($N49,'Allocation Factors'!$B$12:$AU$603,16,FALSE)*$L49,0)+IF($H49&lt;&gt;0,(VLOOKUP($J49,'Allocation Factors'!$B$12:$AU$603,16,FALSE)*$H49),0)</f>
        <v>0</v>
      </c>
      <c r="AB49" s="22">
        <f>IF($L49&lt;&gt;0,VLOOKUP($N49,'Allocation Factors'!$B$12:$AU$603,17,FALSE)*$L49,0)+IF($H49&lt;&gt;0,(VLOOKUP($J49,'Allocation Factors'!$B$12:$AU$603,17,FALSE)*$H49),0)</f>
        <v>0</v>
      </c>
      <c r="AC49" s="22">
        <f>IF($L49&lt;&gt;0,VLOOKUP($N49,'Allocation Factors'!$B$12:$AU$603,18,FALSE)*$L49,0)+IF($H49&lt;&gt;0,(VLOOKUP($J49,'Allocation Factors'!$B$12:$AU$603,18,FALSE)*$H49),0)</f>
        <v>0</v>
      </c>
      <c r="AD49" s="22">
        <f>IF($L49&lt;&gt;0,VLOOKUP($N49,'Allocation Factors'!$B$12:$AU$603,19,FALSE)*$L49,0)+IF($H49&lt;&gt;0,(VLOOKUP($J49,'Allocation Factors'!$B$12:$AU$603,19,FALSE)*$H49),0)</f>
        <v>0</v>
      </c>
      <c r="AE49" s="22">
        <f>IF($L49&lt;&gt;0,VLOOKUP($N49,'Allocation Factors'!$B$12:$AU$603,20,FALSE)*$L49,0)+IF($H49&lt;&gt;0,(VLOOKUP($J49,'Allocation Factors'!$B$12:$AU$603,20,FALSE)*$H49),0)</f>
        <v>0</v>
      </c>
      <c r="AF49" s="22">
        <f>IF($L49&lt;&gt;0,VLOOKUP($N49,'Allocation Factors'!$B$12:$AU$603,21,FALSE)*$L49,0)+IF($H49&lt;&gt;0,(VLOOKUP($J49,'Allocation Factors'!$B$12:$AU$603,21,FALSE)*$H49),0)</f>
        <v>0</v>
      </c>
      <c r="AG49" s="22">
        <f>IF($L49&lt;&gt;0,VLOOKUP($N49,'Allocation Factors'!$B$12:$AU$603,22,FALSE)*$L49,0)+IF($H49&lt;&gt;0,(VLOOKUP($J49,'Allocation Factors'!$B$12:$AU$603,22,FALSE)*$H49),0)</f>
        <v>0</v>
      </c>
      <c r="AH49" s="22">
        <f>IF($L49&lt;&gt;0,VLOOKUP($N49,'Allocation Factors'!$B$12:$AU$603,23,FALSE)*$L49,0)+IF($H49&lt;&gt;0,(VLOOKUP($J49,'Allocation Factors'!$B$12:$AU$603,23,FALSE)*$H49),0)</f>
        <v>0</v>
      </c>
      <c r="AI49" s="22">
        <f>IF($L49&lt;&gt;0,VLOOKUP($N49,'Allocation Factors'!$B$12:$AU$603,24,FALSE)*$L49,0)+IF($H49&lt;&gt;0,(VLOOKUP($J49,'Allocation Factors'!$B$12:$AU$603,24,FALSE)*$H49),0)</f>
        <v>0</v>
      </c>
      <c r="AJ49" s="22">
        <f>IF($L49&lt;&gt;0,VLOOKUP($N49,'Allocation Factors'!$B$12:$AU$603,25,FALSE)*$L49,0)+IF($H49&lt;&gt;0,(VLOOKUP($J49,'Allocation Factors'!$B$12:$AU$603,25,FALSE)*$H49),0)</f>
        <v>0</v>
      </c>
      <c r="AK49" s="22">
        <f>IF($L49&lt;&gt;0,VLOOKUP($N49,'Allocation Factors'!$B$12:$AU$603,26,FALSE)*$L49,0)+IF($H49&lt;&gt;0,(VLOOKUP($J49,'Allocation Factors'!$B$12:$AU$603,26,FALSE)*$H49),0)</f>
        <v>0</v>
      </c>
      <c r="AL49" s="22">
        <f>IF($L49&lt;&gt;0,VLOOKUP($N49,'Allocation Factors'!$B$12:$AU$603,27,FALSE)*$L49,0)+IF($H49&lt;&gt;0,(VLOOKUP($J49,'Allocation Factors'!$B$12:$AU$603,27,FALSE)*$H49),0)</f>
        <v>0</v>
      </c>
      <c r="AM49" s="22">
        <f>IF($L49&lt;&gt;0,VLOOKUP($N49,'Allocation Factors'!$B$12:$AU$603,28,FALSE)*$L49,0)+IF($H49&lt;&gt;0,(VLOOKUP($J49,'Allocation Factors'!$B$12:$AU$603,28,FALSE)*$H49),0)</f>
        <v>0</v>
      </c>
      <c r="AN49" s="22">
        <f>IF($L49&lt;&gt;0,VLOOKUP($N49,'Allocation Factors'!$B$12:$AU$603,29,FALSE)*$L49,0)+IF($H49&lt;&gt;0,(VLOOKUP($J49,'Allocation Factors'!$B$12:$AU$603,29,FALSE)*$H49),0)</f>
        <v>0</v>
      </c>
      <c r="AO49" s="22">
        <f>IF($L49&lt;&gt;0,VLOOKUP($N49,'Allocation Factors'!$B$12:$AU$603,30,FALSE)*$L49,0)+IF($H49&lt;&gt;0,(VLOOKUP($J49,'Allocation Factors'!$B$12:$AU$603,30,FALSE)*$H49),0)</f>
        <v>0</v>
      </c>
      <c r="AP49" s="22">
        <f>IF($L49&lt;&gt;0,VLOOKUP($N49,'Allocation Factors'!$B$12:$AU$603,31,FALSE)*$L49,0)+IF($H49&lt;&gt;0,(VLOOKUP($J49,'Allocation Factors'!$B$12:$AU$603,31,FALSE)*$H49),0)</f>
        <v>0</v>
      </c>
      <c r="AQ49" s="22">
        <f>IF($L49&lt;&gt;0,VLOOKUP($N49,'Allocation Factors'!$B$12:$AU$603,32,FALSE)*$L49,0)+IF($H49&lt;&gt;0,(VLOOKUP($J49,'Allocation Factors'!$B$12:$AU$603,32,FALSE)*$H49),0)</f>
        <v>0</v>
      </c>
      <c r="AR49" s="22">
        <f>IF($L49&lt;&gt;0,VLOOKUP($N49,'Allocation Factors'!$B$12:$AU$603,33,FALSE)*$L49,0)+IF($H49&lt;&gt;0,(VLOOKUP($J49,'Allocation Factors'!$B$12:$AU$603,33,FALSE)*$H49),0)</f>
        <v>0</v>
      </c>
      <c r="AS49" s="22">
        <f>IF($L49&lt;&gt;0,VLOOKUP($N49,'Allocation Factors'!$B$12:$AU$603,34,FALSE)*$L49,0)+IF($H49&lt;&gt;0,(VLOOKUP($J49,'Allocation Factors'!$B$12:$AU$603,34,FALSE)*$H49),0)</f>
        <v>0</v>
      </c>
      <c r="AT49" s="22">
        <f>IF($L49&lt;&gt;0,VLOOKUP($N49,'Allocation Factors'!$B$12:$AU$603,35,FALSE)*$L49,0)+IF($H49&lt;&gt;0,(VLOOKUP($J49,'Allocation Factors'!$B$12:$AU$603,35,FALSE)*$H49),0)</f>
        <v>0</v>
      </c>
      <c r="AU49" s="22">
        <f>IF($L49&lt;&gt;0,VLOOKUP($N49,'Allocation Factors'!$B$12:$AU$603,36,FALSE)*$L49,0)+IF($H49&lt;&gt;0,(VLOOKUP($J49,'Allocation Factors'!$B$12:$AU$603,36,FALSE)*$H49),0)</f>
        <v>0</v>
      </c>
      <c r="AV49" s="22">
        <f>IF($L49&lt;&gt;0,VLOOKUP($N49,'Allocation Factors'!$B$12:$AU$603,37,FALSE)*$L49,0)+IF($H49&lt;&gt;0,(VLOOKUP($J49,'Allocation Factors'!$B$12:$AU$603,37,FALSE)*$H49),0)</f>
        <v>0</v>
      </c>
      <c r="AW49" s="22">
        <f>IF($L49&lt;&gt;0,VLOOKUP($N49,'Allocation Factors'!$B$12:$AU$603,38,FALSE)*$L49,0)+IF($H49&lt;&gt;0,(VLOOKUP($J49,'Allocation Factors'!$B$12:$AU$603,38,FALSE)*$H49),0)</f>
        <v>0</v>
      </c>
      <c r="AX49" s="22">
        <f>IF($L49&lt;&gt;0,VLOOKUP($N49,'Allocation Factors'!$B$12:$AU$603,39,FALSE)*$L49,0)+IF($H49&lt;&gt;0,(VLOOKUP($J49,'Allocation Factors'!$B$12:$AU$603,39,FALSE)*$H49),0)</f>
        <v>0</v>
      </c>
      <c r="AY49" s="22">
        <f>IF($L49&lt;&gt;0,VLOOKUP($N49,'Allocation Factors'!$B$12:$AU$603,40,FALSE)*$L49,0)+IF($H49&lt;&gt;0,(VLOOKUP($J49,'Allocation Factors'!$B$12:$AU$603,40,FALSE)*$H49),0)</f>
        <v>0</v>
      </c>
      <c r="AZ49" s="22">
        <f>IF($L49&lt;&gt;0,VLOOKUP($N49,'Allocation Factors'!$B$12:$AU$603,41,FALSE)*$L49,0)+IF($H49&lt;&gt;0,(VLOOKUP($J49,'Allocation Factors'!$B$12:$AU$603,41,FALSE)*$H49),0)</f>
        <v>0</v>
      </c>
      <c r="BA49" s="22">
        <f>IF($L49&lt;&gt;0,VLOOKUP($N49,'Allocation Factors'!$B$12:$AU$603,42,FALSE)*$L49,0)+IF($H49&lt;&gt;0,(VLOOKUP($J49,'Allocation Factors'!$B$12:$AU$603,42,FALSE)*$H49),0)</f>
        <v>0</v>
      </c>
      <c r="BB49" s="22">
        <f>IF($L49&lt;&gt;0,VLOOKUP($N49,'Allocation Factors'!$B$12:$AU$603,43,FALSE)*$L49,0)+IF($H49&lt;&gt;0,(VLOOKUP($J49,'Allocation Factors'!$B$12:$AU$603,43,FALSE)*$H49),0)</f>
        <v>0</v>
      </c>
      <c r="BC49" s="22">
        <f>IF($L49&lt;&gt;0,VLOOKUP($N49,'Allocation Factors'!$B$12:$AU$603,44,FALSE)*$L49,0)+IF($H49&lt;&gt;0,(VLOOKUP($J49,'Allocation Factors'!$B$12:$AU$603,44,FALSE)*$H49),0)</f>
        <v>0</v>
      </c>
      <c r="BD49" s="22">
        <f>IF($L49&lt;&gt;0,VLOOKUP($N49,'Allocation Factors'!$B$12:$AU$603,45,FALSE)*$L49,0)+IF($H49&lt;&gt;0,(VLOOKUP($J49,'Allocation Factors'!$B$12:$AU$603,45,FALSE)*$H49),0)</f>
        <v>0</v>
      </c>
      <c r="BE49" s="22">
        <f>IF($L49&lt;&gt;0,VLOOKUP($N49,'Allocation Factors'!$B$12:$AU$603,46,FALSE)*$L49,0)+IF($H49&lt;&gt;0,(VLOOKUP($J49,'Allocation Factors'!$B$12:$AU$603,46,FALSE)*$H49),0)</f>
        <v>0</v>
      </c>
      <c r="BF49" s="100"/>
    </row>
    <row r="50" spans="1:58" s="99" customFormat="1" x14ac:dyDescent="0.25">
      <c r="A50" s="2">
        <f t="shared" si="14"/>
        <v>32</v>
      </c>
      <c r="B50" s="206" t="s">
        <v>199</v>
      </c>
      <c r="D50" s="22">
        <v>0</v>
      </c>
      <c r="E50" s="97"/>
      <c r="F50" s="22">
        <f>D50</f>
        <v>0</v>
      </c>
      <c r="G50" s="97"/>
      <c r="H50" s="97"/>
      <c r="I50" s="97"/>
      <c r="J50" s="28"/>
      <c r="K50" s="97"/>
      <c r="L50" s="22">
        <f t="shared" si="13"/>
        <v>0</v>
      </c>
      <c r="M50" s="97"/>
      <c r="N50" s="28" t="str">
        <f>'Total ALLOCATION'!N50</f>
        <v>CUST_EXCL_GS</v>
      </c>
      <c r="O50" s="97"/>
      <c r="P50" s="22">
        <f>IF($L50&lt;&gt;0,VLOOKUP($N50,'Allocation Factors'!$B$12:$AU$603,5,FALSE)*$L50,0)+IF($H50&lt;&gt;0,(VLOOKUP($J50,'Allocation Factors'!$B$12:$AU$603,5,FALSE)*$H50),0)</f>
        <v>0</v>
      </c>
      <c r="Q50" s="22">
        <f>IF($L50&lt;&gt;0,VLOOKUP($N50,'Allocation Factors'!$B$12:$AU$603,6,FALSE)*$L50,0)+IF($H50&lt;&gt;0,(VLOOKUP($J50,'Allocation Factors'!$B$12:$AU$603,6,FALSE)*$H50),0)</f>
        <v>0</v>
      </c>
      <c r="R50" s="22">
        <f>IF($L50&lt;&gt;0,VLOOKUP($N50,'Allocation Factors'!$B$12:$AU$603,7,FALSE)*$L50,0)+IF($H50&lt;&gt;0,(VLOOKUP($J50,'Allocation Factors'!$B$12:$AU$603,7,FALSE)*$H50),0)</f>
        <v>0</v>
      </c>
      <c r="S50" s="22">
        <f>IF($L50&lt;&gt;0,VLOOKUP($N50,'Allocation Factors'!$B$12:$AU$603,8,FALSE)*$L50,0)+IF($H50&lt;&gt;0,(VLOOKUP($J50,'Allocation Factors'!$B$12:$AU$603,8,FALSE)*$H50),0)</f>
        <v>0</v>
      </c>
      <c r="T50" s="22">
        <f>IF($L50&lt;&gt;0,VLOOKUP($N50,'Allocation Factors'!$B$12:$AU$603,9,FALSE)*$L50,0)+IF($H50&lt;&gt;0,(VLOOKUP($J50,'Allocation Factors'!$B$12:$AU$603,9,FALSE)*$H50),0)</f>
        <v>0</v>
      </c>
      <c r="U50" s="22">
        <f>IF($L50&lt;&gt;0,VLOOKUP($N50,'Allocation Factors'!$B$12:$AU$603,10,FALSE)*$L50,0)+IF($H50&lt;&gt;0,(VLOOKUP($J50,'Allocation Factors'!$B$12:$AU$603,10,FALSE)*$H50),0)</f>
        <v>0</v>
      </c>
      <c r="V50" s="22">
        <f>IF($L50&lt;&gt;0,VLOOKUP($N50,'Allocation Factors'!$B$12:$AU$603,11,FALSE)*$L50,0)+IF($H50&lt;&gt;0,(VLOOKUP($J50,'Allocation Factors'!$B$12:$AU$603,11,FALSE)*$H50),0)</f>
        <v>0</v>
      </c>
      <c r="W50" s="22">
        <f>IF($L50&lt;&gt;0,VLOOKUP($N50,'Allocation Factors'!$B$12:$AU$603,12,FALSE)*$L50,0)+IF($H50&lt;&gt;0,(VLOOKUP($J50,'Allocation Factors'!$B$12:$AU$603,12,FALSE)*$H50),0)</f>
        <v>0</v>
      </c>
      <c r="X50" s="22">
        <f>IF($L50&lt;&gt;0,VLOOKUP($N50,'Allocation Factors'!$B$12:$AU$603,13,FALSE)*$L50,0)+IF($H50&lt;&gt;0,(VLOOKUP($J50,'Allocation Factors'!$B$12:$AU$603,13,FALSE)*$H50),0)</f>
        <v>0</v>
      </c>
      <c r="Y50" s="22">
        <f>IF($L50&lt;&gt;0,VLOOKUP($N50,'Allocation Factors'!$B$12:$AU$603,14,FALSE)*$L50,0)+IF($H50&lt;&gt;0,(VLOOKUP($J50,'Allocation Factors'!$B$12:$AU$603,14,FALSE)*$H50),0)</f>
        <v>0</v>
      </c>
      <c r="Z50" s="22">
        <f>IF($L50&lt;&gt;0,VLOOKUP($N50,'Allocation Factors'!$B$12:$AU$603,15,FALSE)*$L50,0)+IF($H50&lt;&gt;0,(VLOOKUP($J50,'Allocation Factors'!$B$12:$AU$603,15,FALSE)*$H50),0)</f>
        <v>0</v>
      </c>
      <c r="AA50" s="22">
        <f>IF($L50&lt;&gt;0,VLOOKUP($N50,'Allocation Factors'!$B$12:$AU$603,16,FALSE)*$L50,0)+IF($H50&lt;&gt;0,(VLOOKUP($J50,'Allocation Factors'!$B$12:$AU$603,16,FALSE)*$H50),0)</f>
        <v>0</v>
      </c>
      <c r="AB50" s="22">
        <f>IF($L50&lt;&gt;0,VLOOKUP($N50,'Allocation Factors'!$B$12:$AU$603,17,FALSE)*$L50,0)+IF($H50&lt;&gt;0,(VLOOKUP($J50,'Allocation Factors'!$B$12:$AU$603,17,FALSE)*$H50),0)</f>
        <v>0</v>
      </c>
      <c r="AC50" s="22">
        <f>IF($L50&lt;&gt;0,VLOOKUP($N50,'Allocation Factors'!$B$12:$AU$603,18,FALSE)*$L50,0)+IF($H50&lt;&gt;0,(VLOOKUP($J50,'Allocation Factors'!$B$12:$AU$603,18,FALSE)*$H50),0)</f>
        <v>0</v>
      </c>
      <c r="AD50" s="22">
        <f>IF($L50&lt;&gt;0,VLOOKUP($N50,'Allocation Factors'!$B$12:$AU$603,19,FALSE)*$L50,0)+IF($H50&lt;&gt;0,(VLOOKUP($J50,'Allocation Factors'!$B$12:$AU$603,19,FALSE)*$H50),0)</f>
        <v>0</v>
      </c>
      <c r="AE50" s="22">
        <f>IF($L50&lt;&gt;0,VLOOKUP($N50,'Allocation Factors'!$B$12:$AU$603,20,FALSE)*$L50,0)+IF($H50&lt;&gt;0,(VLOOKUP($J50,'Allocation Factors'!$B$12:$AU$603,20,FALSE)*$H50),0)</f>
        <v>0</v>
      </c>
      <c r="AF50" s="22">
        <f>IF($L50&lt;&gt;0,VLOOKUP($N50,'Allocation Factors'!$B$12:$AU$603,21,FALSE)*$L50,0)+IF($H50&lt;&gt;0,(VLOOKUP($J50,'Allocation Factors'!$B$12:$AU$603,21,FALSE)*$H50),0)</f>
        <v>0</v>
      </c>
      <c r="AG50" s="22">
        <f>IF($L50&lt;&gt;0,VLOOKUP($N50,'Allocation Factors'!$B$12:$AU$603,22,FALSE)*$L50,0)+IF($H50&lt;&gt;0,(VLOOKUP($J50,'Allocation Factors'!$B$12:$AU$603,22,FALSE)*$H50),0)</f>
        <v>0</v>
      </c>
      <c r="AH50" s="22">
        <f>IF($L50&lt;&gt;0,VLOOKUP($N50,'Allocation Factors'!$B$12:$AU$603,23,FALSE)*$L50,0)+IF($H50&lt;&gt;0,(VLOOKUP($J50,'Allocation Factors'!$B$12:$AU$603,23,FALSE)*$H50),0)</f>
        <v>0</v>
      </c>
      <c r="AI50" s="22">
        <f>IF($L50&lt;&gt;0,VLOOKUP($N50,'Allocation Factors'!$B$12:$AU$603,24,FALSE)*$L50,0)+IF($H50&lt;&gt;0,(VLOOKUP($J50,'Allocation Factors'!$B$12:$AU$603,24,FALSE)*$H50),0)</f>
        <v>0</v>
      </c>
      <c r="AJ50" s="22">
        <f>IF($L50&lt;&gt;0,VLOOKUP($N50,'Allocation Factors'!$B$12:$AU$603,25,FALSE)*$L50,0)+IF($H50&lt;&gt;0,(VLOOKUP($J50,'Allocation Factors'!$B$12:$AU$603,25,FALSE)*$H50),0)</f>
        <v>0</v>
      </c>
      <c r="AK50" s="22">
        <f>IF($L50&lt;&gt;0,VLOOKUP($N50,'Allocation Factors'!$B$12:$AU$603,26,FALSE)*$L50,0)+IF($H50&lt;&gt;0,(VLOOKUP($J50,'Allocation Factors'!$B$12:$AU$603,26,FALSE)*$H50),0)</f>
        <v>0</v>
      </c>
      <c r="AL50" s="22">
        <f>IF($L50&lt;&gt;0,VLOOKUP($N50,'Allocation Factors'!$B$12:$AU$603,27,FALSE)*$L50,0)+IF($H50&lt;&gt;0,(VLOOKUP($J50,'Allocation Factors'!$B$12:$AU$603,27,FALSE)*$H50),0)</f>
        <v>0</v>
      </c>
      <c r="AM50" s="22">
        <f>IF($L50&lt;&gt;0,VLOOKUP($N50,'Allocation Factors'!$B$12:$AU$603,28,FALSE)*$L50,0)+IF($H50&lt;&gt;0,(VLOOKUP($J50,'Allocation Factors'!$B$12:$AU$603,28,FALSE)*$H50),0)</f>
        <v>0</v>
      </c>
      <c r="AN50" s="22">
        <f>IF($L50&lt;&gt;0,VLOOKUP($N50,'Allocation Factors'!$B$12:$AU$603,29,FALSE)*$L50,0)+IF($H50&lt;&gt;0,(VLOOKUP($J50,'Allocation Factors'!$B$12:$AU$603,29,FALSE)*$H50),0)</f>
        <v>0</v>
      </c>
      <c r="AO50" s="22">
        <f>IF($L50&lt;&gt;0,VLOOKUP($N50,'Allocation Factors'!$B$12:$AU$603,30,FALSE)*$L50,0)+IF($H50&lt;&gt;0,(VLOOKUP($J50,'Allocation Factors'!$B$12:$AU$603,30,FALSE)*$H50),0)</f>
        <v>0</v>
      </c>
      <c r="AP50" s="22">
        <f>IF($L50&lt;&gt;0,VLOOKUP($N50,'Allocation Factors'!$B$12:$AU$603,31,FALSE)*$L50,0)+IF($H50&lt;&gt;0,(VLOOKUP($J50,'Allocation Factors'!$B$12:$AU$603,31,FALSE)*$H50),0)</f>
        <v>0</v>
      </c>
      <c r="AQ50" s="22">
        <f>IF($L50&lt;&gt;0,VLOOKUP($N50,'Allocation Factors'!$B$12:$AU$603,32,FALSE)*$L50,0)+IF($H50&lt;&gt;0,(VLOOKUP($J50,'Allocation Factors'!$B$12:$AU$603,32,FALSE)*$H50),0)</f>
        <v>0</v>
      </c>
      <c r="AR50" s="22">
        <f>IF($L50&lt;&gt;0,VLOOKUP($N50,'Allocation Factors'!$B$12:$AU$603,33,FALSE)*$L50,0)+IF($H50&lt;&gt;0,(VLOOKUP($J50,'Allocation Factors'!$B$12:$AU$603,33,FALSE)*$H50),0)</f>
        <v>0</v>
      </c>
      <c r="AS50" s="22">
        <f>IF($L50&lt;&gt;0,VLOOKUP($N50,'Allocation Factors'!$B$12:$AU$603,34,FALSE)*$L50,0)+IF($H50&lt;&gt;0,(VLOOKUP($J50,'Allocation Factors'!$B$12:$AU$603,34,FALSE)*$H50),0)</f>
        <v>0</v>
      </c>
      <c r="AT50" s="22">
        <f>IF($L50&lt;&gt;0,VLOOKUP($N50,'Allocation Factors'!$B$12:$AU$603,35,FALSE)*$L50,0)+IF($H50&lt;&gt;0,(VLOOKUP($J50,'Allocation Factors'!$B$12:$AU$603,35,FALSE)*$H50),0)</f>
        <v>0</v>
      </c>
      <c r="AU50" s="22">
        <f>IF($L50&lt;&gt;0,VLOOKUP($N50,'Allocation Factors'!$B$12:$AU$603,36,FALSE)*$L50,0)+IF($H50&lt;&gt;0,(VLOOKUP($J50,'Allocation Factors'!$B$12:$AU$603,36,FALSE)*$H50),0)</f>
        <v>0</v>
      </c>
      <c r="AV50" s="22">
        <f>IF($L50&lt;&gt;0,VLOOKUP($N50,'Allocation Factors'!$B$12:$AU$603,37,FALSE)*$L50,0)+IF($H50&lt;&gt;0,(VLOOKUP($J50,'Allocation Factors'!$B$12:$AU$603,37,FALSE)*$H50),0)</f>
        <v>0</v>
      </c>
      <c r="AW50" s="22">
        <f>IF($L50&lt;&gt;0,VLOOKUP($N50,'Allocation Factors'!$B$12:$AU$603,38,FALSE)*$L50,0)+IF($H50&lt;&gt;0,(VLOOKUP($J50,'Allocation Factors'!$B$12:$AU$603,38,FALSE)*$H50),0)</f>
        <v>0</v>
      </c>
      <c r="AX50" s="22">
        <f>IF($L50&lt;&gt;0,VLOOKUP($N50,'Allocation Factors'!$B$12:$AU$603,39,FALSE)*$L50,0)+IF($H50&lt;&gt;0,(VLOOKUP($J50,'Allocation Factors'!$B$12:$AU$603,39,FALSE)*$H50),0)</f>
        <v>0</v>
      </c>
      <c r="AY50" s="22">
        <f>IF($L50&lt;&gt;0,VLOOKUP($N50,'Allocation Factors'!$B$12:$AU$603,40,FALSE)*$L50,0)+IF($H50&lt;&gt;0,(VLOOKUP($J50,'Allocation Factors'!$B$12:$AU$603,40,FALSE)*$H50),0)</f>
        <v>0</v>
      </c>
      <c r="AZ50" s="22">
        <f>IF($L50&lt;&gt;0,VLOOKUP($N50,'Allocation Factors'!$B$12:$AU$603,41,FALSE)*$L50,0)+IF($H50&lt;&gt;0,(VLOOKUP($J50,'Allocation Factors'!$B$12:$AU$603,41,FALSE)*$H50),0)</f>
        <v>0</v>
      </c>
      <c r="BA50" s="22">
        <f>IF($L50&lt;&gt;0,VLOOKUP($N50,'Allocation Factors'!$B$12:$AU$603,42,FALSE)*$L50,0)+IF($H50&lt;&gt;0,(VLOOKUP($J50,'Allocation Factors'!$B$12:$AU$603,42,FALSE)*$H50),0)</f>
        <v>0</v>
      </c>
      <c r="BB50" s="22">
        <f>IF($L50&lt;&gt;0,VLOOKUP($N50,'Allocation Factors'!$B$12:$AU$603,43,FALSE)*$L50,0)+IF($H50&lt;&gt;0,(VLOOKUP($J50,'Allocation Factors'!$B$12:$AU$603,43,FALSE)*$H50),0)</f>
        <v>0</v>
      </c>
      <c r="BC50" s="22">
        <f>IF($L50&lt;&gt;0,VLOOKUP($N50,'Allocation Factors'!$B$12:$AU$603,44,FALSE)*$L50,0)+IF($H50&lt;&gt;0,(VLOOKUP($J50,'Allocation Factors'!$B$12:$AU$603,44,FALSE)*$H50),0)</f>
        <v>0</v>
      </c>
      <c r="BD50" s="22">
        <f>IF($L50&lt;&gt;0,VLOOKUP($N50,'Allocation Factors'!$B$12:$AU$603,45,FALSE)*$L50,0)+IF($H50&lt;&gt;0,(VLOOKUP($J50,'Allocation Factors'!$B$12:$AU$603,45,FALSE)*$H50),0)</f>
        <v>0</v>
      </c>
      <c r="BE50" s="22">
        <f>IF($L50&lt;&gt;0,VLOOKUP($N50,'Allocation Factors'!$B$12:$AU$603,46,FALSE)*$L50,0)+IF($H50&lt;&gt;0,(VLOOKUP($J50,'Allocation Factors'!$B$12:$AU$603,46,FALSE)*$H50),0)</f>
        <v>0</v>
      </c>
      <c r="BF50" s="100"/>
    </row>
    <row r="51" spans="1:58" x14ac:dyDescent="0.25">
      <c r="A51" s="2">
        <f t="shared" si="14"/>
        <v>33</v>
      </c>
      <c r="B51" s="73" t="s">
        <v>282</v>
      </c>
      <c r="D51" s="23">
        <f ca="1">SUM('Distribution Class'!AH116:AH120,'Distribution Class'!AH122)</f>
        <v>29306.334396746555</v>
      </c>
      <c r="F51" s="22">
        <f t="shared" ref="F51" ca="1" si="16">D51</f>
        <v>29306.334396746555</v>
      </c>
      <c r="L51" s="22">
        <f t="shared" ca="1" si="13"/>
        <v>29306.334396746555</v>
      </c>
      <c r="N51" s="28" t="str">
        <f>'Total ALLOCATION'!N51</f>
        <v>DISTCOMM</v>
      </c>
      <c r="P51" s="22">
        <f ca="1">IF($L51&lt;&gt;0,VLOOKUP($N51,'Allocation Factors'!$B$12:$AU$603,5,FALSE)*$L51,0)+IF($H51&lt;&gt;0,(VLOOKUP($J51,'Allocation Factors'!$B$12:$AU$603,5,FALSE)*$H51),0)</f>
        <v>5346.4519355872599</v>
      </c>
      <c r="Q51" s="22">
        <f ca="1">IF($L51&lt;&gt;0,VLOOKUP($N51,'Allocation Factors'!$B$12:$AU$603,6,FALSE)*$L51,0)+IF($H51&lt;&gt;0,(VLOOKUP($J51,'Allocation Factors'!$B$12:$AU$603,6,FALSE)*$H51),0)</f>
        <v>5126.9359965926078</v>
      </c>
      <c r="R51" s="22">
        <f ca="1">IF($L51&lt;&gt;0,VLOOKUP($N51,'Allocation Factors'!$B$12:$AU$603,7,FALSE)*$L51,0)+IF($H51&lt;&gt;0,(VLOOKUP($J51,'Allocation Factors'!$B$12:$AU$603,7,FALSE)*$H51),0)</f>
        <v>0</v>
      </c>
      <c r="S51" s="22">
        <f ca="1">IF($L51&lt;&gt;0,VLOOKUP($N51,'Allocation Factors'!$B$12:$AU$603,8,FALSE)*$L51,0)+IF($H51&lt;&gt;0,(VLOOKUP($J51,'Allocation Factors'!$B$12:$AU$603,8,FALSE)*$H51),0)</f>
        <v>29.323703945826374</v>
      </c>
      <c r="T51" s="22">
        <f ca="1">IF($L51&lt;&gt;0,VLOOKUP($N51,'Allocation Factors'!$B$12:$AU$603,9,FALSE)*$L51,0)+IF($H51&lt;&gt;0,(VLOOKUP($J51,'Allocation Factors'!$B$12:$AU$603,9,FALSE)*$H51),0)</f>
        <v>1142.0682488373852</v>
      </c>
      <c r="U51" s="22">
        <f ca="1">IF($L51&lt;&gt;0,VLOOKUP($N51,'Allocation Factors'!$B$12:$AU$603,10,FALSE)*$L51,0)+IF($H51&lt;&gt;0,(VLOOKUP($J51,'Allocation Factors'!$B$12:$AU$603,10,FALSE)*$H51),0)</f>
        <v>408.24924218177284</v>
      </c>
      <c r="V51" s="22">
        <f ca="1">IF($L51&lt;&gt;0,VLOOKUP($N51,'Allocation Factors'!$B$12:$AU$603,11,FALSE)*$L51,0)+IF($H51&lt;&gt;0,(VLOOKUP($J51,'Allocation Factors'!$B$12:$AU$603,11,FALSE)*$H51),0)</f>
        <v>336.75731946411122</v>
      </c>
      <c r="W51" s="22">
        <f ca="1">IF($L51&lt;&gt;0,VLOOKUP($N51,'Allocation Factors'!$B$12:$AU$603,12,FALSE)*$L51,0)+IF($H51&lt;&gt;0,(VLOOKUP($J51,'Allocation Factors'!$B$12:$AU$603,12,FALSE)*$H51),0)</f>
        <v>56.28283571208334</v>
      </c>
      <c r="X51" s="22">
        <f ca="1">IF($L51&lt;&gt;0,VLOOKUP($N51,'Allocation Factors'!$B$12:$AU$603,13,FALSE)*$L51,0)+IF($H51&lt;&gt;0,(VLOOKUP($J51,'Allocation Factors'!$B$12:$AU$603,13,FALSE)*$H51),0)</f>
        <v>16.799016750812658</v>
      </c>
      <c r="Y51" s="22">
        <f ca="1">IF($L51&lt;&gt;0,VLOOKUP($N51,'Allocation Factors'!$B$12:$AU$603,14,FALSE)*$L51,0)+IF($H51&lt;&gt;0,(VLOOKUP($J51,'Allocation Factors'!$B$12:$AU$603,14,FALSE)*$H51),0)</f>
        <v>345.58115128812392</v>
      </c>
      <c r="Z51" s="22">
        <f ca="1">IF($L51&lt;&gt;0,VLOOKUP($N51,'Allocation Factors'!$B$12:$AU$603,15,FALSE)*$L51,0)+IF($H51&lt;&gt;0,(VLOOKUP($J51,'Allocation Factors'!$B$12:$AU$603,15,FALSE)*$H51),0)</f>
        <v>201.89627609894694</v>
      </c>
      <c r="AA51" s="22">
        <f ca="1">IF($L51&lt;&gt;0,VLOOKUP($N51,'Allocation Factors'!$B$12:$AU$603,16,FALSE)*$L51,0)+IF($H51&lt;&gt;0,(VLOOKUP($J51,'Allocation Factors'!$B$12:$AU$603,16,FALSE)*$H51),0)</f>
        <v>0</v>
      </c>
      <c r="AB51" s="22">
        <f ca="1">IF($L51&lt;&gt;0,VLOOKUP($N51,'Allocation Factors'!$B$12:$AU$603,17,FALSE)*$L51,0)+IF($H51&lt;&gt;0,(VLOOKUP($J51,'Allocation Factors'!$B$12:$AU$603,17,FALSE)*$H51),0)</f>
        <v>0</v>
      </c>
      <c r="AC51" s="22">
        <f ca="1">IF($L51&lt;&gt;0,VLOOKUP($N51,'Allocation Factors'!$B$12:$AU$603,18,FALSE)*$L51,0)+IF($H51&lt;&gt;0,(VLOOKUP($J51,'Allocation Factors'!$B$12:$AU$603,18,FALSE)*$H51),0)</f>
        <v>1057.3160155806563</v>
      </c>
      <c r="AD51" s="22">
        <f ca="1">IF($L51&lt;&gt;0,VLOOKUP($N51,'Allocation Factors'!$B$12:$AU$603,19,FALSE)*$L51,0)+IF($H51&lt;&gt;0,(VLOOKUP($J51,'Allocation Factors'!$B$12:$AU$603,19,FALSE)*$H51),0)</f>
        <v>350.62760221461508</v>
      </c>
      <c r="AE51" s="22">
        <f ca="1">IF($L51&lt;&gt;0,VLOOKUP($N51,'Allocation Factors'!$B$12:$AU$603,20,FALSE)*$L51,0)+IF($H51&lt;&gt;0,(VLOOKUP($J51,'Allocation Factors'!$B$12:$AU$603,20,FALSE)*$H51),0)</f>
        <v>993.27491341193422</v>
      </c>
      <c r="AF51" s="22">
        <f ca="1">IF($L51&lt;&gt;0,VLOOKUP($N51,'Allocation Factors'!$B$12:$AU$603,21,FALSE)*$L51,0)+IF($H51&lt;&gt;0,(VLOOKUP($J51,'Allocation Factors'!$B$12:$AU$603,21,FALSE)*$H51),0)</f>
        <v>135.59106526573521</v>
      </c>
      <c r="AG51" s="22">
        <f ca="1">IF($L51&lt;&gt;0,VLOOKUP($N51,'Allocation Factors'!$B$12:$AU$603,22,FALSE)*$L51,0)+IF($H51&lt;&gt;0,(VLOOKUP($J51,'Allocation Factors'!$B$12:$AU$603,22,FALSE)*$H51),0)</f>
        <v>1150.7243150119407</v>
      </c>
      <c r="AH51" s="22">
        <f ca="1">IF($L51&lt;&gt;0,VLOOKUP($N51,'Allocation Factors'!$B$12:$AU$603,23,FALSE)*$L51,0)+IF($H51&lt;&gt;0,(VLOOKUP($J51,'Allocation Factors'!$B$12:$AU$603,23,FALSE)*$H51),0)</f>
        <v>3479.9668855483956</v>
      </c>
      <c r="AI51" s="22">
        <f ca="1">IF($L51&lt;&gt;0,VLOOKUP($N51,'Allocation Factors'!$B$12:$AU$603,24,FALSE)*$L51,0)+IF($H51&lt;&gt;0,(VLOOKUP($J51,'Allocation Factors'!$B$12:$AU$603,24,FALSE)*$H51),0)</f>
        <v>1410.5068558585053</v>
      </c>
      <c r="AJ51" s="22">
        <f ca="1">IF($L51&lt;&gt;0,VLOOKUP($N51,'Allocation Factors'!$B$12:$AU$603,25,FALSE)*$L51,0)+IF($H51&lt;&gt;0,(VLOOKUP($J51,'Allocation Factors'!$B$12:$AU$603,25,FALSE)*$H51),0)</f>
        <v>634.66607979757362</v>
      </c>
      <c r="AK51" s="22">
        <f ca="1">IF($L51&lt;&gt;0,VLOOKUP($N51,'Allocation Factors'!$B$12:$AU$603,26,FALSE)*$L51,0)+IF($H51&lt;&gt;0,(VLOOKUP($J51,'Allocation Factors'!$B$12:$AU$603,26,FALSE)*$H51),0)</f>
        <v>0.25444916943815277</v>
      </c>
      <c r="AL51" s="22">
        <f ca="1">IF($L51&lt;&gt;0,VLOOKUP($N51,'Allocation Factors'!$B$12:$AU$603,27,FALSE)*$L51,0)+IF($H51&lt;&gt;0,(VLOOKUP($J51,'Allocation Factors'!$B$12:$AU$603,27,FALSE)*$H51),0)</f>
        <v>4.7101953348030854</v>
      </c>
      <c r="AM51" s="22">
        <f ca="1">IF($L51&lt;&gt;0,VLOOKUP($N51,'Allocation Factors'!$B$12:$AU$603,28,FALSE)*$L51,0)+IF($H51&lt;&gt;0,(VLOOKUP($J51,'Allocation Factors'!$B$12:$AU$603,28,FALSE)*$H51),0)</f>
        <v>58.891931283424242</v>
      </c>
      <c r="AN51" s="22">
        <f ca="1">IF($L51&lt;&gt;0,VLOOKUP($N51,'Allocation Factors'!$B$12:$AU$603,29,FALSE)*$L51,0)+IF($H51&lt;&gt;0,(VLOOKUP($J51,'Allocation Factors'!$B$12:$AU$603,29,FALSE)*$H51),0)</f>
        <v>763.03611687125328</v>
      </c>
      <c r="AO51" s="22">
        <f ca="1">IF($L51&lt;&gt;0,VLOOKUP($N51,'Allocation Factors'!$B$12:$AU$603,30,FALSE)*$L51,0)+IF($H51&lt;&gt;0,(VLOOKUP($J51,'Allocation Factors'!$B$12:$AU$603,30,FALSE)*$H51),0)</f>
        <v>81.248341055182308</v>
      </c>
      <c r="AP51" s="22">
        <f ca="1">IF($L51&lt;&gt;0,VLOOKUP($N51,'Allocation Factors'!$B$12:$AU$603,31,FALSE)*$L51,0)+IF($H51&lt;&gt;0,(VLOOKUP($J51,'Allocation Factors'!$B$12:$AU$603,31,FALSE)*$H51),0)</f>
        <v>96.294874372563555</v>
      </c>
      <c r="AQ51" s="22">
        <f ca="1">IF($L51&lt;&gt;0,VLOOKUP($N51,'Allocation Factors'!$B$12:$AU$603,32,FALSE)*$L51,0)+IF($H51&lt;&gt;0,(VLOOKUP($J51,'Allocation Factors'!$B$12:$AU$603,32,FALSE)*$H51),0)</f>
        <v>0</v>
      </c>
      <c r="AR51" s="22">
        <f ca="1">IF($L51&lt;&gt;0,VLOOKUP($N51,'Allocation Factors'!$B$12:$AU$603,33,FALSE)*$L51,0)+IF($H51&lt;&gt;0,(VLOOKUP($J51,'Allocation Factors'!$B$12:$AU$603,33,FALSE)*$H51),0)</f>
        <v>420.95091563779329</v>
      </c>
      <c r="AS51" s="22">
        <f ca="1">IF($L51&lt;&gt;0,VLOOKUP($N51,'Allocation Factors'!$B$12:$AU$603,34,FALSE)*$L51,0)+IF($H51&lt;&gt;0,(VLOOKUP($J51,'Allocation Factors'!$B$12:$AU$603,34,FALSE)*$H51),0)</f>
        <v>40.128110110046343</v>
      </c>
      <c r="AT51" s="22">
        <f ca="1">IF($L51&lt;&gt;0,VLOOKUP($N51,'Allocation Factors'!$B$12:$AU$603,35,FALSE)*$L51,0)+IF($H51&lt;&gt;0,(VLOOKUP($J51,'Allocation Factors'!$B$12:$AU$603,35,FALSE)*$H51),0)</f>
        <v>5306.7406158694876</v>
      </c>
      <c r="AU51" s="22">
        <f ca="1">IF($L51&lt;&gt;0,VLOOKUP($N51,'Allocation Factors'!$B$12:$AU$603,36,FALSE)*$L51,0)+IF($H51&lt;&gt;0,(VLOOKUP($J51,'Allocation Factors'!$B$12:$AU$603,36,FALSE)*$H51),0)</f>
        <v>44.646775200486104</v>
      </c>
      <c r="AV51" s="22">
        <f ca="1">IF($L51&lt;&gt;0,VLOOKUP($N51,'Allocation Factors'!$B$12:$AU$603,37,FALSE)*$L51,0)+IF($H51&lt;&gt;0,(VLOOKUP($J51,'Allocation Factors'!$B$12:$AU$603,37,FALSE)*$H51),0)</f>
        <v>266.41261269378981</v>
      </c>
      <c r="AW51" s="22">
        <f ca="1">IF($L51&lt;&gt;0,VLOOKUP($N51,'Allocation Factors'!$B$12:$AU$603,38,FALSE)*$L51,0)+IF($H51&lt;&gt;0,(VLOOKUP($J51,'Allocation Factors'!$B$12:$AU$603,38,FALSE)*$H51),0)</f>
        <v>0</v>
      </c>
      <c r="AX51" s="22">
        <f ca="1">IF($L51&lt;&gt;0,VLOOKUP($N51,'Allocation Factors'!$B$12:$AU$603,39,FALSE)*$L51,0)+IF($H51&lt;&gt;0,(VLOOKUP($J51,'Allocation Factors'!$B$12:$AU$603,39,FALSE)*$H51),0)</f>
        <v>0</v>
      </c>
      <c r="AY51" s="22">
        <f ca="1">IF($L51&lt;&gt;0,VLOOKUP($N51,'Allocation Factors'!$B$12:$AU$603,40,FALSE)*$L51,0)+IF($H51&lt;&gt;0,(VLOOKUP($J51,'Allocation Factors'!$B$12:$AU$603,40,FALSE)*$H51),0)</f>
        <v>0</v>
      </c>
      <c r="AZ51" s="22">
        <f ca="1">IF($L51&lt;&gt;0,VLOOKUP($N51,'Allocation Factors'!$B$12:$AU$603,41,FALSE)*$L51,0)+IF($H51&lt;&gt;0,(VLOOKUP($J51,'Allocation Factors'!$B$12:$AU$603,41,FALSE)*$H51),0)</f>
        <v>0</v>
      </c>
      <c r="BA51" s="22">
        <f ca="1">IF($L51&lt;&gt;0,VLOOKUP($N51,'Allocation Factors'!$B$12:$AU$603,42,FALSE)*$L51,0)+IF($H51&lt;&gt;0,(VLOOKUP($J51,'Allocation Factors'!$B$12:$AU$603,42,FALSE)*$H51),0)</f>
        <v>0</v>
      </c>
      <c r="BB51" s="22">
        <f ca="1">IF($L51&lt;&gt;0,VLOOKUP($N51,'Allocation Factors'!$B$12:$AU$603,43,FALSE)*$L51,0)+IF($H51&lt;&gt;0,(VLOOKUP($J51,'Allocation Factors'!$B$12:$AU$603,43,FALSE)*$H51),0)</f>
        <v>0</v>
      </c>
      <c r="BC51" s="22">
        <f ca="1">IF($L51&lt;&gt;0,VLOOKUP($N51,'Allocation Factors'!$B$12:$AU$603,44,FALSE)*$L51,0)+IF($H51&lt;&gt;0,(VLOOKUP($J51,'Allocation Factors'!$B$12:$AU$603,44,FALSE)*$H51),0)</f>
        <v>0</v>
      </c>
      <c r="BD51" s="22">
        <f ca="1">IF($L51&lt;&gt;0,VLOOKUP($N51,'Allocation Factors'!$B$12:$AU$603,45,FALSE)*$L51,0)+IF($H51&lt;&gt;0,(VLOOKUP($J51,'Allocation Factors'!$B$12:$AU$603,45,FALSE)*$H51),0)</f>
        <v>0</v>
      </c>
      <c r="BE51" s="22">
        <f ca="1">IF($L51&lt;&gt;0,VLOOKUP($N51,'Allocation Factors'!$B$12:$AU$603,46,FALSE)*$L51,0)+IF($H51&lt;&gt;0,(VLOOKUP($J51,'Allocation Factors'!$B$12:$AU$603,46,FALSE)*$H51),0)</f>
        <v>0</v>
      </c>
      <c r="BF51" s="9"/>
    </row>
    <row r="52" spans="1:58" s="73" customFormat="1" x14ac:dyDescent="0.25">
      <c r="A52" s="2">
        <f t="shared" si="14"/>
        <v>34</v>
      </c>
      <c r="B52" s="73" t="s">
        <v>460</v>
      </c>
      <c r="D52" s="79">
        <f ca="1">SUM(D37:D51)</f>
        <v>40243.944846072838</v>
      </c>
      <c r="E52" s="94"/>
      <c r="F52" s="79">
        <f ca="1">SUM(F37:F51)</f>
        <v>40243.944846072838</v>
      </c>
      <c r="G52" s="94"/>
      <c r="H52" s="79">
        <f>SUM(H37:H51)</f>
        <v>0</v>
      </c>
      <c r="I52" s="94"/>
      <c r="J52" s="91"/>
      <c r="K52" s="94"/>
      <c r="L52" s="79">
        <f ca="1">SUM(L37:L51)</f>
        <v>40243.944846072838</v>
      </c>
      <c r="M52" s="94"/>
      <c r="N52" s="91"/>
      <c r="O52" s="94"/>
      <c r="P52" s="79">
        <f t="shared" ref="P52:BE52" ca="1" si="17">SUM(P37:P51)</f>
        <v>7909.6620652658203</v>
      </c>
      <c r="Q52" s="79">
        <f t="shared" ca="1" si="17"/>
        <v>7414.3257777904591</v>
      </c>
      <c r="R52" s="79">
        <f t="shared" ca="1" si="17"/>
        <v>0</v>
      </c>
      <c r="S52" s="79">
        <f t="shared" ca="1" si="17"/>
        <v>37.391661796910938</v>
      </c>
      <c r="T52" s="79">
        <f t="shared" ca="1" si="17"/>
        <v>1404.5307308101296</v>
      </c>
      <c r="U52" s="79">
        <f t="shared" ca="1" si="17"/>
        <v>463.40823157396198</v>
      </c>
      <c r="V52" s="79">
        <f t="shared" ca="1" si="17"/>
        <v>786.84117074409471</v>
      </c>
      <c r="W52" s="79">
        <f t="shared" ca="1" si="17"/>
        <v>57.197384846713327</v>
      </c>
      <c r="X52" s="79">
        <f t="shared" ca="1" si="17"/>
        <v>16.799016750812658</v>
      </c>
      <c r="Y52" s="79">
        <f t="shared" ca="1" si="17"/>
        <v>345.58115128812392</v>
      </c>
      <c r="Z52" s="79">
        <f t="shared" ca="1" si="17"/>
        <v>262.75246017345586</v>
      </c>
      <c r="AA52" s="79">
        <f t="shared" ca="1" si="17"/>
        <v>0</v>
      </c>
      <c r="AB52" s="79">
        <f t="shared" ca="1" si="17"/>
        <v>0</v>
      </c>
      <c r="AC52" s="79">
        <f t="shared" ca="1" si="17"/>
        <v>1529.1631439737434</v>
      </c>
      <c r="AD52" s="79">
        <f t="shared" ca="1" si="17"/>
        <v>491.39975584504248</v>
      </c>
      <c r="AE52" s="79">
        <f t="shared" ca="1" si="17"/>
        <v>1363.1229166468281</v>
      </c>
      <c r="AF52" s="79">
        <f t="shared" ca="1" si="17"/>
        <v>135.59106526573521</v>
      </c>
      <c r="AG52" s="79">
        <f t="shared" ca="1" si="17"/>
        <v>1315.8827465936092</v>
      </c>
      <c r="AH52" s="79">
        <f t="shared" ca="1" si="17"/>
        <v>4989.7357755018384</v>
      </c>
      <c r="AI52" s="79">
        <f t="shared" ca="1" si="17"/>
        <v>1969.9203011465047</v>
      </c>
      <c r="AJ52" s="79">
        <f t="shared" ca="1" si="17"/>
        <v>833.79903108523661</v>
      </c>
      <c r="AK52" s="79">
        <f t="shared" ca="1" si="17"/>
        <v>0.25444916943815277</v>
      </c>
      <c r="AL52" s="79">
        <f t="shared" ca="1" si="17"/>
        <v>6.4595250825945758</v>
      </c>
      <c r="AM52" s="79">
        <f t="shared" ca="1" si="17"/>
        <v>58.891931283424242</v>
      </c>
      <c r="AN52" s="79">
        <f t="shared" ca="1" si="17"/>
        <v>1057.5888551050771</v>
      </c>
      <c r="AO52" s="79">
        <f t="shared" ca="1" si="17"/>
        <v>81.248341055182308</v>
      </c>
      <c r="AP52" s="79">
        <f t="shared" ca="1" si="17"/>
        <v>120.34123683794446</v>
      </c>
      <c r="AQ52" s="79">
        <f t="shared" ca="1" si="17"/>
        <v>0</v>
      </c>
      <c r="AR52" s="79">
        <f t="shared" ca="1" si="17"/>
        <v>521.87795042817106</v>
      </c>
      <c r="AS52" s="79">
        <f t="shared" ca="1" si="17"/>
        <v>40.128110110046343</v>
      </c>
      <c r="AT52" s="79">
        <f t="shared" ca="1" si="17"/>
        <v>6581.5362676199857</v>
      </c>
      <c r="AU52" s="79">
        <f t="shared" ca="1" si="17"/>
        <v>44.646775200486104</v>
      </c>
      <c r="AV52" s="79">
        <f t="shared" ca="1" si="17"/>
        <v>392.8442178927545</v>
      </c>
      <c r="AW52" s="79">
        <f t="shared" ca="1" si="17"/>
        <v>0</v>
      </c>
      <c r="AX52" s="79">
        <f t="shared" ca="1" si="17"/>
        <v>0</v>
      </c>
      <c r="AY52" s="79">
        <f t="shared" ca="1" si="17"/>
        <v>0</v>
      </c>
      <c r="AZ52" s="79">
        <f t="shared" ca="1" si="17"/>
        <v>0</v>
      </c>
      <c r="BA52" s="79">
        <f t="shared" ca="1" si="17"/>
        <v>0</v>
      </c>
      <c r="BB52" s="79">
        <f t="shared" ca="1" si="17"/>
        <v>0</v>
      </c>
      <c r="BC52" s="79">
        <f t="shared" ca="1" si="17"/>
        <v>0</v>
      </c>
      <c r="BD52" s="79">
        <f t="shared" ca="1" si="17"/>
        <v>0</v>
      </c>
      <c r="BE52" s="79">
        <f t="shared" ca="1" si="17"/>
        <v>11.022799188711433</v>
      </c>
    </row>
    <row r="53" spans="1:58" s="73" customFormat="1" x14ac:dyDescent="0.25">
      <c r="A53" s="2"/>
      <c r="D53" s="113"/>
      <c r="E53" s="94"/>
      <c r="F53" s="113"/>
      <c r="G53" s="94"/>
      <c r="H53" s="94"/>
      <c r="I53" s="94"/>
      <c r="J53" s="91"/>
      <c r="K53" s="94"/>
      <c r="L53" s="94"/>
      <c r="M53" s="94"/>
      <c r="N53" s="91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</row>
    <row r="54" spans="1:58" s="73" customFormat="1" ht="13" thickBot="1" x14ac:dyDescent="0.3">
      <c r="A54" s="2">
        <f>A52+1</f>
        <v>35</v>
      </c>
      <c r="B54" s="73" t="s">
        <v>173</v>
      </c>
      <c r="D54" s="207">
        <f ca="1">D17+D24+D34+D52</f>
        <v>3234276.0793395797</v>
      </c>
      <c r="E54" s="94"/>
      <c r="F54" s="207">
        <f ca="1">F17+F24+F34+F52</f>
        <v>3234276.0793395797</v>
      </c>
      <c r="G54" s="94"/>
      <c r="H54" s="207">
        <f ca="1">H17+H24+H34+H52</f>
        <v>26965.613624531987</v>
      </c>
      <c r="I54" s="94"/>
      <c r="J54" s="91"/>
      <c r="K54" s="94"/>
      <c r="L54" s="207">
        <f ca="1">L17+L24+L34+L52</f>
        <v>3207310.4657150479</v>
      </c>
      <c r="M54" s="94"/>
      <c r="N54" s="91"/>
      <c r="O54" s="94"/>
      <c r="P54" s="207">
        <f t="shared" ref="P54:BE54" ca="1" si="18">P17+P24+P34+P52</f>
        <v>1148675.6183334216</v>
      </c>
      <c r="Q54" s="207">
        <f t="shared" ca="1" si="18"/>
        <v>736669.24292489188</v>
      </c>
      <c r="R54" s="207">
        <f t="shared" ca="1" si="18"/>
        <v>0</v>
      </c>
      <c r="S54" s="207">
        <f t="shared" ca="1" si="18"/>
        <v>3551.3736639741455</v>
      </c>
      <c r="T54" s="207">
        <f t="shared" ca="1" si="18"/>
        <v>38584.644669374997</v>
      </c>
      <c r="U54" s="207">
        <f t="shared" ca="1" si="18"/>
        <v>5093.589533014172</v>
      </c>
      <c r="V54" s="207">
        <f t="shared" ca="1" si="18"/>
        <v>786.84117074409471</v>
      </c>
      <c r="W54" s="207">
        <f t="shared" ca="1" si="18"/>
        <v>1536.5839162964296</v>
      </c>
      <c r="X54" s="207">
        <f t="shared" ca="1" si="18"/>
        <v>307.03210605145824</v>
      </c>
      <c r="Y54" s="207">
        <f t="shared" ca="1" si="18"/>
        <v>4953.3515862435661</v>
      </c>
      <c r="Z54" s="207">
        <f t="shared" ca="1" si="18"/>
        <v>32677.731546706433</v>
      </c>
      <c r="AA54" s="207">
        <f t="shared" ca="1" si="18"/>
        <v>0</v>
      </c>
      <c r="AB54" s="207">
        <f t="shared" ca="1" si="18"/>
        <v>2194.8014373308438</v>
      </c>
      <c r="AC54" s="207">
        <f t="shared" ca="1" si="18"/>
        <v>217609.60573805412</v>
      </c>
      <c r="AD54" s="207">
        <f t="shared" ca="1" si="18"/>
        <v>42169.112689751157</v>
      </c>
      <c r="AE54" s="207">
        <f t="shared" ca="1" si="18"/>
        <v>7088.6744262155371</v>
      </c>
      <c r="AF54" s="207">
        <f t="shared" ca="1" si="18"/>
        <v>1380.4109261985022</v>
      </c>
      <c r="AG54" s="207">
        <f t="shared" ca="1" si="18"/>
        <v>1315.8827465936092</v>
      </c>
      <c r="AH54" s="207">
        <f t="shared" ca="1" si="18"/>
        <v>715615.42842551472</v>
      </c>
      <c r="AI54" s="207">
        <f t="shared" ca="1" si="18"/>
        <v>172492.11973224705</v>
      </c>
      <c r="AJ54" s="207">
        <f t="shared" ca="1" si="18"/>
        <v>23750.774836237193</v>
      </c>
      <c r="AK54" s="207">
        <f t="shared" ca="1" si="18"/>
        <v>2.6649127394733059</v>
      </c>
      <c r="AL54" s="207">
        <f t="shared" ca="1" si="18"/>
        <v>157.37864805384257</v>
      </c>
      <c r="AM54" s="207">
        <f t="shared" ca="1" si="18"/>
        <v>1039.3009292397282</v>
      </c>
      <c r="AN54" s="207">
        <f t="shared" ca="1" si="18"/>
        <v>22648.862508673919</v>
      </c>
      <c r="AO54" s="207">
        <f t="shared" ca="1" si="18"/>
        <v>1357.9100967502404</v>
      </c>
      <c r="AP54" s="207">
        <f t="shared" ca="1" si="18"/>
        <v>4792.9041578138404</v>
      </c>
      <c r="AQ54" s="207">
        <f t="shared" ca="1" si="18"/>
        <v>0</v>
      </c>
      <c r="AR54" s="207">
        <f t="shared" ca="1" si="18"/>
        <v>1214.5061976867769</v>
      </c>
      <c r="AS54" s="207">
        <f t="shared" ca="1" si="18"/>
        <v>67.189411000524871</v>
      </c>
      <c r="AT54" s="207">
        <f t="shared" ca="1" si="18"/>
        <v>13470.419327458909</v>
      </c>
      <c r="AU54" s="207">
        <f t="shared" ca="1" si="18"/>
        <v>74.755340347874593</v>
      </c>
      <c r="AV54" s="207">
        <f t="shared" ca="1" si="18"/>
        <v>1301.3471065488243</v>
      </c>
      <c r="AW54" s="207">
        <f t="shared" ca="1" si="18"/>
        <v>0</v>
      </c>
      <c r="AX54" s="207">
        <f t="shared" ca="1" si="18"/>
        <v>0</v>
      </c>
      <c r="AY54" s="207">
        <f t="shared" ca="1" si="18"/>
        <v>0</v>
      </c>
      <c r="AZ54" s="207">
        <f t="shared" ca="1" si="18"/>
        <v>7629.4715431181521</v>
      </c>
      <c r="BA54" s="207">
        <f t="shared" ca="1" si="18"/>
        <v>3069.6510531900212</v>
      </c>
      <c r="BB54" s="207">
        <f t="shared" ca="1" si="18"/>
        <v>20353.8170066282</v>
      </c>
      <c r="BC54" s="207">
        <f t="shared" ca="1" si="18"/>
        <v>123.06885540871056</v>
      </c>
      <c r="BD54" s="207">
        <f t="shared" ca="1" si="18"/>
        <v>450.01002433162569</v>
      </c>
      <c r="BE54" s="207">
        <f t="shared" ca="1" si="18"/>
        <v>70.001811728301888</v>
      </c>
    </row>
    <row r="55" spans="1:58" ht="13.5" thickTop="1" x14ac:dyDescent="0.3">
      <c r="B55" s="27"/>
      <c r="D55" s="208"/>
      <c r="E55" s="209"/>
      <c r="F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77"/>
    </row>
    <row r="56" spans="1:58" x14ac:dyDescent="0.25">
      <c r="D56" s="23"/>
      <c r="F56" s="210"/>
    </row>
    <row r="58" spans="1:58" x14ac:dyDescent="0.25">
      <c r="F58" s="23"/>
    </row>
  </sheetData>
  <mergeCells count="2">
    <mergeCell ref="B2:N2"/>
    <mergeCell ref="B3:N3"/>
  </mergeCells>
  <pageMargins left="0.7" right="0.7" top="0.75" bottom="0.75" header="0.3" footer="0.3"/>
  <pageSetup scale="55" fitToWidth="4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dimension ref="A3:AB239"/>
  <sheetViews>
    <sheetView tabSelected="1" view="pageLayout" zoomScaleNormal="80" workbookViewId="0">
      <selection activeCell="B4" sqref="B4"/>
    </sheetView>
  </sheetViews>
  <sheetFormatPr defaultColWidth="9.1796875" defaultRowHeight="12.5" x14ac:dyDescent="0.25"/>
  <cols>
    <col min="1" max="1" width="6.453125" style="85" customWidth="1"/>
    <col min="2" max="2" width="30.7265625" style="1" customWidth="1"/>
    <col min="3" max="3" width="8.26953125" style="1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9.1796875" style="1"/>
    <col min="14" max="14" width="9.1796875" style="1" customWidth="1"/>
    <col min="15" max="15" width="9.1796875" style="19" customWidth="1"/>
    <col min="16" max="16" width="9.1796875" style="84" customWidth="1"/>
    <col min="17" max="17" width="9.1796875" style="181" customWidth="1"/>
    <col min="18" max="28" width="9.1796875" style="84" customWidth="1"/>
    <col min="29" max="16384" width="9.1796875" style="1"/>
  </cols>
  <sheetData>
    <row r="3" spans="1:28" ht="13" x14ac:dyDescent="0.3">
      <c r="B3" s="115"/>
    </row>
    <row r="6" spans="1:28" x14ac:dyDescent="0.25">
      <c r="B6" s="263" t="s">
        <v>412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</row>
    <row r="7" spans="1:28" x14ac:dyDescent="0.25">
      <c r="B7" s="263" t="s">
        <v>413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</row>
    <row r="8" spans="1:28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28" x14ac:dyDescent="0.25">
      <c r="A9" s="127" t="s">
        <v>2</v>
      </c>
      <c r="B9" s="128" t="s">
        <v>414</v>
      </c>
      <c r="C9" s="85"/>
      <c r="D9" s="99"/>
      <c r="E9" s="99"/>
      <c r="F9" s="128"/>
      <c r="G9" s="99"/>
      <c r="H9" s="99"/>
      <c r="I9" s="99"/>
      <c r="J9" s="99"/>
      <c r="K9" s="99"/>
      <c r="L9" s="99"/>
      <c r="Q9" s="19"/>
      <c r="R9" s="181"/>
      <c r="V9" s="19"/>
    </row>
    <row r="10" spans="1:28" ht="15" customHeight="1" x14ac:dyDescent="0.25">
      <c r="A10" s="126" t="s">
        <v>4</v>
      </c>
      <c r="B10" s="129" t="s">
        <v>6</v>
      </c>
      <c r="C10" s="87"/>
      <c r="D10" s="129" t="s">
        <v>11</v>
      </c>
      <c r="E10" s="99"/>
      <c r="F10" s="129" t="s">
        <v>7</v>
      </c>
      <c r="G10" s="99"/>
      <c r="H10" s="16" t="s">
        <v>8</v>
      </c>
      <c r="I10" s="99"/>
      <c r="J10" s="129" t="s">
        <v>9</v>
      </c>
      <c r="K10" s="99"/>
      <c r="L10" s="129" t="s">
        <v>10</v>
      </c>
      <c r="Q10" s="19"/>
      <c r="R10" s="181"/>
      <c r="T10" s="19"/>
      <c r="V10" s="19"/>
      <c r="X10" s="152"/>
      <c r="Z10" s="19"/>
      <c r="AB10" s="19"/>
    </row>
    <row r="11" spans="1:28" x14ac:dyDescent="0.25">
      <c r="A11" s="127"/>
      <c r="B11" s="99"/>
      <c r="C11" s="85"/>
      <c r="D11" s="128" t="s">
        <v>12</v>
      </c>
      <c r="E11" s="128"/>
      <c r="F11" s="130" t="s">
        <v>13</v>
      </c>
      <c r="G11" s="128"/>
      <c r="H11" s="130" t="s">
        <v>14</v>
      </c>
      <c r="I11" s="128"/>
      <c r="J11" s="130" t="s">
        <v>415</v>
      </c>
      <c r="K11" s="128"/>
      <c r="L11" s="130" t="s">
        <v>15</v>
      </c>
      <c r="Q11" s="84"/>
      <c r="R11" s="181"/>
      <c r="T11" s="19"/>
      <c r="U11" s="19"/>
      <c r="V11" s="154"/>
      <c r="W11" s="19"/>
      <c r="X11" s="154"/>
      <c r="Y11" s="19"/>
      <c r="Z11" s="154"/>
      <c r="AA11" s="19"/>
      <c r="AB11" s="154"/>
    </row>
    <row r="12" spans="1:28" x14ac:dyDescent="0.25">
      <c r="B12" s="99"/>
      <c r="C12" s="85"/>
      <c r="D12" s="99"/>
      <c r="E12" s="99"/>
      <c r="F12" s="99"/>
      <c r="G12" s="99"/>
      <c r="H12" s="99"/>
      <c r="I12" s="99"/>
      <c r="J12" s="99"/>
      <c r="K12" s="99"/>
      <c r="L12" s="99"/>
      <c r="Q12" s="84"/>
      <c r="R12" s="181"/>
    </row>
    <row r="13" spans="1:28" ht="15" customHeight="1" x14ac:dyDescent="0.35">
      <c r="A13" s="127">
        <v>1</v>
      </c>
      <c r="B13" s="2"/>
      <c r="C13" s="131" t="s">
        <v>416</v>
      </c>
      <c r="D13" s="22">
        <f>SUM(F13:L13)</f>
        <v>5865.9645385754357</v>
      </c>
      <c r="E13" s="82"/>
      <c r="F13" s="22">
        <v>4758.6044086021757</v>
      </c>
      <c r="G13" s="66"/>
      <c r="H13" s="22">
        <v>0</v>
      </c>
      <c r="I13" s="92"/>
      <c r="J13" s="22">
        <v>0</v>
      </c>
      <c r="K13" s="92"/>
      <c r="L13" s="22">
        <v>1107.36012997326</v>
      </c>
      <c r="Q13" s="56"/>
      <c r="R13" s="155"/>
      <c r="S13" s="51"/>
      <c r="T13" s="30"/>
      <c r="U13" s="82"/>
      <c r="V13" s="30"/>
      <c r="W13" s="66"/>
      <c r="X13" s="30"/>
      <c r="Y13" s="182"/>
      <c r="Z13" s="30"/>
      <c r="AA13" s="182"/>
      <c r="AB13" s="30"/>
    </row>
    <row r="14" spans="1:28" x14ac:dyDescent="0.25">
      <c r="A14" s="127">
        <f>A13+1</f>
        <v>2</v>
      </c>
      <c r="B14" s="2" t="s">
        <v>179</v>
      </c>
      <c r="C14" s="131"/>
      <c r="D14" s="18">
        <f>SUM(F14:L14)</f>
        <v>1</v>
      </c>
      <c r="E14" s="99"/>
      <c r="F14" s="18">
        <f>IFERROR(F13/$D13,0)</f>
        <v>0.81122283936578565</v>
      </c>
      <c r="G14" s="99"/>
      <c r="H14" s="34">
        <f>IFERROR(H13/$D13,0)</f>
        <v>0</v>
      </c>
      <c r="I14" s="99"/>
      <c r="J14" s="34">
        <f>IFERROR(J13/$D13,0)</f>
        <v>0</v>
      </c>
      <c r="K14" s="99"/>
      <c r="L14" s="34">
        <f>IFERROR(L13/$D13,0)</f>
        <v>0.18877716063421432</v>
      </c>
      <c r="Q14" s="56"/>
      <c r="R14" s="155"/>
      <c r="S14" s="175"/>
      <c r="T14" s="175"/>
      <c r="V14" s="175"/>
      <c r="X14" s="144"/>
      <c r="Z14" s="144"/>
      <c r="AB14" s="144"/>
    </row>
    <row r="15" spans="1:28" x14ac:dyDescent="0.25">
      <c r="A15" s="127"/>
      <c r="B15" s="73"/>
      <c r="C15" s="131"/>
      <c r="D15" s="99"/>
      <c r="E15" s="99"/>
      <c r="F15" s="99"/>
      <c r="G15" s="99"/>
      <c r="H15" s="99"/>
      <c r="I15" s="99"/>
      <c r="J15" s="99"/>
      <c r="K15" s="99"/>
      <c r="L15" s="99"/>
      <c r="Q15" s="156"/>
      <c r="R15" s="155"/>
    </row>
    <row r="16" spans="1:28" ht="15" customHeight="1" x14ac:dyDescent="0.35">
      <c r="A16" s="127">
        <f>A14+1</f>
        <v>3</v>
      </c>
      <c r="B16" s="2"/>
      <c r="C16" s="131" t="s">
        <v>416</v>
      </c>
      <c r="D16" s="22">
        <f>SUM(F16:L16)</f>
        <v>1708.3898809221498</v>
      </c>
      <c r="E16" s="82"/>
      <c r="F16" s="22">
        <v>1295.4715209674002</v>
      </c>
      <c r="G16" s="66"/>
      <c r="H16" s="22">
        <v>0</v>
      </c>
      <c r="I16" s="92"/>
      <c r="J16" s="22">
        <v>0</v>
      </c>
      <c r="K16" s="92"/>
      <c r="L16" s="22">
        <v>412.91835995474958</v>
      </c>
      <c r="Q16" s="56"/>
      <c r="R16" s="155"/>
      <c r="S16" s="51"/>
      <c r="T16" s="30"/>
      <c r="U16" s="82"/>
      <c r="V16" s="30"/>
      <c r="W16" s="66"/>
      <c r="X16" s="30"/>
      <c r="Y16" s="182"/>
      <c r="Z16" s="30"/>
      <c r="AA16" s="182"/>
      <c r="AB16" s="30"/>
    </row>
    <row r="17" spans="1:28" x14ac:dyDescent="0.25">
      <c r="A17" s="127">
        <f>A16+1</f>
        <v>4</v>
      </c>
      <c r="B17" s="2" t="s">
        <v>177</v>
      </c>
      <c r="C17" s="131"/>
      <c r="D17" s="18">
        <f>SUM(F17:L17)</f>
        <v>1</v>
      </c>
      <c r="E17" s="99"/>
      <c r="F17" s="34">
        <f>IFERROR(F16/$D16,0)</f>
        <v>0.75829969226236249</v>
      </c>
      <c r="G17" s="99"/>
      <c r="H17" s="34">
        <f>IFERROR(H16/$D16,0)</f>
        <v>0</v>
      </c>
      <c r="I17" s="99"/>
      <c r="J17" s="34">
        <f>IFERROR(J16/$D16,0)</f>
        <v>0</v>
      </c>
      <c r="K17" s="99"/>
      <c r="L17" s="34">
        <f>IFERROR(L16/$D16,0)</f>
        <v>0.24170030773763754</v>
      </c>
      <c r="Q17" s="56"/>
      <c r="R17" s="155"/>
      <c r="S17" s="175"/>
      <c r="T17" s="175"/>
      <c r="V17" s="144"/>
      <c r="X17" s="144"/>
      <c r="Z17" s="144"/>
      <c r="AB17" s="144"/>
    </row>
    <row r="18" spans="1:28" ht="14.5" x14ac:dyDescent="0.35">
      <c r="A18" s="127"/>
      <c r="B18" s="132"/>
      <c r="C18" s="133"/>
      <c r="D18" s="98"/>
      <c r="E18" s="98"/>
      <c r="F18" s="98"/>
      <c r="G18" s="98"/>
      <c r="H18" s="98"/>
      <c r="I18" s="98"/>
      <c r="J18" s="98"/>
      <c r="K18" s="98"/>
      <c r="L18" s="98"/>
      <c r="Q18" s="157"/>
      <c r="R18" s="18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5" customHeight="1" x14ac:dyDescent="0.35">
      <c r="A19" s="127">
        <f>A17+1</f>
        <v>5</v>
      </c>
      <c r="B19" s="2"/>
      <c r="C19" s="131" t="s">
        <v>416</v>
      </c>
      <c r="D19" s="22">
        <f>SUM(F19:L19)</f>
        <v>2531.2823068200137</v>
      </c>
      <c r="E19" s="82"/>
      <c r="F19" s="22">
        <v>2104.1517941099964</v>
      </c>
      <c r="G19" s="66"/>
      <c r="H19" s="22">
        <v>0</v>
      </c>
      <c r="I19" s="92"/>
      <c r="J19" s="22">
        <v>0</v>
      </c>
      <c r="K19" s="92"/>
      <c r="L19" s="22">
        <v>427.13051271001717</v>
      </c>
      <c r="Q19" s="56"/>
      <c r="R19" s="155"/>
      <c r="S19" s="51"/>
      <c r="T19" s="30"/>
      <c r="U19" s="82"/>
      <c r="V19" s="30"/>
      <c r="W19" s="66"/>
      <c r="X19" s="30"/>
      <c r="Y19" s="182"/>
      <c r="Z19" s="30"/>
      <c r="AA19" s="182"/>
      <c r="AB19" s="30"/>
    </row>
    <row r="20" spans="1:28" x14ac:dyDescent="0.25">
      <c r="A20" s="127">
        <f>A19+1</f>
        <v>6</v>
      </c>
      <c r="B20" s="2" t="s">
        <v>178</v>
      </c>
      <c r="C20" s="131"/>
      <c r="D20" s="18">
        <f>SUM(F20:L20)</f>
        <v>1</v>
      </c>
      <c r="E20" s="99"/>
      <c r="F20" s="18">
        <f>IFERROR(F19/$D19,0)</f>
        <v>0.83125923506864374</v>
      </c>
      <c r="G20" s="99"/>
      <c r="H20" s="34">
        <f>IFERROR(H19/$D19,0)</f>
        <v>0</v>
      </c>
      <c r="I20" s="99"/>
      <c r="J20" s="34">
        <f>IFERROR(J19/$D19,0)</f>
        <v>0</v>
      </c>
      <c r="K20" s="99"/>
      <c r="L20" s="34">
        <f>IFERROR(L19/$D19,0)</f>
        <v>0.16874076493135629</v>
      </c>
      <c r="Q20" s="56"/>
      <c r="R20" s="155"/>
      <c r="S20" s="175"/>
      <c r="T20" s="175"/>
      <c r="V20" s="175"/>
      <c r="X20" s="144"/>
      <c r="Z20" s="144"/>
      <c r="AB20" s="144"/>
    </row>
    <row r="21" spans="1:28" ht="14.5" x14ac:dyDescent="0.35">
      <c r="A21" s="127"/>
      <c r="B21" s="132"/>
      <c r="C21" s="133"/>
      <c r="D21" s="98"/>
      <c r="E21" s="98"/>
      <c r="F21" s="98"/>
      <c r="G21" s="98"/>
      <c r="H21" s="98"/>
      <c r="I21" s="98"/>
      <c r="J21" s="98"/>
      <c r="K21" s="98"/>
      <c r="L21" s="98"/>
      <c r="Q21" s="157"/>
      <c r="R21" s="18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5" customHeight="1" x14ac:dyDescent="0.35">
      <c r="A22" s="127">
        <f>A20+1</f>
        <v>7</v>
      </c>
      <c r="B22" s="2"/>
      <c r="C22" s="131" t="s">
        <v>416</v>
      </c>
      <c r="D22" s="22">
        <f>SUM(F22:L22)</f>
        <v>2940.7050695282501</v>
      </c>
      <c r="E22" s="82"/>
      <c r="F22" s="22">
        <v>2546.4739944630078</v>
      </c>
      <c r="G22" s="66"/>
      <c r="H22" s="22">
        <v>0</v>
      </c>
      <c r="I22" s="92"/>
      <c r="J22" s="22">
        <v>0</v>
      </c>
      <c r="K22" s="92"/>
      <c r="L22" s="22">
        <v>394.23107506524224</v>
      </c>
      <c r="Q22" s="56"/>
      <c r="R22" s="155"/>
      <c r="T22" s="30"/>
      <c r="U22" s="82"/>
      <c r="V22" s="30"/>
      <c r="W22" s="66"/>
      <c r="X22" s="30"/>
      <c r="Y22" s="182"/>
      <c r="Z22" s="30"/>
      <c r="AA22" s="182"/>
      <c r="AB22" s="30"/>
    </row>
    <row r="23" spans="1:28" x14ac:dyDescent="0.25">
      <c r="A23" s="127">
        <f>A22+1</f>
        <v>8</v>
      </c>
      <c r="B23" s="2" t="s">
        <v>397</v>
      </c>
      <c r="C23" s="131"/>
      <c r="D23" s="18">
        <f>SUM(F23:L23)</f>
        <v>1</v>
      </c>
      <c r="E23" s="99"/>
      <c r="F23" s="18">
        <f>IFERROR(F22/$D22,0)</f>
        <v>0.86593994782057992</v>
      </c>
      <c r="G23" s="99"/>
      <c r="H23" s="34">
        <f>IFERROR(H22/$D22,0)</f>
        <v>0</v>
      </c>
      <c r="I23" s="99"/>
      <c r="J23" s="34">
        <f>IFERROR(J22/$D22,0)</f>
        <v>0</v>
      </c>
      <c r="K23" s="99"/>
      <c r="L23" s="34">
        <f>IFERROR(L22/$D22,0)</f>
        <v>0.13406005217942005</v>
      </c>
      <c r="Q23" s="56"/>
      <c r="R23" s="155"/>
      <c r="T23" s="175"/>
      <c r="V23" s="175"/>
      <c r="X23" s="144"/>
      <c r="Z23" s="144"/>
      <c r="AB23" s="144"/>
    </row>
    <row r="24" spans="1:28" x14ac:dyDescent="0.25">
      <c r="A24" s="127"/>
      <c r="B24" s="2"/>
      <c r="C24" s="131"/>
      <c r="D24" s="99"/>
      <c r="E24" s="99"/>
      <c r="F24" s="99"/>
      <c r="G24" s="99"/>
      <c r="H24" s="99"/>
      <c r="I24" s="99"/>
      <c r="J24" s="99"/>
      <c r="K24" s="99"/>
      <c r="L24" s="99"/>
      <c r="Q24" s="56"/>
      <c r="R24" s="155"/>
    </row>
    <row r="25" spans="1:28" ht="15" customHeight="1" x14ac:dyDescent="0.35">
      <c r="A25" s="127">
        <f>A23+1</f>
        <v>9</v>
      </c>
      <c r="B25" s="2"/>
      <c r="C25" s="131" t="s">
        <v>416</v>
      </c>
      <c r="D25" s="22">
        <f>SUM(F25:L25)</f>
        <v>10151.221525209376</v>
      </c>
      <c r="E25" s="82"/>
      <c r="F25" s="22">
        <v>10151.221525209376</v>
      </c>
      <c r="G25" s="66"/>
      <c r="H25" s="22">
        <v>0</v>
      </c>
      <c r="I25" s="92"/>
      <c r="J25" s="22">
        <v>0</v>
      </c>
      <c r="K25" s="92"/>
      <c r="L25" s="22">
        <v>0</v>
      </c>
      <c r="Q25" s="56"/>
      <c r="R25" s="155"/>
      <c r="S25" s="51"/>
      <c r="T25" s="30"/>
      <c r="U25" s="82"/>
      <c r="V25" s="30"/>
      <c r="W25" s="66"/>
      <c r="X25" s="30"/>
      <c r="Y25" s="182"/>
      <c r="Z25" s="30"/>
      <c r="AA25" s="182"/>
      <c r="AB25" s="30"/>
    </row>
    <row r="26" spans="1:28" x14ac:dyDescent="0.25">
      <c r="A26" s="127">
        <f>A25+1</f>
        <v>10</v>
      </c>
      <c r="B26" s="2" t="s">
        <v>402</v>
      </c>
      <c r="C26" s="131"/>
      <c r="D26" s="18">
        <f>SUM(F26:L26)</f>
        <v>1</v>
      </c>
      <c r="E26" s="99"/>
      <c r="F26" s="18">
        <f>IFERROR(F25/$D25,0)</f>
        <v>1</v>
      </c>
      <c r="G26" s="99"/>
      <c r="H26" s="34">
        <f>IFERROR(H25/$D25,0)</f>
        <v>0</v>
      </c>
      <c r="I26" s="99"/>
      <c r="J26" s="34">
        <f>IFERROR(J25/$D25,0)</f>
        <v>0</v>
      </c>
      <c r="K26" s="99"/>
      <c r="L26" s="34">
        <f>IFERROR(L25/$D25,0)</f>
        <v>0</v>
      </c>
      <c r="Q26" s="56"/>
      <c r="R26" s="155"/>
      <c r="S26" s="175"/>
      <c r="T26" s="175"/>
      <c r="V26" s="175"/>
      <c r="X26" s="144"/>
      <c r="Z26" s="144"/>
      <c r="AB26" s="144"/>
    </row>
    <row r="27" spans="1:28" x14ac:dyDescent="0.25">
      <c r="A27" s="127"/>
      <c r="B27" s="73"/>
      <c r="C27" s="131"/>
      <c r="D27" s="99"/>
      <c r="E27" s="99"/>
      <c r="F27" s="99"/>
      <c r="G27" s="99"/>
      <c r="H27" s="99"/>
      <c r="I27" s="99"/>
      <c r="J27" s="99"/>
      <c r="K27" s="99"/>
      <c r="L27" s="99"/>
      <c r="Q27" s="156"/>
      <c r="R27" s="155"/>
    </row>
    <row r="28" spans="1:28" s="99" customFormat="1" x14ac:dyDescent="0.25">
      <c r="A28" s="127">
        <f>A26+1</f>
        <v>11</v>
      </c>
      <c r="B28" s="2"/>
      <c r="C28" s="131" t="s">
        <v>416</v>
      </c>
      <c r="D28" s="22">
        <f>SUM(F28:L28)</f>
        <v>35305.778577559584</v>
      </c>
      <c r="F28" s="22">
        <v>0</v>
      </c>
      <c r="G28" s="22"/>
      <c r="H28" s="22">
        <v>8340.1649940931402</v>
      </c>
      <c r="I28" s="22"/>
      <c r="J28" s="22">
        <v>26965.613583466446</v>
      </c>
      <c r="L28" s="22">
        <v>0</v>
      </c>
      <c r="O28" s="84"/>
      <c r="P28" s="84"/>
      <c r="Q28" s="56"/>
      <c r="R28" s="155"/>
      <c r="S28" s="84"/>
      <c r="T28" s="30"/>
      <c r="U28" s="84"/>
      <c r="V28" s="30"/>
      <c r="W28" s="30"/>
      <c r="X28" s="30"/>
      <c r="Y28" s="30"/>
      <c r="Z28" s="30"/>
      <c r="AA28" s="84"/>
      <c r="AB28" s="30"/>
    </row>
    <row r="29" spans="1:28" s="99" customFormat="1" x14ac:dyDescent="0.25">
      <c r="A29" s="127">
        <f>A28+1</f>
        <v>12</v>
      </c>
      <c r="B29" s="2" t="s">
        <v>131</v>
      </c>
      <c r="C29" s="131"/>
      <c r="D29" s="18">
        <f>SUM(F29:L29)</f>
        <v>1</v>
      </c>
      <c r="F29" s="34">
        <f>IFERROR(F28/$D28,0)</f>
        <v>0</v>
      </c>
      <c r="H29" s="34">
        <f>IFERROR(H28/$D28,0)</f>
        <v>0.2362266272013093</v>
      </c>
      <c r="J29" s="34">
        <f>IFERROR(J28/$D28,0)</f>
        <v>0.76377337279869073</v>
      </c>
      <c r="L29" s="34">
        <f>IFERROR(L28/$D28,0)</f>
        <v>0</v>
      </c>
      <c r="O29" s="84"/>
      <c r="P29" s="84"/>
      <c r="Q29" s="56"/>
      <c r="R29" s="155"/>
      <c r="S29" s="84"/>
      <c r="T29" s="175"/>
      <c r="U29" s="84"/>
      <c r="V29" s="144"/>
      <c r="W29" s="84"/>
      <c r="X29" s="144"/>
      <c r="Y29" s="84"/>
      <c r="Z29" s="144"/>
      <c r="AA29" s="84"/>
      <c r="AB29" s="144"/>
    </row>
    <row r="30" spans="1:28" s="99" customFormat="1" x14ac:dyDescent="0.25">
      <c r="A30" s="127"/>
      <c r="B30" s="73"/>
      <c r="C30" s="131"/>
      <c r="O30" s="84"/>
      <c r="P30" s="84"/>
      <c r="Q30" s="156"/>
      <c r="R30" s="155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s="99" customFormat="1" x14ac:dyDescent="0.25">
      <c r="A31" s="127">
        <f>A29+1</f>
        <v>13</v>
      </c>
      <c r="B31" s="2"/>
      <c r="C31" s="131" t="s">
        <v>416</v>
      </c>
      <c r="D31" s="22">
        <f>SUM(F31:L31)</f>
        <v>1766302.1521406355</v>
      </c>
      <c r="F31" s="22">
        <v>0</v>
      </c>
      <c r="G31" s="22"/>
      <c r="H31" s="22">
        <v>373232.12316475582</v>
      </c>
      <c r="I31" s="22"/>
      <c r="J31" s="22">
        <v>1361920.822376837</v>
      </c>
      <c r="L31" s="22">
        <v>31149.206599042634</v>
      </c>
      <c r="O31" s="84"/>
      <c r="P31" s="84"/>
      <c r="Q31" s="56"/>
      <c r="R31" s="155"/>
      <c r="S31" s="84"/>
      <c r="T31" s="30"/>
      <c r="U31" s="84"/>
      <c r="V31" s="30"/>
      <c r="W31" s="30"/>
      <c r="X31" s="30"/>
      <c r="Y31" s="30"/>
      <c r="Z31" s="30"/>
      <c r="AA31" s="84"/>
      <c r="AB31" s="30"/>
    </row>
    <row r="32" spans="1:28" s="99" customFormat="1" x14ac:dyDescent="0.25">
      <c r="A32" s="127">
        <f>A31+1</f>
        <v>14</v>
      </c>
      <c r="B32" s="2" t="s">
        <v>26</v>
      </c>
      <c r="C32" s="131"/>
      <c r="D32" s="18">
        <f>SUM(F32:L32)</f>
        <v>1</v>
      </c>
      <c r="F32" s="34">
        <f>IFERROR(F31/$D31,0)</f>
        <v>0</v>
      </c>
      <c r="H32" s="34">
        <f>IFERROR(H31/$D31,0)</f>
        <v>0.21130706471280941</v>
      </c>
      <c r="J32" s="34">
        <f>IFERROR(J31/$D31,0)</f>
        <v>0.77105767024417848</v>
      </c>
      <c r="L32" s="34">
        <f>IFERROR(L31/$D31,0)</f>
        <v>1.7635265043012011E-2</v>
      </c>
      <c r="O32" s="84"/>
      <c r="P32" s="84"/>
      <c r="Q32" s="56"/>
      <c r="R32" s="155"/>
      <c r="S32" s="84"/>
      <c r="T32" s="175"/>
      <c r="U32" s="84"/>
      <c r="V32" s="144"/>
      <c r="W32" s="84"/>
      <c r="X32" s="144"/>
      <c r="Y32" s="84"/>
      <c r="Z32" s="144"/>
      <c r="AA32" s="84"/>
      <c r="AB32" s="144"/>
    </row>
    <row r="33" spans="1:28" s="99" customFormat="1" x14ac:dyDescent="0.25">
      <c r="A33" s="127"/>
      <c r="B33" s="73"/>
      <c r="C33" s="131"/>
      <c r="O33" s="84"/>
      <c r="P33" s="84"/>
      <c r="Q33" s="156"/>
      <c r="R33" s="155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s="99" customFormat="1" x14ac:dyDescent="0.25">
      <c r="A34" s="127">
        <f>A32+1</f>
        <v>15</v>
      </c>
      <c r="B34" s="2"/>
      <c r="C34" s="131" t="s">
        <v>416</v>
      </c>
      <c r="D34" s="22">
        <f>SUM(F34:L34)</f>
        <v>-682850.15761198453</v>
      </c>
      <c r="F34" s="22">
        <v>0</v>
      </c>
      <c r="G34" s="22"/>
      <c r="H34" s="22">
        <v>-145034.61246955802</v>
      </c>
      <c r="I34" s="22"/>
      <c r="J34" s="22">
        <v>-530200.06314518396</v>
      </c>
      <c r="L34" s="22">
        <v>-7615.4819972425539</v>
      </c>
      <c r="O34" s="84"/>
      <c r="P34" s="84"/>
      <c r="Q34" s="56"/>
      <c r="R34" s="155"/>
      <c r="S34" s="84"/>
      <c r="T34" s="30"/>
      <c r="U34" s="84"/>
      <c r="V34" s="30"/>
      <c r="W34" s="30"/>
      <c r="X34" s="30"/>
      <c r="Y34" s="30"/>
      <c r="Z34" s="30"/>
      <c r="AA34" s="84"/>
      <c r="AB34" s="30"/>
    </row>
    <row r="35" spans="1:28" s="99" customFormat="1" x14ac:dyDescent="0.25">
      <c r="A35" s="127">
        <f>A34+1</f>
        <v>16</v>
      </c>
      <c r="B35" s="2" t="s">
        <v>346</v>
      </c>
      <c r="C35" s="131"/>
      <c r="D35" s="18">
        <f>SUM(F35:L35)</f>
        <v>1</v>
      </c>
      <c r="F35" s="34">
        <f>IFERROR(F34/$D34,0)</f>
        <v>0</v>
      </c>
      <c r="H35" s="34">
        <f>IFERROR(H34/$D34,0)</f>
        <v>0.21239595664261521</v>
      </c>
      <c r="J35" s="34">
        <f>IFERROR(J34/$D34,0)</f>
        <v>0.7764515497797676</v>
      </c>
      <c r="L35" s="34">
        <f>IFERROR(L34/$D34,0)</f>
        <v>1.1152493577617205E-2</v>
      </c>
      <c r="O35" s="84"/>
      <c r="P35" s="84"/>
      <c r="Q35" s="56"/>
      <c r="R35" s="155"/>
      <c r="S35" s="84"/>
      <c r="T35" s="175"/>
      <c r="U35" s="84"/>
      <c r="V35" s="144"/>
      <c r="W35" s="84"/>
      <c r="X35" s="144"/>
      <c r="Y35" s="84"/>
      <c r="Z35" s="144"/>
      <c r="AA35" s="84"/>
      <c r="AB35" s="144"/>
    </row>
    <row r="36" spans="1:28" s="99" customFormat="1" x14ac:dyDescent="0.25">
      <c r="A36" s="127"/>
      <c r="B36" s="73"/>
      <c r="C36" s="131"/>
      <c r="O36" s="84"/>
      <c r="P36" s="84"/>
      <c r="Q36" s="156"/>
      <c r="R36" s="155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s="99" customFormat="1" x14ac:dyDescent="0.25">
      <c r="A37" s="127">
        <f>A35+1</f>
        <v>17</v>
      </c>
      <c r="B37" s="2"/>
      <c r="C37" s="131" t="s">
        <v>416</v>
      </c>
      <c r="D37" s="134">
        <f>SUM(F37:L37)</f>
        <v>1</v>
      </c>
      <c r="F37" s="134">
        <v>0</v>
      </c>
      <c r="G37" s="134"/>
      <c r="H37" s="134">
        <v>0.39326014506907819</v>
      </c>
      <c r="I37" s="134"/>
      <c r="J37" s="134">
        <v>0.60673985493092175</v>
      </c>
      <c r="K37" s="14"/>
      <c r="L37" s="134">
        <v>0</v>
      </c>
      <c r="O37" s="84"/>
      <c r="P37" s="84"/>
      <c r="Q37" s="56"/>
      <c r="R37" s="155"/>
      <c r="S37" s="84"/>
      <c r="T37" s="32"/>
      <c r="U37" s="84"/>
      <c r="V37" s="32"/>
      <c r="W37" s="32"/>
      <c r="X37" s="32"/>
      <c r="Y37" s="32"/>
      <c r="Z37" s="32"/>
      <c r="AA37" s="158"/>
      <c r="AB37" s="32"/>
    </row>
    <row r="38" spans="1:28" s="99" customFormat="1" x14ac:dyDescent="0.25">
      <c r="A38" s="127">
        <f>A37+1</f>
        <v>18</v>
      </c>
      <c r="B38" s="2" t="s">
        <v>294</v>
      </c>
      <c r="C38" s="131"/>
      <c r="D38" s="18">
        <f>SUM(F38:L38)</f>
        <v>1</v>
      </c>
      <c r="F38" s="34">
        <f>IFERROR(F37/$D37,0)</f>
        <v>0</v>
      </c>
      <c r="H38" s="34">
        <f>IFERROR(H37/$D37,0)</f>
        <v>0.39326014506907819</v>
      </c>
      <c r="J38" s="34">
        <f>IFERROR(J37/$D37,0)</f>
        <v>0.60673985493092175</v>
      </c>
      <c r="L38" s="34">
        <f>IFERROR(L37/$D37,0)</f>
        <v>0</v>
      </c>
      <c r="O38" s="84"/>
      <c r="P38" s="84"/>
      <c r="Q38" s="56"/>
      <c r="R38" s="155"/>
      <c r="S38" s="84"/>
      <c r="T38" s="175"/>
      <c r="U38" s="84"/>
      <c r="V38" s="144"/>
      <c r="W38" s="84"/>
      <c r="X38" s="144"/>
      <c r="Y38" s="84"/>
      <c r="Z38" s="144"/>
      <c r="AA38" s="84"/>
      <c r="AB38" s="144"/>
    </row>
    <row r="39" spans="1:28" s="99" customFormat="1" x14ac:dyDescent="0.25">
      <c r="A39" s="127"/>
      <c r="B39" s="73"/>
      <c r="C39" s="131"/>
      <c r="O39" s="84"/>
      <c r="P39" s="84"/>
      <c r="Q39" s="156"/>
      <c r="R39" s="155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s="99" customFormat="1" x14ac:dyDescent="0.25">
      <c r="A40" s="127">
        <f>A38+1</f>
        <v>19</v>
      </c>
      <c r="B40" s="2"/>
      <c r="C40" s="131" t="s">
        <v>416</v>
      </c>
      <c r="D40" s="22">
        <f>SUM(F40:L40)</f>
        <v>794045.1271271396</v>
      </c>
      <c r="F40" s="22">
        <v>0</v>
      </c>
      <c r="G40" s="22"/>
      <c r="H40" s="22">
        <v>30302.427119821801</v>
      </c>
      <c r="I40" s="22"/>
      <c r="J40" s="22">
        <v>103657.95343098548</v>
      </c>
      <c r="L40" s="22">
        <v>660084.74657633237</v>
      </c>
      <c r="M40" s="1"/>
      <c r="O40" s="84"/>
      <c r="P40" s="84"/>
      <c r="Q40" s="56"/>
      <c r="R40" s="155"/>
      <c r="S40" s="84"/>
      <c r="T40" s="30"/>
      <c r="U40" s="84"/>
      <c r="V40" s="30"/>
      <c r="W40" s="30"/>
      <c r="X40" s="30"/>
      <c r="Y40" s="30"/>
      <c r="Z40" s="30"/>
      <c r="AA40" s="84"/>
      <c r="AB40" s="30"/>
    </row>
    <row r="41" spans="1:28" s="99" customFormat="1" x14ac:dyDescent="0.25">
      <c r="A41" s="127">
        <f>A40+1</f>
        <v>20</v>
      </c>
      <c r="B41" s="2" t="s">
        <v>223</v>
      </c>
      <c r="C41" s="131"/>
      <c r="D41" s="18">
        <f>SUM(F41:L41)</f>
        <v>1</v>
      </c>
      <c r="F41" s="34">
        <f>IFERROR(F40/$D40,0)</f>
        <v>0</v>
      </c>
      <c r="H41" s="34">
        <f>IFERROR(H40/$D40,0)</f>
        <v>3.8162096944610917E-2</v>
      </c>
      <c r="J41" s="34">
        <f>IFERROR(J40/$D40,0)</f>
        <v>0.13054415912861353</v>
      </c>
      <c r="L41" s="34">
        <f>IFERROR(L40/$D40,0)</f>
        <v>0.83129374392677557</v>
      </c>
      <c r="M41" s="1"/>
      <c r="O41" s="84"/>
      <c r="P41" s="84"/>
      <c r="Q41" s="56"/>
      <c r="R41" s="155"/>
      <c r="S41" s="84"/>
      <c r="T41" s="175"/>
      <c r="U41" s="84"/>
      <c r="V41" s="144"/>
      <c r="W41" s="84"/>
      <c r="X41" s="144"/>
      <c r="Y41" s="84"/>
      <c r="Z41" s="144"/>
      <c r="AA41" s="84"/>
      <c r="AB41" s="144"/>
    </row>
    <row r="42" spans="1:28" s="99" customFormat="1" x14ac:dyDescent="0.25">
      <c r="A42" s="127"/>
      <c r="B42" s="73"/>
      <c r="C42" s="131"/>
      <c r="D42" s="18"/>
      <c r="F42" s="34"/>
      <c r="H42" s="34"/>
      <c r="J42" s="34"/>
      <c r="L42" s="34"/>
      <c r="O42" s="84"/>
      <c r="P42" s="84"/>
      <c r="Q42" s="156"/>
      <c r="R42" s="155"/>
      <c r="S42" s="84"/>
      <c r="T42" s="175"/>
      <c r="U42" s="84"/>
      <c r="V42" s="144"/>
      <c r="W42" s="84"/>
      <c r="X42" s="144"/>
      <c r="Y42" s="84"/>
      <c r="Z42" s="144"/>
      <c r="AA42" s="84"/>
      <c r="AB42" s="144"/>
    </row>
    <row r="43" spans="1:28" x14ac:dyDescent="0.25">
      <c r="A43" s="127">
        <f>A41+1</f>
        <v>21</v>
      </c>
      <c r="B43" s="2"/>
      <c r="C43" s="131" t="s">
        <v>417</v>
      </c>
      <c r="D43" s="22">
        <f>SUM(F43:L43)</f>
        <v>1</v>
      </c>
      <c r="E43" s="22"/>
      <c r="F43" s="22">
        <v>0</v>
      </c>
      <c r="G43" s="22"/>
      <c r="H43" s="22">
        <v>0</v>
      </c>
      <c r="I43" s="22"/>
      <c r="J43" s="22">
        <v>0</v>
      </c>
      <c r="K43" s="99"/>
      <c r="L43" s="22">
        <v>1</v>
      </c>
      <c r="Q43" s="56"/>
      <c r="R43" s="155"/>
      <c r="T43" s="30"/>
      <c r="U43" s="30"/>
      <c r="V43" s="30"/>
      <c r="W43" s="30"/>
      <c r="X43" s="30"/>
      <c r="Y43" s="30"/>
      <c r="Z43" s="30"/>
      <c r="AB43" s="30"/>
    </row>
    <row r="44" spans="1:28" x14ac:dyDescent="0.25">
      <c r="A44" s="127">
        <f>A43+1</f>
        <v>22</v>
      </c>
      <c r="B44" s="2" t="s">
        <v>32</v>
      </c>
      <c r="C44" s="131"/>
      <c r="D44" s="18">
        <f>SUM(F44:L44)</f>
        <v>1</v>
      </c>
      <c r="E44" s="99"/>
      <c r="F44" s="34">
        <f>IFERROR(F43/$D43,0)</f>
        <v>0</v>
      </c>
      <c r="G44" s="99"/>
      <c r="H44" s="34">
        <f>IFERROR(H43/$D43,0)</f>
        <v>0</v>
      </c>
      <c r="I44" s="99"/>
      <c r="J44" s="34">
        <f>IFERROR(J43/$D43,0)</f>
        <v>0</v>
      </c>
      <c r="K44" s="99"/>
      <c r="L44" s="34">
        <f>IFERROR(L43/$D43,0)</f>
        <v>1</v>
      </c>
      <c r="Q44" s="56"/>
      <c r="R44" s="155"/>
      <c r="T44" s="175"/>
      <c r="V44" s="144"/>
      <c r="X44" s="144"/>
      <c r="Z44" s="144"/>
      <c r="AB44" s="144"/>
    </row>
    <row r="45" spans="1:28" x14ac:dyDescent="0.25">
      <c r="A45" s="127"/>
      <c r="B45" s="73"/>
      <c r="C45" s="131"/>
      <c r="D45" s="99"/>
      <c r="E45" s="99"/>
      <c r="F45" s="99"/>
      <c r="G45" s="99"/>
      <c r="H45" s="99"/>
      <c r="I45" s="99"/>
      <c r="J45" s="99"/>
      <c r="K45" s="99"/>
      <c r="L45" s="99"/>
      <c r="Q45" s="156"/>
      <c r="R45" s="155"/>
    </row>
    <row r="46" spans="1:28" x14ac:dyDescent="0.25">
      <c r="A46" s="127">
        <f>A44+1</f>
        <v>23</v>
      </c>
      <c r="B46" s="2"/>
      <c r="C46" s="131" t="s">
        <v>417</v>
      </c>
      <c r="D46" s="22">
        <f>SUM(F46:L46)</f>
        <v>1</v>
      </c>
      <c r="E46" s="99"/>
      <c r="F46" s="22">
        <v>1</v>
      </c>
      <c r="G46" s="22"/>
      <c r="H46" s="22">
        <v>0</v>
      </c>
      <c r="I46" s="22"/>
      <c r="J46" s="22">
        <v>0</v>
      </c>
      <c r="K46" s="99"/>
      <c r="L46" s="22">
        <v>0</v>
      </c>
      <c r="Q46" s="56"/>
      <c r="R46" s="155"/>
      <c r="T46" s="30"/>
      <c r="V46" s="30"/>
      <c r="W46" s="30"/>
      <c r="X46" s="30"/>
      <c r="Y46" s="30"/>
      <c r="Z46" s="30"/>
      <c r="AB46" s="30"/>
    </row>
    <row r="47" spans="1:28" x14ac:dyDescent="0.25">
      <c r="A47" s="127">
        <f>A46+1</f>
        <v>24</v>
      </c>
      <c r="B47" s="2" t="s">
        <v>401</v>
      </c>
      <c r="C47" s="131"/>
      <c r="D47" s="18">
        <f>SUM(F47:L47)</f>
        <v>1</v>
      </c>
      <c r="E47" s="99"/>
      <c r="F47" s="34">
        <f>IFERROR(F46/$D46,0)</f>
        <v>1</v>
      </c>
      <c r="G47" s="99"/>
      <c r="H47" s="34">
        <f>IFERROR(H46/$D46,0)</f>
        <v>0</v>
      </c>
      <c r="I47" s="99"/>
      <c r="J47" s="34">
        <f>IFERROR(J46/$D46,0)</f>
        <v>0</v>
      </c>
      <c r="K47" s="99"/>
      <c r="L47" s="34">
        <f>IFERROR(L46/$D46,0)</f>
        <v>0</v>
      </c>
      <c r="Q47" s="56"/>
      <c r="R47" s="155"/>
      <c r="T47" s="175"/>
      <c r="V47" s="144"/>
      <c r="X47" s="144"/>
      <c r="Z47" s="144"/>
      <c r="AB47" s="144"/>
    </row>
    <row r="48" spans="1:28" x14ac:dyDescent="0.25">
      <c r="A48" s="127"/>
      <c r="B48" s="73"/>
      <c r="C48" s="131"/>
      <c r="D48" s="99"/>
      <c r="E48" s="99"/>
      <c r="F48" s="99"/>
      <c r="G48" s="99"/>
      <c r="H48" s="99"/>
      <c r="I48" s="99"/>
      <c r="J48" s="99"/>
      <c r="K48" s="99"/>
      <c r="L48" s="99"/>
      <c r="Q48" s="156"/>
      <c r="R48" s="155"/>
    </row>
    <row r="49" spans="1:28" x14ac:dyDescent="0.25">
      <c r="A49" s="127">
        <f>A47+1</f>
        <v>25</v>
      </c>
      <c r="B49" s="2"/>
      <c r="C49" s="131" t="s">
        <v>416</v>
      </c>
      <c r="D49" s="22">
        <f>SUM(F49:L49)</f>
        <v>194713.51793516785</v>
      </c>
      <c r="E49" s="22"/>
      <c r="F49" s="22">
        <v>0</v>
      </c>
      <c r="G49" s="22"/>
      <c r="H49" s="22">
        <v>7271.6222767735126</v>
      </c>
      <c r="I49" s="22"/>
      <c r="J49" s="22">
        <v>17848.649151574664</v>
      </c>
      <c r="K49" s="22"/>
      <c r="L49" s="22">
        <v>169593.24650681968</v>
      </c>
      <c r="Q49" s="56"/>
      <c r="R49" s="155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x14ac:dyDescent="0.25">
      <c r="A50" s="127">
        <f>A49+1</f>
        <v>26</v>
      </c>
      <c r="B50" s="2" t="s">
        <v>141</v>
      </c>
      <c r="C50" s="131"/>
      <c r="D50" s="18">
        <f>SUM(F50:L50)</f>
        <v>1</v>
      </c>
      <c r="E50" s="99"/>
      <c r="F50" s="34">
        <f>IFERROR(F49/$D49,0)</f>
        <v>0</v>
      </c>
      <c r="G50" s="99"/>
      <c r="H50" s="34">
        <f>IFERROR(H49/$D49,0)</f>
        <v>3.7345235985077753E-2</v>
      </c>
      <c r="I50" s="99"/>
      <c r="J50" s="34">
        <f>IFERROR(J49/$D49,0)</f>
        <v>9.1666204487752007E-2</v>
      </c>
      <c r="K50" s="99"/>
      <c r="L50" s="34">
        <f>IFERROR(L49/$D49,0)</f>
        <v>0.87098855952717025</v>
      </c>
      <c r="Q50" s="56"/>
      <c r="R50" s="155"/>
      <c r="T50" s="175"/>
      <c r="V50" s="144"/>
      <c r="X50" s="144"/>
      <c r="Z50" s="144"/>
      <c r="AB50" s="144"/>
    </row>
    <row r="51" spans="1:28" x14ac:dyDescent="0.25">
      <c r="A51" s="127"/>
      <c r="B51" s="73"/>
      <c r="C51" s="131"/>
      <c r="D51" s="99"/>
      <c r="E51" s="99"/>
      <c r="F51" s="99"/>
      <c r="G51" s="99"/>
      <c r="H51" s="99"/>
      <c r="I51" s="99"/>
      <c r="J51" s="99"/>
      <c r="K51" s="99"/>
      <c r="L51" s="99"/>
      <c r="Q51" s="156"/>
      <c r="R51" s="155"/>
    </row>
    <row r="52" spans="1:28" x14ac:dyDescent="0.25">
      <c r="A52" s="127">
        <f>A50+1</f>
        <v>27</v>
      </c>
      <c r="B52" s="2"/>
      <c r="C52" s="131" t="s">
        <v>417</v>
      </c>
      <c r="D52" s="134">
        <f ca="1">SUM(F52:L52)</f>
        <v>100</v>
      </c>
      <c r="E52" s="134"/>
      <c r="F52" s="134">
        <v>0</v>
      </c>
      <c r="G52" s="134"/>
      <c r="H52" s="134">
        <f ca="1">(((Function!R75-Function!R74-Function!R70)/(SUM(Function!$R$75:$V$75)-SUM(Function!$R$74:$V$74)-SUM(Function!$R$70:$V$70)))*0.5+((Function!R162-Function!R148-SUM(Function!R116:R122))/(SUM(Function!$R$162:$V$162)-SUM(Function!$R$148:$V$148)-SUM(Function!$R$116:$V$122)))*0.5)*100</f>
        <v>5.424329364001804</v>
      </c>
      <c r="I52" s="134"/>
      <c r="J52" s="134">
        <f ca="1">(((Function!T75-Function!T74-Function!T70)/(SUM(Function!$R$75:$V$75)-SUM(Function!$R$74:$V$74)-SUM(Function!$R$70:$V$70)))*0.5+((Function!T162-Function!T148-SUM(Function!T116:T122))/(SUM(Function!$R$162:$V$162)-SUM(Function!$R$148:$V$148)-SUM(Function!$R$116:$V$122)))*0.5)*100</f>
        <v>13.145856088137128</v>
      </c>
      <c r="K52" s="134"/>
      <c r="L52" s="134">
        <f ca="1">(((Function!V75-Function!V74-Function!V70)/(SUM(Function!$R$75:$V$75)-SUM(Function!$R$74:$V$74)-SUM(Function!$R$70:$V$70)))*0.5+((Function!V162-Function!V148-SUM(Function!V116:V122))/(SUM(Function!$R$162:$V$162)-SUM(Function!$R$148:$V$148)-SUM(Function!$R$116:$V$122)))*0.5)*100</f>
        <v>81.429814547861056</v>
      </c>
      <c r="Q52" s="56"/>
      <c r="R52" s="155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x14ac:dyDescent="0.25">
      <c r="A53" s="127">
        <f>A52+1</f>
        <v>28</v>
      </c>
      <c r="B53" s="2" t="s">
        <v>142</v>
      </c>
      <c r="C53" s="131"/>
      <c r="D53" s="18">
        <f ca="1">SUM(F53:L53)</f>
        <v>1.0000000000000002</v>
      </c>
      <c r="E53" s="99"/>
      <c r="F53" s="34">
        <f ca="1">IFERROR(F52/$D52,0)</f>
        <v>0</v>
      </c>
      <c r="G53" s="99"/>
      <c r="H53" s="34">
        <f ca="1">IFERROR(H52/$D52,0)</f>
        <v>5.4243293640018037E-2</v>
      </c>
      <c r="I53" s="99"/>
      <c r="J53" s="34">
        <f ca="1">IFERROR(J52/$D52,0)</f>
        <v>0.13145856088137128</v>
      </c>
      <c r="K53" s="99"/>
      <c r="L53" s="34">
        <f ca="1">IFERROR(L52/$D52,0)</f>
        <v>0.81429814547861057</v>
      </c>
      <c r="Q53" s="56"/>
      <c r="R53" s="155"/>
      <c r="T53" s="175"/>
      <c r="V53" s="144"/>
      <c r="X53" s="144"/>
      <c r="Z53" s="144"/>
      <c r="AB53" s="144"/>
    </row>
    <row r="54" spans="1:28" x14ac:dyDescent="0.25">
      <c r="A54" s="127"/>
      <c r="B54" s="73"/>
      <c r="C54" s="131"/>
      <c r="D54" s="99"/>
      <c r="E54" s="99"/>
      <c r="F54" s="99"/>
      <c r="G54" s="99"/>
      <c r="H54" s="99"/>
      <c r="I54" s="99"/>
      <c r="J54" s="99"/>
      <c r="K54" s="99"/>
      <c r="L54" s="99"/>
      <c r="Q54" s="156"/>
      <c r="R54" s="155"/>
    </row>
    <row r="55" spans="1:28" x14ac:dyDescent="0.25">
      <c r="A55" s="127">
        <f>A53+1</f>
        <v>29</v>
      </c>
      <c r="B55" s="2"/>
      <c r="C55" s="131" t="s">
        <v>416</v>
      </c>
      <c r="D55" s="22">
        <f>SUM(F55:L55)</f>
        <v>97921.260261951422</v>
      </c>
      <c r="E55" s="99"/>
      <c r="F55" s="22">
        <v>0</v>
      </c>
      <c r="G55" s="22"/>
      <c r="H55" s="22">
        <v>4709.4407463028465</v>
      </c>
      <c r="I55" s="22"/>
      <c r="J55" s="22">
        <v>17894.877237646608</v>
      </c>
      <c r="K55" s="99"/>
      <c r="L55" s="22">
        <v>75316.942278001967</v>
      </c>
      <c r="Q55" s="56"/>
      <c r="R55" s="155"/>
      <c r="T55" s="30"/>
      <c r="V55" s="30"/>
      <c r="W55" s="30"/>
      <c r="X55" s="30"/>
      <c r="Y55" s="30"/>
      <c r="Z55" s="30"/>
      <c r="AB55" s="30"/>
    </row>
    <row r="56" spans="1:28" x14ac:dyDescent="0.25">
      <c r="A56" s="127">
        <f>A55+1</f>
        <v>30</v>
      </c>
      <c r="B56" s="2" t="s">
        <v>353</v>
      </c>
      <c r="C56" s="131"/>
      <c r="D56" s="18">
        <f>SUM(F56:L56)</f>
        <v>1</v>
      </c>
      <c r="E56" s="99"/>
      <c r="F56" s="34">
        <f>IFERROR(F55/$D55,0)</f>
        <v>0</v>
      </c>
      <c r="G56" s="99"/>
      <c r="H56" s="34">
        <f>IFERROR(H55/$D55,0)</f>
        <v>4.8094159876052582E-2</v>
      </c>
      <c r="I56" s="99"/>
      <c r="J56" s="34">
        <f>IFERROR(J55/$D55,0)</f>
        <v>0.18274761976894097</v>
      </c>
      <c r="K56" s="99"/>
      <c r="L56" s="34">
        <f>IFERROR(L55/$D55,0)</f>
        <v>0.76915822035500647</v>
      </c>
      <c r="Q56" s="56"/>
      <c r="R56" s="155"/>
      <c r="T56" s="175"/>
      <c r="V56" s="144"/>
      <c r="X56" s="144"/>
      <c r="Z56" s="144"/>
      <c r="AB56" s="144"/>
    </row>
    <row r="57" spans="1:28" x14ac:dyDescent="0.25">
      <c r="A57" s="127"/>
      <c r="B57" s="73"/>
      <c r="C57" s="131"/>
      <c r="D57" s="18"/>
      <c r="E57" s="99"/>
      <c r="F57" s="34"/>
      <c r="G57" s="99"/>
      <c r="H57" s="34"/>
      <c r="I57" s="99"/>
      <c r="J57" s="34"/>
      <c r="K57" s="99"/>
      <c r="L57" s="34"/>
      <c r="M57" s="99"/>
      <c r="N57" s="24"/>
      <c r="Q57" s="156"/>
      <c r="R57" s="155"/>
      <c r="T57" s="175"/>
      <c r="V57" s="144"/>
      <c r="X57" s="144"/>
      <c r="Z57" s="144"/>
      <c r="AB57" s="144"/>
    </row>
    <row r="58" spans="1:28" x14ac:dyDescent="0.25">
      <c r="A58" s="127">
        <f>A56+1</f>
        <v>31</v>
      </c>
      <c r="B58" s="2"/>
      <c r="C58" s="131" t="s">
        <v>416</v>
      </c>
      <c r="D58" s="22">
        <f>SUM(F58:L58)</f>
        <v>12225.328252587002</v>
      </c>
      <c r="E58" s="99"/>
      <c r="F58" s="22">
        <v>0</v>
      </c>
      <c r="G58" s="22"/>
      <c r="H58" s="22">
        <v>0</v>
      </c>
      <c r="I58" s="22"/>
      <c r="J58" s="22">
        <v>1285.6500471877962</v>
      </c>
      <c r="K58" s="22"/>
      <c r="L58" s="22">
        <v>10939.678205399206</v>
      </c>
      <c r="M58" s="99"/>
      <c r="N58" s="24"/>
      <c r="Q58" s="56"/>
      <c r="R58" s="155"/>
      <c r="T58" s="30"/>
      <c r="V58" s="30"/>
      <c r="W58" s="30"/>
      <c r="X58" s="30"/>
      <c r="Y58" s="30"/>
      <c r="Z58" s="30"/>
      <c r="AA58" s="30"/>
      <c r="AB58" s="30"/>
    </row>
    <row r="59" spans="1:28" x14ac:dyDescent="0.25">
      <c r="A59" s="127">
        <f>A58+1</f>
        <v>32</v>
      </c>
      <c r="B59" s="2" t="s">
        <v>403</v>
      </c>
      <c r="C59" s="131"/>
      <c r="D59" s="18">
        <f>SUM(F59:L59)</f>
        <v>1</v>
      </c>
      <c r="E59" s="99"/>
      <c r="F59" s="18">
        <f>IFERROR(F58/$D58,0)</f>
        <v>0</v>
      </c>
      <c r="G59" s="99"/>
      <c r="H59" s="34">
        <f>IFERROR(H58/$D58,0)</f>
        <v>0</v>
      </c>
      <c r="I59" s="99"/>
      <c r="J59" s="34">
        <f>IFERROR(J58/$D58,0)</f>
        <v>0.10516282431236476</v>
      </c>
      <c r="K59" s="99"/>
      <c r="L59" s="34">
        <f>IFERROR(L58/$D58,0)</f>
        <v>0.89483717568763532</v>
      </c>
      <c r="M59" s="99"/>
      <c r="N59" s="24"/>
      <c r="Q59" s="56"/>
      <c r="R59" s="155"/>
      <c r="T59" s="175"/>
      <c r="V59" s="175"/>
      <c r="X59" s="144"/>
      <c r="Z59" s="144"/>
      <c r="AB59" s="144"/>
    </row>
    <row r="60" spans="1:28" x14ac:dyDescent="0.25">
      <c r="A60" s="127"/>
      <c r="B60" s="99"/>
      <c r="C60" s="85"/>
      <c r="D60" s="99"/>
      <c r="E60" s="99"/>
      <c r="F60" s="99"/>
      <c r="G60" s="99"/>
      <c r="H60" s="99"/>
      <c r="I60" s="99"/>
      <c r="J60" s="99"/>
      <c r="K60" s="99"/>
      <c r="L60" s="99"/>
      <c r="M60" s="99"/>
      <c r="Q60" s="84"/>
      <c r="R60" s="181"/>
    </row>
    <row r="61" spans="1:28" x14ac:dyDescent="0.25">
      <c r="A61" s="127">
        <f>A59+1</f>
        <v>33</v>
      </c>
      <c r="B61" s="2"/>
      <c r="C61" s="131" t="s">
        <v>417</v>
      </c>
      <c r="D61" s="22">
        <f ca="1">SUM(F61:L61)</f>
        <v>297583.58181091066</v>
      </c>
      <c r="E61" s="99"/>
      <c r="F61" s="22">
        <v>0</v>
      </c>
      <c r="G61" s="22"/>
      <c r="H61" s="22">
        <f ca="1">Function!AH162</f>
        <v>17976.776754797029</v>
      </c>
      <c r="I61" s="22"/>
      <c r="J61" s="22">
        <f ca="1">Function!AJ162</f>
        <v>21354.704399968527</v>
      </c>
      <c r="K61" s="99"/>
      <c r="L61" s="22">
        <f ca="1">Function!AL162</f>
        <v>258252.10065614511</v>
      </c>
      <c r="M61" s="99"/>
      <c r="Q61" s="56"/>
      <c r="R61" s="155"/>
      <c r="T61" s="30"/>
      <c r="V61" s="30"/>
      <c r="W61" s="30"/>
      <c r="X61" s="30"/>
      <c r="Y61" s="30"/>
      <c r="Z61" s="30"/>
      <c r="AB61" s="30"/>
    </row>
    <row r="62" spans="1:28" x14ac:dyDescent="0.25">
      <c r="A62" s="127">
        <f>A61+1</f>
        <v>34</v>
      </c>
      <c r="B62" s="2" t="s">
        <v>111</v>
      </c>
      <c r="C62" s="131"/>
      <c r="D62" s="18">
        <f ca="1">SUM(F62:L62)</f>
        <v>1.0000000000000002</v>
      </c>
      <c r="E62" s="99"/>
      <c r="F62" s="34">
        <f ca="1">IFERROR(F61/$D61,0)</f>
        <v>0</v>
      </c>
      <c r="G62" s="99"/>
      <c r="H62" s="34">
        <f ca="1">IFERROR(H61/$D61,0)</f>
        <v>6.0409168561657269E-2</v>
      </c>
      <c r="I62" s="99"/>
      <c r="J62" s="34">
        <f ca="1">IFERROR(J61/$D61,0)</f>
        <v>7.1760358115245906E-2</v>
      </c>
      <c r="K62" s="99"/>
      <c r="L62" s="34">
        <f ca="1">IFERROR(L61/$D61,0)</f>
        <v>0.86783047332309682</v>
      </c>
      <c r="M62" s="99"/>
      <c r="Q62" s="56"/>
      <c r="R62" s="155"/>
      <c r="T62" s="175"/>
      <c r="V62" s="144"/>
      <c r="X62" s="144"/>
      <c r="Z62" s="144"/>
      <c r="AB62" s="144"/>
    </row>
    <row r="63" spans="1:28" x14ac:dyDescent="0.25">
      <c r="A63" s="127"/>
      <c r="B63" s="73"/>
      <c r="C63" s="131"/>
      <c r="D63" s="99"/>
      <c r="E63" s="99"/>
      <c r="F63" s="99"/>
      <c r="G63" s="99"/>
      <c r="H63" s="99"/>
      <c r="I63" s="99"/>
      <c r="J63" s="99"/>
      <c r="K63" s="99"/>
      <c r="L63" s="99"/>
      <c r="M63" s="99"/>
      <c r="Q63" s="156"/>
      <c r="R63" s="155"/>
    </row>
    <row r="64" spans="1:28" s="99" customFormat="1" x14ac:dyDescent="0.25">
      <c r="A64" s="127">
        <f>A62+1</f>
        <v>35</v>
      </c>
      <c r="B64" s="2"/>
      <c r="C64" s="131" t="s">
        <v>416</v>
      </c>
      <c r="D64" s="22">
        <f>SUM(F64:L64)</f>
        <v>221951.98928670486</v>
      </c>
      <c r="F64" s="22">
        <v>0</v>
      </c>
      <c r="G64" s="22"/>
      <c r="H64" s="22">
        <v>12712.975753678993</v>
      </c>
      <c r="I64" s="22"/>
      <c r="J64" s="22">
        <v>81031.114909682263</v>
      </c>
      <c r="L64" s="22">
        <v>128207.8986233436</v>
      </c>
      <c r="O64" s="84"/>
      <c r="P64" s="84"/>
      <c r="Q64" s="56"/>
      <c r="R64" s="155"/>
      <c r="S64" s="84"/>
      <c r="T64" s="30"/>
      <c r="U64" s="84"/>
      <c r="V64" s="30"/>
      <c r="W64" s="30"/>
      <c r="X64" s="30"/>
      <c r="Y64" s="30"/>
      <c r="Z64" s="30"/>
      <c r="AA64" s="84"/>
      <c r="AB64" s="30"/>
    </row>
    <row r="65" spans="1:28" s="99" customFormat="1" x14ac:dyDescent="0.25">
      <c r="A65" s="127">
        <f>A64+1</f>
        <v>36</v>
      </c>
      <c r="B65" s="2" t="s">
        <v>18</v>
      </c>
      <c r="C65" s="131"/>
      <c r="D65" s="18">
        <f>SUM(F65:L65)</f>
        <v>1</v>
      </c>
      <c r="F65" s="34">
        <f>IFERROR(F64/$D64,0)</f>
        <v>0</v>
      </c>
      <c r="H65" s="34">
        <f>IFERROR(H64/$D64,0)</f>
        <v>5.7278043754125131E-2</v>
      </c>
      <c r="J65" s="34">
        <f>IFERROR(J64/$D64,0)</f>
        <v>0.36508397681000693</v>
      </c>
      <c r="L65" s="34">
        <f>IFERROR(L64/$D64,0)</f>
        <v>0.57763797943586792</v>
      </c>
      <c r="O65" s="84"/>
      <c r="P65" s="84"/>
      <c r="Q65" s="56"/>
      <c r="R65" s="155"/>
      <c r="S65" s="84"/>
      <c r="T65" s="175"/>
      <c r="U65" s="84"/>
      <c r="V65" s="144"/>
      <c r="W65" s="84"/>
      <c r="X65" s="144"/>
      <c r="Y65" s="84"/>
      <c r="Z65" s="144"/>
      <c r="AA65" s="84"/>
      <c r="AB65" s="144"/>
    </row>
    <row r="66" spans="1:28" s="99" customFormat="1" x14ac:dyDescent="0.25">
      <c r="A66" s="127"/>
      <c r="B66" s="73"/>
      <c r="C66" s="131"/>
      <c r="O66" s="84"/>
      <c r="P66" s="84"/>
      <c r="Q66" s="156"/>
      <c r="R66" s="155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customFormat="1" ht="14.5" x14ac:dyDescent="0.35">
      <c r="A67" s="127">
        <f>A65+1</f>
        <v>37</v>
      </c>
      <c r="B67" s="2"/>
      <c r="C67" s="131" t="s">
        <v>416</v>
      </c>
      <c r="D67" s="22">
        <f>SUM(F67:L67)</f>
        <v>263688.9340629389</v>
      </c>
      <c r="E67" s="99"/>
      <c r="F67" s="22">
        <v>0</v>
      </c>
      <c r="G67" s="22"/>
      <c r="H67" s="22">
        <v>76519.049630000009</v>
      </c>
      <c r="I67" s="22"/>
      <c r="J67" s="22">
        <v>64690.372260000004</v>
      </c>
      <c r="K67" s="99"/>
      <c r="L67" s="22">
        <v>122479.51217293892</v>
      </c>
      <c r="M67" s="99"/>
      <c r="N67" s="1"/>
      <c r="O67" s="19"/>
      <c r="P67" s="84"/>
      <c r="Q67" s="56"/>
      <c r="R67" s="155"/>
      <c r="S67" s="84"/>
      <c r="T67" s="30"/>
      <c r="U67" s="84"/>
      <c r="V67" s="30"/>
      <c r="W67" s="30"/>
      <c r="X67" s="30"/>
      <c r="Y67" s="30"/>
      <c r="Z67" s="30"/>
      <c r="AA67" s="84"/>
      <c r="AB67" s="30"/>
    </row>
    <row r="68" spans="1:28" customFormat="1" ht="14.5" x14ac:dyDescent="0.35">
      <c r="A68" s="127">
        <f>A67+1</f>
        <v>38</v>
      </c>
      <c r="B68" s="2" t="s">
        <v>185</v>
      </c>
      <c r="C68" s="131"/>
      <c r="D68" s="18">
        <f>SUM(F68:L68)</f>
        <v>1</v>
      </c>
      <c r="E68" s="99"/>
      <c r="F68" s="34">
        <f>IFERROR(F67/$D67,0)</f>
        <v>0</v>
      </c>
      <c r="G68" s="99"/>
      <c r="H68" s="34">
        <f>IFERROR(H67/$D67,0)</f>
        <v>0.29018680629099119</v>
      </c>
      <c r="I68" s="99"/>
      <c r="J68" s="34">
        <f>IFERROR(J67/$D67,0)</f>
        <v>0.24532835437288128</v>
      </c>
      <c r="K68" s="99"/>
      <c r="L68" s="34">
        <f>IFERROR(L67/$D67,0)</f>
        <v>0.46448483933612761</v>
      </c>
      <c r="M68" s="99"/>
      <c r="N68" s="1"/>
      <c r="O68" s="19"/>
      <c r="P68" s="84"/>
      <c r="Q68" s="56"/>
      <c r="R68" s="155"/>
      <c r="S68" s="84"/>
      <c r="T68" s="175"/>
      <c r="U68" s="84"/>
      <c r="V68" s="144"/>
      <c r="W68" s="84"/>
      <c r="X68" s="144"/>
      <c r="Y68" s="84"/>
      <c r="Z68" s="144"/>
      <c r="AA68" s="84"/>
      <c r="AB68" s="144"/>
    </row>
    <row r="69" spans="1:28" customFormat="1" ht="14.5" x14ac:dyDescent="0.35">
      <c r="A69" s="127"/>
      <c r="B69" s="73"/>
      <c r="C69" s="131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1"/>
      <c r="O69" s="19"/>
      <c r="P69" s="84"/>
      <c r="Q69" s="156"/>
      <c r="R69" s="155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customFormat="1" ht="14.5" x14ac:dyDescent="0.35">
      <c r="A70" s="127">
        <f>A68+1</f>
        <v>39</v>
      </c>
      <c r="B70" s="2"/>
      <c r="C70" s="131" t="s">
        <v>416</v>
      </c>
      <c r="D70" s="22">
        <f>SUM(F70:L70)</f>
        <v>-89062.605249351764</v>
      </c>
      <c r="E70" s="99"/>
      <c r="F70" s="22">
        <v>0</v>
      </c>
      <c r="G70" s="22"/>
      <c r="H70" s="22">
        <v>-48801.44054123274</v>
      </c>
      <c r="I70" s="22"/>
      <c r="J70" s="22">
        <v>-17442.616532928572</v>
      </c>
      <c r="K70" s="99"/>
      <c r="L70" s="22">
        <v>-22818.548175190463</v>
      </c>
      <c r="M70" s="99"/>
      <c r="N70" s="1"/>
      <c r="O70" s="19"/>
      <c r="P70" s="84"/>
      <c r="Q70" s="56"/>
      <c r="R70" s="155"/>
      <c r="S70" s="84"/>
      <c r="T70" s="30"/>
      <c r="U70" s="84"/>
      <c r="V70" s="30"/>
      <c r="W70" s="30"/>
      <c r="X70" s="30"/>
      <c r="Y70" s="30"/>
      <c r="Z70" s="30"/>
      <c r="AA70" s="84"/>
      <c r="AB70" s="30"/>
    </row>
    <row r="71" spans="1:28" customFormat="1" ht="14.5" x14ac:dyDescent="0.35">
      <c r="A71" s="127">
        <f>A70+1</f>
        <v>40</v>
      </c>
      <c r="B71" s="2" t="s">
        <v>342</v>
      </c>
      <c r="C71" s="131"/>
      <c r="D71" s="18">
        <f>SUM(F71:L71)</f>
        <v>1</v>
      </c>
      <c r="E71" s="99"/>
      <c r="F71" s="34">
        <f>IFERROR(F70/$D70,0)</f>
        <v>0</v>
      </c>
      <c r="G71" s="99"/>
      <c r="H71" s="34">
        <f>IFERROR(H70/$D70,0)</f>
        <v>0.54794535152662105</v>
      </c>
      <c r="I71" s="99"/>
      <c r="J71" s="34">
        <f>IFERROR(J70/$D70,0)</f>
        <v>0.19584669103372684</v>
      </c>
      <c r="K71" s="99"/>
      <c r="L71" s="34">
        <f>IFERROR(L70/$D70,0)</f>
        <v>0.25620795743965219</v>
      </c>
      <c r="M71" s="99"/>
      <c r="N71" s="1"/>
      <c r="O71" s="19"/>
      <c r="P71" s="84"/>
      <c r="Q71" s="56"/>
      <c r="R71" s="155"/>
      <c r="S71" s="84"/>
      <c r="T71" s="175"/>
      <c r="U71" s="84"/>
      <c r="V71" s="144"/>
      <c r="W71" s="84"/>
      <c r="X71" s="144"/>
      <c r="Y71" s="84"/>
      <c r="Z71" s="144"/>
      <c r="AA71" s="84"/>
      <c r="AB71" s="144"/>
    </row>
    <row r="72" spans="1:28" customFormat="1" ht="14.5" x14ac:dyDescent="0.35">
      <c r="A72" s="127"/>
      <c r="B72" s="73"/>
      <c r="C72" s="131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1"/>
      <c r="O72" s="19"/>
      <c r="P72" s="84"/>
      <c r="Q72" s="156"/>
      <c r="R72" s="155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customFormat="1" ht="14.5" x14ac:dyDescent="0.35">
      <c r="A73" s="127">
        <f>A71+1</f>
        <v>41</v>
      </c>
      <c r="B73" s="2"/>
      <c r="C73" s="131" t="s">
        <v>416</v>
      </c>
      <c r="D73" s="22">
        <f>SUM(F73:L73)</f>
        <v>48836.701068879993</v>
      </c>
      <c r="E73" s="99"/>
      <c r="F73" s="22">
        <v>0</v>
      </c>
      <c r="G73" s="22"/>
      <c r="H73" s="22">
        <v>3243.4526964799998</v>
      </c>
      <c r="I73" s="22"/>
      <c r="J73" s="22">
        <v>29360.673046399999</v>
      </c>
      <c r="K73" s="99"/>
      <c r="L73" s="22">
        <v>16232.575325999998</v>
      </c>
      <c r="M73" s="1"/>
      <c r="N73" s="1"/>
      <c r="O73" s="19"/>
      <c r="P73" s="84"/>
      <c r="Q73" s="56"/>
      <c r="R73" s="155"/>
      <c r="S73" s="84"/>
      <c r="T73" s="30"/>
      <c r="U73" s="84"/>
      <c r="V73" s="30"/>
      <c r="W73" s="30"/>
      <c r="X73" s="30"/>
      <c r="Y73" s="30"/>
      <c r="Z73" s="30"/>
      <c r="AA73" s="84"/>
      <c r="AB73" s="30"/>
    </row>
    <row r="74" spans="1:28" customFormat="1" ht="14.5" x14ac:dyDescent="0.35">
      <c r="A74" s="127">
        <f>A73+1</f>
        <v>42</v>
      </c>
      <c r="B74" s="2" t="s">
        <v>106</v>
      </c>
      <c r="C74" s="131"/>
      <c r="D74" s="18">
        <f>SUM(F74:L74)</f>
        <v>1</v>
      </c>
      <c r="E74" s="99"/>
      <c r="F74" s="34">
        <f>IFERROR(F73/$D73,0)</f>
        <v>0</v>
      </c>
      <c r="G74" s="99"/>
      <c r="H74" s="34">
        <f>IFERROR(H73/$D73,0)</f>
        <v>6.6414246365768786E-2</v>
      </c>
      <c r="I74" s="99"/>
      <c r="J74" s="34">
        <f>IFERROR(J73/$D73,0)</f>
        <v>0.60120099031646879</v>
      </c>
      <c r="K74" s="99"/>
      <c r="L74" s="34">
        <f>IFERROR(L73/$D73,0)</f>
        <v>0.33238476331776257</v>
      </c>
      <c r="M74" s="1"/>
      <c r="N74" s="1"/>
      <c r="O74" s="19"/>
      <c r="P74" s="84"/>
      <c r="Q74" s="56"/>
      <c r="R74" s="155"/>
      <c r="S74" s="84"/>
      <c r="T74" s="175"/>
      <c r="U74" s="84"/>
      <c r="V74" s="144"/>
      <c r="W74" s="84"/>
      <c r="X74" s="144"/>
      <c r="Y74" s="84"/>
      <c r="Z74" s="144"/>
      <c r="AA74" s="84"/>
      <c r="AB74" s="144"/>
    </row>
    <row r="75" spans="1:28" ht="14.5" x14ac:dyDescent="0.35">
      <c r="A75" s="127"/>
      <c r="B75" s="73"/>
      <c r="C75" s="133"/>
      <c r="D75" s="99"/>
      <c r="E75" s="99"/>
      <c r="F75" s="99"/>
      <c r="G75" s="99"/>
      <c r="H75" s="99"/>
      <c r="I75" s="99"/>
      <c r="J75" s="99"/>
      <c r="K75" s="99"/>
      <c r="L75" s="99"/>
      <c r="M75" s="99"/>
      <c r="Q75" s="156"/>
      <c r="R75" s="183"/>
    </row>
    <row r="76" spans="1:28" s="99" customFormat="1" x14ac:dyDescent="0.25">
      <c r="A76" s="127">
        <f>A74+1</f>
        <v>43</v>
      </c>
      <c r="B76" s="2"/>
      <c r="C76" s="131" t="s">
        <v>416</v>
      </c>
      <c r="D76" s="22">
        <f>SUM(F76:L76)</f>
        <v>11087197.208408533</v>
      </c>
      <c r="F76" s="22">
        <v>0</v>
      </c>
      <c r="G76" s="22"/>
      <c r="H76" s="22">
        <v>0</v>
      </c>
      <c r="I76" s="22"/>
      <c r="J76" s="22">
        <v>2318861.9823710397</v>
      </c>
      <c r="L76" s="22">
        <v>8768335.226037493</v>
      </c>
      <c r="O76" s="84"/>
      <c r="P76" s="84"/>
      <c r="Q76" s="56"/>
      <c r="R76" s="155"/>
      <c r="S76" s="84"/>
      <c r="T76" s="30"/>
      <c r="U76" s="84"/>
      <c r="V76" s="30"/>
      <c r="W76" s="30"/>
      <c r="X76" s="30"/>
      <c r="Y76" s="30"/>
      <c r="Z76" s="30"/>
      <c r="AA76" s="84"/>
      <c r="AB76" s="30"/>
    </row>
    <row r="77" spans="1:28" s="99" customFormat="1" x14ac:dyDescent="0.25">
      <c r="A77" s="127">
        <f>A76+1</f>
        <v>44</v>
      </c>
      <c r="B77" s="2" t="s">
        <v>24</v>
      </c>
      <c r="C77" s="131"/>
      <c r="D77" s="18">
        <f>SUM(F77:L77)</f>
        <v>1</v>
      </c>
      <c r="F77" s="34">
        <f>IFERROR(F76/$D76,0)</f>
        <v>0</v>
      </c>
      <c r="H77" s="34">
        <f>IFERROR(H76/$D76,0)</f>
        <v>0</v>
      </c>
      <c r="J77" s="34">
        <f>IFERROR(J76/$D76,0)</f>
        <v>0.20914771684699668</v>
      </c>
      <c r="L77" s="34">
        <f>IFERROR(L76/$D76,0)</f>
        <v>0.79085228315300338</v>
      </c>
      <c r="O77" s="84"/>
      <c r="P77" s="84"/>
      <c r="Q77" s="56"/>
      <c r="R77" s="155"/>
      <c r="S77" s="84"/>
      <c r="T77" s="175"/>
      <c r="U77" s="84"/>
      <c r="V77" s="144"/>
      <c r="W77" s="84"/>
      <c r="X77" s="144"/>
      <c r="Y77" s="84"/>
      <c r="Z77" s="144"/>
      <c r="AA77" s="84"/>
      <c r="AB77" s="144"/>
    </row>
    <row r="78" spans="1:28" s="99" customFormat="1" x14ac:dyDescent="0.25">
      <c r="A78" s="127"/>
      <c r="B78" s="73"/>
      <c r="C78" s="131"/>
      <c r="O78" s="84"/>
      <c r="P78" s="84"/>
      <c r="Q78" s="156"/>
      <c r="R78" s="155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x14ac:dyDescent="0.25">
      <c r="A79" s="127">
        <f>A77+1</f>
        <v>45</v>
      </c>
      <c r="B79" s="2"/>
      <c r="C79" s="131" t="s">
        <v>416</v>
      </c>
      <c r="D79" s="22">
        <f>SUM(F79:L79)</f>
        <v>-3913248.2619602792</v>
      </c>
      <c r="E79" s="99"/>
      <c r="F79" s="22">
        <v>0</v>
      </c>
      <c r="G79" s="22"/>
      <c r="H79" s="22">
        <v>0</v>
      </c>
      <c r="I79" s="22"/>
      <c r="J79" s="22">
        <v>-723064.55407582107</v>
      </c>
      <c r="K79" s="99"/>
      <c r="L79" s="22">
        <v>-3190183.7078844584</v>
      </c>
      <c r="M79" s="99"/>
      <c r="Q79" s="56"/>
      <c r="R79" s="155"/>
      <c r="T79" s="30"/>
      <c r="V79" s="30"/>
      <c r="W79" s="30"/>
      <c r="X79" s="30"/>
      <c r="Y79" s="30"/>
      <c r="Z79" s="30"/>
      <c r="AB79" s="30"/>
    </row>
    <row r="80" spans="1:28" x14ac:dyDescent="0.25">
      <c r="A80" s="127">
        <f>A79+1</f>
        <v>46</v>
      </c>
      <c r="B80" s="2" t="s">
        <v>345</v>
      </c>
      <c r="C80" s="131"/>
      <c r="D80" s="18">
        <f>SUM(F80:L80)</f>
        <v>1</v>
      </c>
      <c r="E80" s="99"/>
      <c r="F80" s="34">
        <f>IFERROR(F79/$D79,0)</f>
        <v>0</v>
      </c>
      <c r="G80" s="99"/>
      <c r="H80" s="34">
        <f>IFERROR(H79/$D79,0)</f>
        <v>0</v>
      </c>
      <c r="I80" s="99"/>
      <c r="J80" s="34">
        <f>IFERROR(J79/$D79,0)</f>
        <v>0.18477349395502279</v>
      </c>
      <c r="K80" s="99"/>
      <c r="L80" s="34">
        <f>IFERROR(L79/$D79,0)</f>
        <v>0.81522650604497726</v>
      </c>
      <c r="M80" s="99"/>
      <c r="Q80" s="56"/>
      <c r="R80" s="155"/>
      <c r="T80" s="175"/>
      <c r="V80" s="144"/>
      <c r="X80" s="144"/>
      <c r="Z80" s="144"/>
      <c r="AB80" s="144"/>
    </row>
    <row r="81" spans="1:28" x14ac:dyDescent="0.25">
      <c r="A81" s="127"/>
      <c r="B81" s="73"/>
      <c r="C81" s="131"/>
      <c r="D81" s="99"/>
      <c r="E81" s="99"/>
      <c r="F81" s="99"/>
      <c r="G81" s="99"/>
      <c r="H81" s="99"/>
      <c r="I81" s="99"/>
      <c r="J81" s="99"/>
      <c r="K81" s="99"/>
      <c r="L81" s="99"/>
      <c r="M81" s="99"/>
      <c r="Q81" s="156"/>
      <c r="R81" s="155"/>
    </row>
    <row r="82" spans="1:28" x14ac:dyDescent="0.25">
      <c r="A82" s="127">
        <f>A80+1</f>
        <v>47</v>
      </c>
      <c r="B82" s="2"/>
      <c r="C82" s="131" t="s">
        <v>416</v>
      </c>
      <c r="D82" s="22">
        <f>SUM(F82:L82)</f>
        <v>1741318.9830492439</v>
      </c>
      <c r="E82" s="99"/>
      <c r="F82" s="22">
        <v>0</v>
      </c>
      <c r="G82" s="22"/>
      <c r="H82" s="22">
        <v>37640.926755705732</v>
      </c>
      <c r="I82" s="22"/>
      <c r="J82" s="22">
        <v>293466.87206014263</v>
      </c>
      <c r="K82" s="99"/>
      <c r="L82" s="22">
        <v>1410211.1842333956</v>
      </c>
      <c r="M82" s="99"/>
      <c r="Q82" s="56"/>
      <c r="R82" s="155"/>
      <c r="T82" s="30"/>
      <c r="V82" s="30"/>
      <c r="W82" s="30"/>
      <c r="X82" s="30"/>
      <c r="Y82" s="30"/>
      <c r="Z82" s="30"/>
      <c r="AB82" s="30"/>
    </row>
    <row r="83" spans="1:28" x14ac:dyDescent="0.25">
      <c r="A83" s="127">
        <f>A82+1</f>
        <v>48</v>
      </c>
      <c r="B83" s="2" t="s">
        <v>22</v>
      </c>
      <c r="C83" s="131"/>
      <c r="D83" s="18">
        <f>SUM(F83:L83)</f>
        <v>1</v>
      </c>
      <c r="E83" s="99"/>
      <c r="F83" s="34">
        <f>IFERROR(F82/$D82,0)</f>
        <v>0</v>
      </c>
      <c r="G83" s="99"/>
      <c r="H83" s="34">
        <f>IFERROR(H82/$D82,0)</f>
        <v>2.1616330564427817E-2</v>
      </c>
      <c r="I83" s="99"/>
      <c r="J83" s="34">
        <f>IFERROR(J82/$D82,0)</f>
        <v>0.16853136898918392</v>
      </c>
      <c r="K83" s="99"/>
      <c r="L83" s="34">
        <f>IFERROR(L82/$D82,0)</f>
        <v>0.80985230044638834</v>
      </c>
      <c r="M83" s="99"/>
      <c r="Q83" s="56"/>
      <c r="R83" s="155"/>
      <c r="T83" s="175"/>
      <c r="V83" s="144"/>
      <c r="X83" s="144"/>
      <c r="Z83" s="144"/>
      <c r="AB83" s="144"/>
    </row>
    <row r="84" spans="1:28" x14ac:dyDescent="0.25">
      <c r="A84" s="127"/>
      <c r="B84" s="73"/>
      <c r="C84" s="131"/>
      <c r="D84" s="99"/>
      <c r="E84" s="99"/>
      <c r="F84" s="99"/>
      <c r="G84" s="99"/>
      <c r="H84" s="99"/>
      <c r="I84" s="99"/>
      <c r="J84" s="99"/>
      <c r="K84" s="99"/>
      <c r="L84" s="99"/>
      <c r="M84" s="99"/>
      <c r="Q84" s="156"/>
      <c r="R84" s="155"/>
    </row>
    <row r="85" spans="1:28" s="99" customFormat="1" x14ac:dyDescent="0.25">
      <c r="A85" s="127">
        <f>A83+1</f>
        <v>49</v>
      </c>
      <c r="B85" s="2"/>
      <c r="C85" s="131" t="s">
        <v>416</v>
      </c>
      <c r="D85" s="22">
        <f>SUM(F85:L85)</f>
        <v>-626809.06456604146</v>
      </c>
      <c r="F85" s="22">
        <v>0</v>
      </c>
      <c r="G85" s="22"/>
      <c r="H85" s="22">
        <v>-30584.519384649553</v>
      </c>
      <c r="I85" s="22"/>
      <c r="J85" s="22">
        <v>-92652.685535819954</v>
      </c>
      <c r="L85" s="22">
        <v>-503571.85964557197</v>
      </c>
      <c r="O85" s="84"/>
      <c r="P85" s="84"/>
      <c r="Q85" s="56"/>
      <c r="R85" s="155"/>
      <c r="S85" s="84"/>
      <c r="T85" s="30"/>
      <c r="U85" s="84"/>
      <c r="V85" s="30"/>
      <c r="W85" s="30"/>
      <c r="X85" s="30"/>
      <c r="Y85" s="30"/>
      <c r="Z85" s="30"/>
      <c r="AA85" s="84"/>
      <c r="AB85" s="30"/>
    </row>
    <row r="86" spans="1:28" s="99" customFormat="1" x14ac:dyDescent="0.25">
      <c r="A86" s="127">
        <f>A85+1</f>
        <v>50</v>
      </c>
      <c r="B86" s="2" t="s">
        <v>344</v>
      </c>
      <c r="C86" s="131"/>
      <c r="D86" s="18">
        <f>SUM(F86:L86)</f>
        <v>1</v>
      </c>
      <c r="F86" s="34">
        <f>IFERROR(F85/$D85,0)</f>
        <v>0</v>
      </c>
      <c r="H86" s="34">
        <f>IFERROR(H85/$D85,0)</f>
        <v>4.8793996630894489E-2</v>
      </c>
      <c r="J86" s="34">
        <f>IFERROR(J85/$D85,0)</f>
        <v>0.14781644167824243</v>
      </c>
      <c r="L86" s="34">
        <f>IFERROR(L85/$D85,0)</f>
        <v>0.80338956169086306</v>
      </c>
      <c r="O86" s="84"/>
      <c r="P86" s="84"/>
      <c r="Q86" s="56"/>
      <c r="R86" s="155"/>
      <c r="S86" s="84"/>
      <c r="T86" s="175"/>
      <c r="U86" s="84"/>
      <c r="V86" s="144"/>
      <c r="W86" s="84"/>
      <c r="X86" s="144"/>
      <c r="Y86" s="84"/>
      <c r="Z86" s="144"/>
      <c r="AA86" s="84"/>
      <c r="AB86" s="144"/>
    </row>
    <row r="87" spans="1:28" s="99" customFormat="1" x14ac:dyDescent="0.25">
      <c r="A87" s="127"/>
      <c r="B87" s="73"/>
      <c r="C87" s="131"/>
      <c r="O87" s="84"/>
      <c r="P87" s="84"/>
      <c r="Q87" s="156"/>
      <c r="R87" s="155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ht="15" customHeight="1" x14ac:dyDescent="0.25">
      <c r="A88" s="127">
        <f>A86+1</f>
        <v>51</v>
      </c>
      <c r="B88" s="2"/>
      <c r="C88" s="131" t="s">
        <v>417</v>
      </c>
      <c r="D88" s="22">
        <f ca="1">SUM(F88:L88)</f>
        <v>15647065.899097566</v>
      </c>
      <c r="E88" s="99"/>
      <c r="F88" s="22">
        <f ca="1">+Function!P79-Function!P74-Function!P70</f>
        <v>0</v>
      </c>
      <c r="G88" s="22"/>
      <c r="H88" s="22">
        <f ca="1">+Function!R79-Function!R74-Function!R70</f>
        <v>700663.56410677684</v>
      </c>
      <c r="I88" s="22"/>
      <c r="J88" s="22">
        <f ca="1">+Function!T79-Function!T74-Function!T70</f>
        <v>2964156.4950657203</v>
      </c>
      <c r="K88" s="99"/>
      <c r="L88" s="22">
        <f ca="1">+Function!V79-Function!V74-Function!V70</f>
        <v>11982245.839925067</v>
      </c>
      <c r="M88" s="99"/>
      <c r="Q88" s="56"/>
      <c r="R88" s="155"/>
      <c r="T88" s="30"/>
      <c r="V88" s="30"/>
      <c r="W88" s="30"/>
      <c r="X88" s="30"/>
      <c r="Y88" s="30"/>
      <c r="Z88" s="30"/>
      <c r="AB88" s="30"/>
    </row>
    <row r="89" spans="1:28" x14ac:dyDescent="0.25">
      <c r="A89" s="127">
        <f>A88+1</f>
        <v>52</v>
      </c>
      <c r="B89" s="2" t="s">
        <v>35</v>
      </c>
      <c r="C89" s="131"/>
      <c r="D89" s="18">
        <f ca="1">SUM(F89:L89)</f>
        <v>0.99999999999999989</v>
      </c>
      <c r="E89" s="99"/>
      <c r="F89" s="34">
        <f ca="1">IFERROR(F88/$D88,0)</f>
        <v>0</v>
      </c>
      <c r="G89" s="99"/>
      <c r="H89" s="34">
        <f ca="1">IFERROR(H88/$D88,0)</f>
        <v>4.4779230088574443E-2</v>
      </c>
      <c r="I89" s="99"/>
      <c r="J89" s="34">
        <f ca="1">IFERROR(J88/$D88,0)</f>
        <v>0.18943848732922355</v>
      </c>
      <c r="K89" s="99"/>
      <c r="L89" s="34">
        <f ca="1">IFERROR(L88/$D88,0)</f>
        <v>0.76578228258220193</v>
      </c>
      <c r="M89" s="99"/>
      <c r="Q89" s="56"/>
      <c r="R89" s="155"/>
      <c r="T89" s="175"/>
      <c r="V89" s="144"/>
      <c r="X89" s="144"/>
      <c r="Z89" s="144"/>
      <c r="AB89" s="144"/>
    </row>
    <row r="90" spans="1:28" x14ac:dyDescent="0.25">
      <c r="A90" s="127"/>
      <c r="B90" s="73"/>
      <c r="C90" s="131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7"/>
      <c r="Q90" s="156"/>
      <c r="R90" s="155"/>
    </row>
    <row r="91" spans="1:28" ht="15" customHeight="1" x14ac:dyDescent="0.25">
      <c r="A91" s="127">
        <f>A89+1</f>
        <v>53</v>
      </c>
      <c r="B91" s="2"/>
      <c r="C91" s="131" t="s">
        <v>417</v>
      </c>
      <c r="D91" s="22">
        <f ca="1">SUM(F91:L91)</f>
        <v>658078.10841729166</v>
      </c>
      <c r="E91" s="99"/>
      <c r="F91" s="22">
        <v>0</v>
      </c>
      <c r="G91" s="22"/>
      <c r="H91" s="22">
        <f ca="1">SUM(Function!R124:R147,Function!R149:R156,Function!R159)</f>
        <v>42779.705685337896</v>
      </c>
      <c r="I91" s="22"/>
      <c r="J91" s="22">
        <f ca="1">SUM(Function!T124:T147,Function!T149:T156,Function!T159)</f>
        <v>47638.308946962527</v>
      </c>
      <c r="K91" s="99"/>
      <c r="L91" s="22">
        <f ca="1">SUM(Function!V124:V147,Function!V149:V156,Function!V159)</f>
        <v>567660.09378499142</v>
      </c>
      <c r="M91" s="99"/>
      <c r="N91" s="69"/>
      <c r="P91" s="13"/>
      <c r="Q91" s="56"/>
      <c r="R91" s="155"/>
      <c r="T91" s="30"/>
      <c r="V91" s="30"/>
      <c r="W91" s="30"/>
      <c r="X91" s="30"/>
      <c r="Y91" s="30"/>
      <c r="Z91" s="30"/>
      <c r="AB91" s="30"/>
    </row>
    <row r="92" spans="1:28" x14ac:dyDescent="0.25">
      <c r="A92" s="127">
        <f>A91+1</f>
        <v>54</v>
      </c>
      <c r="B92" s="2" t="s">
        <v>37</v>
      </c>
      <c r="C92" s="131"/>
      <c r="D92" s="18">
        <f ca="1">SUM(F92:L92)</f>
        <v>1</v>
      </c>
      <c r="E92" s="99"/>
      <c r="F92" s="34">
        <f ca="1">IFERROR(F91/$D91,0)</f>
        <v>0</v>
      </c>
      <c r="G92" s="99"/>
      <c r="H92" s="34">
        <f ca="1">IFERROR(H91/$D91,0)</f>
        <v>6.5007033569654926E-2</v>
      </c>
      <c r="I92" s="99"/>
      <c r="J92" s="34">
        <f ca="1">IFERROR(J91/$D91,0)</f>
        <v>7.239005269683696E-2</v>
      </c>
      <c r="K92" s="99"/>
      <c r="L92" s="34">
        <f ca="1">IFERROR(L91/$D91,0)</f>
        <v>0.86260291373350839</v>
      </c>
      <c r="M92" s="99"/>
      <c r="Q92" s="56"/>
      <c r="R92" s="155"/>
      <c r="T92" s="175"/>
      <c r="V92" s="144"/>
      <c r="X92" s="144"/>
      <c r="Z92" s="144"/>
      <c r="AB92" s="144"/>
    </row>
    <row r="93" spans="1:28" x14ac:dyDescent="0.25">
      <c r="A93" s="127"/>
      <c r="B93" s="73"/>
      <c r="C93" s="131"/>
      <c r="D93" s="99"/>
      <c r="E93" s="99"/>
      <c r="F93" s="99"/>
      <c r="G93" s="99"/>
      <c r="H93" s="99"/>
      <c r="I93" s="99"/>
      <c r="J93" s="99"/>
      <c r="K93" s="99"/>
      <c r="L93" s="99"/>
      <c r="M93" s="99"/>
      <c r="Q93" s="156"/>
      <c r="R93" s="155"/>
    </row>
    <row r="94" spans="1:28" ht="15" customHeight="1" x14ac:dyDescent="0.25">
      <c r="A94" s="127">
        <f>A92+1</f>
        <v>55</v>
      </c>
      <c r="B94" s="2"/>
      <c r="C94" s="131" t="s">
        <v>416</v>
      </c>
      <c r="D94" s="22">
        <f>SUM(F94:L94)</f>
        <v>18719.620992596843</v>
      </c>
      <c r="E94" s="99"/>
      <c r="F94" s="22">
        <v>0</v>
      </c>
      <c r="G94" s="22"/>
      <c r="H94" s="22">
        <v>1360.9161558516623</v>
      </c>
      <c r="I94" s="22"/>
      <c r="J94" s="22">
        <v>5321.9958664646038</v>
      </c>
      <c r="K94" s="99"/>
      <c r="L94" s="22">
        <v>12036.708970280575</v>
      </c>
      <c r="M94" s="99"/>
      <c r="Q94" s="56"/>
      <c r="R94" s="155"/>
      <c r="T94" s="30"/>
      <c r="V94" s="30"/>
      <c r="W94" s="30"/>
      <c r="X94" s="30"/>
      <c r="Y94" s="30"/>
      <c r="Z94" s="30"/>
      <c r="AB94" s="30"/>
    </row>
    <row r="95" spans="1:28" x14ac:dyDescent="0.25">
      <c r="A95" s="127">
        <f>A94+1</f>
        <v>56</v>
      </c>
      <c r="B95" s="2" t="s">
        <v>300</v>
      </c>
      <c r="C95" s="131"/>
      <c r="D95" s="18">
        <f>SUM(F95:L95)</f>
        <v>0.99999999999999989</v>
      </c>
      <c r="E95" s="99"/>
      <c r="F95" s="18">
        <f>IFERROR(F94/$D94,0)</f>
        <v>0</v>
      </c>
      <c r="G95" s="99"/>
      <c r="H95" s="34">
        <f>IFERROR(H94/$D94,0)</f>
        <v>7.2699984491666342E-2</v>
      </c>
      <c r="I95" s="99"/>
      <c r="J95" s="34">
        <f>IFERROR(J94/$D94,0)</f>
        <v>0.28430040696707076</v>
      </c>
      <c r="K95" s="99"/>
      <c r="L95" s="34">
        <f>IFERROR(L94/$D94,0)</f>
        <v>0.64299960854126281</v>
      </c>
      <c r="M95" s="99"/>
      <c r="Q95" s="56"/>
      <c r="R95" s="155"/>
      <c r="T95" s="175"/>
      <c r="V95" s="175"/>
      <c r="X95" s="144"/>
      <c r="Z95" s="144"/>
      <c r="AB95" s="144"/>
    </row>
    <row r="96" spans="1:28" x14ac:dyDescent="0.25">
      <c r="A96" s="127"/>
      <c r="B96" s="73"/>
      <c r="C96" s="131"/>
      <c r="D96" s="99"/>
      <c r="E96" s="99"/>
      <c r="F96" s="99"/>
      <c r="G96" s="99"/>
      <c r="H96" s="99"/>
      <c r="I96" s="99"/>
      <c r="J96" s="99"/>
      <c r="K96" s="99"/>
      <c r="L96" s="99"/>
      <c r="M96" s="99"/>
      <c r="Q96" s="156"/>
      <c r="R96" s="155"/>
    </row>
    <row r="97" spans="1:28" ht="15" customHeight="1" x14ac:dyDescent="0.25">
      <c r="A97" s="127">
        <f>A95+1</f>
        <v>57</v>
      </c>
      <c r="B97" s="2"/>
      <c r="C97" s="131" t="s">
        <v>416</v>
      </c>
      <c r="D97" s="22">
        <f>SUM(F97:L97)</f>
        <v>118389.16895486812</v>
      </c>
      <c r="E97" s="99"/>
      <c r="F97" s="22">
        <v>0</v>
      </c>
      <c r="G97" s="22"/>
      <c r="H97" s="22">
        <v>4084.6733599950676</v>
      </c>
      <c r="I97" s="22"/>
      <c r="J97" s="22">
        <v>24483.257915889248</v>
      </c>
      <c r="K97" s="99"/>
      <c r="L97" s="22">
        <v>89821.237678983802</v>
      </c>
      <c r="M97" s="99"/>
      <c r="N97" s="99"/>
      <c r="Q97" s="56"/>
      <c r="R97" s="155"/>
      <c r="T97" s="30"/>
      <c r="V97" s="30"/>
      <c r="W97" s="30"/>
      <c r="X97" s="30"/>
      <c r="Y97" s="30"/>
      <c r="Z97" s="30"/>
      <c r="AB97" s="30"/>
    </row>
    <row r="98" spans="1:28" x14ac:dyDescent="0.25">
      <c r="A98" s="127">
        <f>A97+1</f>
        <v>58</v>
      </c>
      <c r="B98" s="2" t="s">
        <v>147</v>
      </c>
      <c r="C98" s="131"/>
      <c r="D98" s="18">
        <f>SUM(F98:L98)</f>
        <v>1</v>
      </c>
      <c r="E98" s="99"/>
      <c r="F98" s="34">
        <f>IFERROR(F97/$D97,0)</f>
        <v>0</v>
      </c>
      <c r="G98" s="99"/>
      <c r="H98" s="34">
        <f>IFERROR(H97/$D97,0)</f>
        <v>3.4502086601792194E-2</v>
      </c>
      <c r="I98" s="99"/>
      <c r="J98" s="34">
        <f>IFERROR(J97/$D97,0)</f>
        <v>0.20680319096777058</v>
      </c>
      <c r="K98" s="99"/>
      <c r="L98" s="34">
        <f>IFERROR(L97/$D97,0)</f>
        <v>0.75869472243043723</v>
      </c>
      <c r="M98" s="99"/>
      <c r="N98" s="99"/>
      <c r="Q98" s="56"/>
      <c r="R98" s="155"/>
      <c r="T98" s="175"/>
      <c r="V98" s="144"/>
      <c r="X98" s="144"/>
      <c r="Z98" s="144"/>
      <c r="AB98" s="144"/>
    </row>
    <row r="99" spans="1:28" ht="14.5" x14ac:dyDescent="0.35">
      <c r="A99" s="127"/>
      <c r="B99" s="73"/>
      <c r="C99" s="133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Q99" s="156"/>
      <c r="R99" s="183"/>
    </row>
    <row r="100" spans="1:28" x14ac:dyDescent="0.25">
      <c r="A100" s="127">
        <f>A98+1</f>
        <v>59</v>
      </c>
      <c r="B100" s="2"/>
      <c r="C100" s="131" t="s">
        <v>417</v>
      </c>
      <c r="D100" s="22">
        <f ca="1">SUM(F100:L100)</f>
        <v>16281095.66330146</v>
      </c>
      <c r="E100" s="99"/>
      <c r="F100" s="22">
        <f ca="1">Function!P92</f>
        <v>0</v>
      </c>
      <c r="G100" s="22"/>
      <c r="H100" s="22">
        <f ca="1">Function!R92</f>
        <v>1414974.1265197231</v>
      </c>
      <c r="I100" s="22"/>
      <c r="J100" s="22">
        <f ca="1">Function!T92</f>
        <v>2951364.3713017283</v>
      </c>
      <c r="K100" s="99"/>
      <c r="L100" s="22">
        <f ca="1">Function!V92</f>
        <v>11914757.165480008</v>
      </c>
      <c r="M100" s="99"/>
      <c r="N100" s="99"/>
      <c r="Q100" s="56"/>
      <c r="R100" s="155"/>
      <c r="T100" s="30"/>
      <c r="V100" s="30"/>
      <c r="W100" s="30"/>
      <c r="X100" s="30"/>
      <c r="Y100" s="30"/>
      <c r="Z100" s="30"/>
      <c r="AB100" s="30"/>
    </row>
    <row r="101" spans="1:28" x14ac:dyDescent="0.25">
      <c r="A101" s="127">
        <f>A100+1</f>
        <v>60</v>
      </c>
      <c r="B101" s="2" t="s">
        <v>43</v>
      </c>
      <c r="C101" s="131"/>
      <c r="D101" s="18">
        <f ca="1">SUM(F101:L101)</f>
        <v>0.99999999999999989</v>
      </c>
      <c r="E101" s="99"/>
      <c r="F101" s="34">
        <f ca="1">IFERROR(F100/$D100,0)</f>
        <v>0</v>
      </c>
      <c r="G101" s="99"/>
      <c r="H101" s="34">
        <f ca="1">IFERROR(H100/$D100,0)</f>
        <v>8.6909023556022549E-2</v>
      </c>
      <c r="I101" s="99"/>
      <c r="J101" s="34">
        <f ca="1">IFERROR(J100/$D100,0)</f>
        <v>0.18127553773633773</v>
      </c>
      <c r="K101" s="99"/>
      <c r="L101" s="34">
        <f ca="1">IFERROR(L100/$D100,0)</f>
        <v>0.73181543870763965</v>
      </c>
      <c r="M101" s="99"/>
      <c r="N101" s="99"/>
      <c r="Q101" s="56"/>
      <c r="R101" s="155"/>
      <c r="T101" s="175"/>
      <c r="V101" s="144"/>
      <c r="X101" s="144"/>
      <c r="Z101" s="144"/>
      <c r="AB101" s="144"/>
    </row>
    <row r="102" spans="1:28" x14ac:dyDescent="0.25">
      <c r="A102" s="127"/>
      <c r="B102" s="73"/>
      <c r="C102" s="131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Q102" s="156"/>
      <c r="R102" s="155"/>
    </row>
    <row r="103" spans="1:28" ht="15" customHeight="1" x14ac:dyDescent="0.25">
      <c r="A103" s="127">
        <f>A101+1</f>
        <v>61</v>
      </c>
      <c r="B103" s="2"/>
      <c r="C103" s="131" t="s">
        <v>417</v>
      </c>
      <c r="D103" s="22">
        <f ca="1">SUM(F103:L103)</f>
        <v>13187.390277739607</v>
      </c>
      <c r="E103" s="99"/>
      <c r="F103" s="22">
        <f ca="1">SUM(Function!P124,Function!P126:P131)</f>
        <v>0</v>
      </c>
      <c r="G103" s="22"/>
      <c r="H103" s="22">
        <f ca="1">SUM(Function!R124,Function!R126:R131)</f>
        <v>10889.315564516064</v>
      </c>
      <c r="I103" s="22"/>
      <c r="J103" s="22">
        <f ca="1">SUM(Function!T124,Function!T126:T131)</f>
        <v>2298.0747132235433</v>
      </c>
      <c r="K103" s="99"/>
      <c r="L103" s="22">
        <f ca="1">SUM(Function!V124,Function!V126:V131)</f>
        <v>0</v>
      </c>
      <c r="M103" s="99"/>
      <c r="N103" s="99"/>
      <c r="Q103" s="56"/>
      <c r="R103" s="155"/>
      <c r="T103" s="30"/>
      <c r="V103" s="30"/>
      <c r="W103" s="30"/>
      <c r="X103" s="30"/>
      <c r="Y103" s="30"/>
      <c r="Z103" s="30"/>
      <c r="AB103" s="30"/>
    </row>
    <row r="104" spans="1:28" ht="13" x14ac:dyDescent="0.3">
      <c r="A104" s="127">
        <f>A103+1</f>
        <v>62</v>
      </c>
      <c r="B104" s="163" t="s">
        <v>295</v>
      </c>
      <c r="C104" s="86"/>
      <c r="D104" s="18">
        <f ca="1">SUM(F104:L104)</f>
        <v>1</v>
      </c>
      <c r="E104" s="99"/>
      <c r="F104" s="34">
        <f ca="1">IFERROR(F103/$D103,0)</f>
        <v>0</v>
      </c>
      <c r="G104" s="99"/>
      <c r="H104" s="34">
        <f ca="1">IFERROR(H103/$D103,0)</f>
        <v>0.82573696047331624</v>
      </c>
      <c r="I104" s="99"/>
      <c r="J104" s="34">
        <f ca="1">IFERROR(J103/$D103,0)</f>
        <v>0.17426303952668384</v>
      </c>
      <c r="K104" s="99"/>
      <c r="L104" s="34">
        <f ca="1">IFERROR(L103/$D103,0)</f>
        <v>0</v>
      </c>
      <c r="M104" s="99"/>
      <c r="N104" s="99"/>
      <c r="Q104" s="184"/>
      <c r="R104" s="185"/>
      <c r="T104" s="175"/>
      <c r="V104" s="144"/>
      <c r="X104" s="144"/>
      <c r="Z104" s="144"/>
      <c r="AB104" s="144"/>
    </row>
    <row r="105" spans="1:28" ht="13" x14ac:dyDescent="0.3">
      <c r="A105" s="127"/>
      <c r="B105" s="135"/>
      <c r="C105" s="86"/>
      <c r="D105" s="18"/>
      <c r="E105" s="99"/>
      <c r="F105" s="34"/>
      <c r="G105" s="99"/>
      <c r="H105" s="34"/>
      <c r="I105" s="99"/>
      <c r="J105" s="34"/>
      <c r="K105" s="99"/>
      <c r="L105" s="34"/>
      <c r="M105" s="99"/>
      <c r="N105" s="99"/>
      <c r="Q105" s="184"/>
      <c r="R105" s="185"/>
      <c r="T105" s="175"/>
      <c r="V105" s="144"/>
      <c r="X105" s="144"/>
      <c r="Z105" s="144"/>
      <c r="AB105" s="144"/>
    </row>
    <row r="106" spans="1:28" x14ac:dyDescent="0.25">
      <c r="A106" s="127">
        <f>A104+1</f>
        <v>63</v>
      </c>
      <c r="B106" s="2"/>
      <c r="C106" s="131" t="s">
        <v>417</v>
      </c>
      <c r="D106" s="22">
        <f>SUM(F106:L106)</f>
        <v>1</v>
      </c>
      <c r="E106" s="99"/>
      <c r="F106" s="22">
        <v>0</v>
      </c>
      <c r="G106" s="22"/>
      <c r="H106" s="22">
        <v>1</v>
      </c>
      <c r="I106" s="22"/>
      <c r="J106" s="22">
        <v>0</v>
      </c>
      <c r="K106" s="99"/>
      <c r="L106" s="22">
        <v>0</v>
      </c>
      <c r="M106" s="99"/>
      <c r="N106" s="99"/>
      <c r="Q106" s="56"/>
      <c r="R106" s="155"/>
      <c r="T106" s="30"/>
      <c r="V106" s="30"/>
      <c r="W106" s="30"/>
      <c r="X106" s="30"/>
      <c r="Y106" s="30"/>
      <c r="Z106" s="30"/>
      <c r="AB106" s="30"/>
    </row>
    <row r="107" spans="1:28" x14ac:dyDescent="0.25">
      <c r="A107" s="127">
        <f>A106+1</f>
        <v>64</v>
      </c>
      <c r="B107" s="2" t="s">
        <v>28</v>
      </c>
      <c r="C107" s="131"/>
      <c r="D107" s="18">
        <f>SUM(F107:L107)</f>
        <v>1</v>
      </c>
      <c r="E107" s="99"/>
      <c r="F107" s="34">
        <f>IFERROR(F106/$D106,0)</f>
        <v>0</v>
      </c>
      <c r="G107" s="99"/>
      <c r="H107" s="34">
        <f>IFERROR(H106/$D106,0)</f>
        <v>1</v>
      </c>
      <c r="I107" s="99"/>
      <c r="J107" s="34">
        <f>IFERROR(J106/$D106,0)</f>
        <v>0</v>
      </c>
      <c r="K107" s="99"/>
      <c r="L107" s="34">
        <f>IFERROR(L106/$D106,0)</f>
        <v>0</v>
      </c>
      <c r="M107" s="99"/>
      <c r="N107" s="99"/>
      <c r="Q107" s="56"/>
      <c r="R107" s="155"/>
      <c r="T107" s="175"/>
      <c r="V107" s="144"/>
      <c r="X107" s="144"/>
      <c r="Z107" s="144"/>
      <c r="AB107" s="144"/>
    </row>
    <row r="108" spans="1:28" x14ac:dyDescent="0.25">
      <c r="A108" s="127"/>
      <c r="B108" s="73"/>
      <c r="C108" s="131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Q108" s="156"/>
      <c r="R108" s="155"/>
    </row>
    <row r="109" spans="1:28" x14ac:dyDescent="0.25">
      <c r="A109" s="127">
        <f>A107+1</f>
        <v>65</v>
      </c>
      <c r="B109" s="2"/>
      <c r="C109" s="131" t="s">
        <v>416</v>
      </c>
      <c r="D109" s="22">
        <f>SUM(F109:L109)</f>
        <v>667009.05225133034</v>
      </c>
      <c r="E109" s="99"/>
      <c r="F109" s="22">
        <v>0</v>
      </c>
      <c r="G109" s="22"/>
      <c r="H109" s="22">
        <v>83033.542008632023</v>
      </c>
      <c r="I109" s="22"/>
      <c r="J109" s="22">
        <v>211742.30627404284</v>
      </c>
      <c r="K109" s="99"/>
      <c r="L109" s="22">
        <v>372233.20396865549</v>
      </c>
      <c r="M109" s="99"/>
      <c r="N109" s="99"/>
      <c r="Q109" s="56"/>
      <c r="R109" s="155"/>
      <c r="T109" s="30"/>
      <c r="V109" s="30"/>
      <c r="W109" s="30"/>
      <c r="X109" s="30"/>
      <c r="Y109" s="30"/>
      <c r="Z109" s="30"/>
      <c r="AB109" s="30"/>
    </row>
    <row r="110" spans="1:28" x14ac:dyDescent="0.25">
      <c r="A110" s="127">
        <f>A109+1</f>
        <v>66</v>
      </c>
      <c r="B110" s="2" t="s">
        <v>20</v>
      </c>
      <c r="C110" s="131"/>
      <c r="D110" s="18">
        <f>SUM(F110:L110)</f>
        <v>1</v>
      </c>
      <c r="E110" s="99"/>
      <c r="F110" s="34">
        <f>IFERROR(F109/$D109,0)</f>
        <v>0</v>
      </c>
      <c r="G110" s="99"/>
      <c r="H110" s="34">
        <f>IFERROR(H109/$D109,0)</f>
        <v>0.12448637950020627</v>
      </c>
      <c r="I110" s="99"/>
      <c r="J110" s="34">
        <f>IFERROR(J109/$D109,0)</f>
        <v>0.31745042373766452</v>
      </c>
      <c r="K110" s="99"/>
      <c r="L110" s="34">
        <f>IFERROR(L109/$D109,0)</f>
        <v>0.55806319676212923</v>
      </c>
      <c r="M110" s="99"/>
      <c r="N110" s="99"/>
      <c r="Q110" s="56"/>
      <c r="R110" s="155"/>
      <c r="T110" s="175"/>
      <c r="V110" s="144"/>
      <c r="X110" s="144"/>
      <c r="Z110" s="144"/>
      <c r="AB110" s="144"/>
    </row>
    <row r="111" spans="1:28" ht="14.5" x14ac:dyDescent="0.35">
      <c r="A111" s="127"/>
      <c r="B111" s="73"/>
      <c r="C111" s="133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Q111" s="156"/>
      <c r="R111" s="183"/>
    </row>
    <row r="112" spans="1:28" x14ac:dyDescent="0.25">
      <c r="A112" s="127">
        <f>A110+1</f>
        <v>67</v>
      </c>
      <c r="B112" s="2"/>
      <c r="C112" s="131" t="s">
        <v>416</v>
      </c>
      <c r="D112" s="22">
        <f>SUM(F112:L112)</f>
        <v>-213039.49974216911</v>
      </c>
      <c r="E112" s="99"/>
      <c r="F112" s="22">
        <v>0</v>
      </c>
      <c r="G112" s="22"/>
      <c r="H112" s="22">
        <v>-29423.043528013535</v>
      </c>
      <c r="I112" s="22"/>
      <c r="J112" s="22">
        <v>-77607.043173399012</v>
      </c>
      <c r="K112" s="99"/>
      <c r="L112" s="22">
        <v>-106009.41304075658</v>
      </c>
      <c r="M112" s="99"/>
      <c r="N112" s="99"/>
      <c r="Q112" s="56"/>
      <c r="R112" s="155"/>
      <c r="T112" s="30"/>
      <c r="V112" s="30"/>
      <c r="W112" s="30"/>
      <c r="X112" s="30"/>
      <c r="Y112" s="30"/>
      <c r="Z112" s="30"/>
      <c r="AB112" s="30"/>
    </row>
    <row r="113" spans="1:28" x14ac:dyDescent="0.25">
      <c r="A113" s="127">
        <f>A112+1</f>
        <v>68</v>
      </c>
      <c r="B113" s="2" t="s">
        <v>343</v>
      </c>
      <c r="C113" s="131"/>
      <c r="D113" s="18">
        <f>SUM(F113:L113)</f>
        <v>1.0000000000000002</v>
      </c>
      <c r="E113" s="99"/>
      <c r="F113" s="34">
        <f>IFERROR(F112/$D112,0)</f>
        <v>0</v>
      </c>
      <c r="G113" s="99"/>
      <c r="H113" s="34">
        <f>IFERROR(H112/$D112,0)</f>
        <v>0.13811074267270976</v>
      </c>
      <c r="I113" s="99"/>
      <c r="J113" s="34">
        <f>IFERROR(J112/$D112,0)</f>
        <v>0.36428476065388288</v>
      </c>
      <c r="K113" s="99"/>
      <c r="L113" s="34">
        <f>IFERROR(L112/$D112,0)</f>
        <v>0.4976044966734075</v>
      </c>
      <c r="M113" s="99"/>
      <c r="N113" s="99"/>
      <c r="Q113" s="56"/>
      <c r="R113" s="155"/>
      <c r="T113" s="175"/>
      <c r="V113" s="144"/>
      <c r="X113" s="144"/>
      <c r="Z113" s="144"/>
      <c r="AB113" s="144"/>
    </row>
    <row r="114" spans="1:28" ht="14.5" x14ac:dyDescent="0.35">
      <c r="A114" s="127"/>
      <c r="B114" s="73"/>
      <c r="C114" s="133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Q114" s="156"/>
      <c r="R114" s="183"/>
    </row>
    <row r="115" spans="1:28" x14ac:dyDescent="0.25">
      <c r="A115" s="127">
        <f>A113+1</f>
        <v>69</v>
      </c>
      <c r="B115" s="2"/>
      <c r="C115" s="131" t="s">
        <v>417</v>
      </c>
      <c r="D115" s="22">
        <f>SUM(F115:L115)</f>
        <v>1</v>
      </c>
      <c r="E115" s="99"/>
      <c r="F115" s="22">
        <v>0</v>
      </c>
      <c r="G115" s="22"/>
      <c r="H115" s="22">
        <v>0</v>
      </c>
      <c r="I115" s="22"/>
      <c r="J115" s="22">
        <v>1</v>
      </c>
      <c r="K115" s="99"/>
      <c r="L115" s="22">
        <v>0</v>
      </c>
      <c r="M115" s="99"/>
      <c r="N115" s="99"/>
      <c r="Q115" s="56"/>
      <c r="R115" s="155"/>
      <c r="T115" s="30"/>
      <c r="V115" s="30"/>
      <c r="W115" s="30"/>
      <c r="X115" s="30"/>
      <c r="Y115" s="30"/>
      <c r="Z115" s="30"/>
      <c r="AB115" s="30"/>
    </row>
    <row r="116" spans="1:28" x14ac:dyDescent="0.25">
      <c r="A116" s="127">
        <f>A115+1</f>
        <v>70</v>
      </c>
      <c r="B116" s="2" t="s">
        <v>73</v>
      </c>
      <c r="C116" s="131"/>
      <c r="D116" s="18">
        <f>SUM(F116:L116)</f>
        <v>1</v>
      </c>
      <c r="E116" s="99"/>
      <c r="F116" s="34">
        <f>IFERROR(F115/$D115,0)</f>
        <v>0</v>
      </c>
      <c r="G116" s="99"/>
      <c r="H116" s="34">
        <f>IFERROR(H115/$D115,0)</f>
        <v>0</v>
      </c>
      <c r="I116" s="99"/>
      <c r="J116" s="34">
        <f>IFERROR(J115/$D115,0)</f>
        <v>1</v>
      </c>
      <c r="K116" s="99"/>
      <c r="L116" s="34">
        <f>IFERROR(L115/$D115,0)</f>
        <v>0</v>
      </c>
      <c r="M116" s="99"/>
      <c r="N116" s="99"/>
      <c r="Q116" s="56"/>
      <c r="R116" s="155"/>
      <c r="T116" s="175"/>
      <c r="V116" s="144"/>
      <c r="X116" s="144"/>
      <c r="Z116" s="144"/>
      <c r="AB116" s="144"/>
    </row>
    <row r="117" spans="1:28" x14ac:dyDescent="0.25">
      <c r="A117" s="127"/>
      <c r="B117" s="2"/>
      <c r="C117" s="131"/>
      <c r="D117" s="18"/>
      <c r="E117" s="99"/>
      <c r="F117" s="34"/>
      <c r="G117" s="99"/>
      <c r="H117" s="34"/>
      <c r="I117" s="99"/>
      <c r="J117" s="34"/>
      <c r="K117" s="99"/>
      <c r="L117" s="34"/>
      <c r="M117" s="99"/>
      <c r="N117" s="99"/>
      <c r="Q117" s="56"/>
      <c r="R117" s="155"/>
      <c r="T117" s="175"/>
      <c r="V117" s="144"/>
      <c r="X117" s="144"/>
      <c r="Z117" s="144"/>
      <c r="AB117" s="144"/>
    </row>
    <row r="118" spans="1:28" x14ac:dyDescent="0.25">
      <c r="A118" s="127">
        <f>A116+1</f>
        <v>71</v>
      </c>
      <c r="B118" s="2"/>
      <c r="C118" s="131" t="s">
        <v>416</v>
      </c>
      <c r="D118" s="22">
        <f>SUM(F118:L118)</f>
        <v>56099.879742018238</v>
      </c>
      <c r="E118" s="99"/>
      <c r="F118" s="22">
        <v>0</v>
      </c>
      <c r="G118" s="22"/>
      <c r="H118" s="22">
        <v>12127.286792026953</v>
      </c>
      <c r="I118" s="22"/>
      <c r="J118" s="22">
        <v>17163.793884536266</v>
      </c>
      <c r="K118" s="99"/>
      <c r="L118" s="22">
        <v>26808.799065455016</v>
      </c>
      <c r="N118" s="99"/>
      <c r="Q118" s="56"/>
      <c r="R118" s="155"/>
      <c r="T118" s="30"/>
      <c r="V118" s="30"/>
      <c r="W118" s="30"/>
      <c r="X118" s="30"/>
      <c r="Y118" s="30"/>
      <c r="Z118" s="30"/>
      <c r="AB118" s="30"/>
    </row>
    <row r="119" spans="1:28" x14ac:dyDescent="0.25">
      <c r="A119" s="127">
        <f>A118+1</f>
        <v>72</v>
      </c>
      <c r="B119" s="2" t="s">
        <v>130</v>
      </c>
      <c r="C119" s="131"/>
      <c r="D119" s="18">
        <f>SUM(F119:L119)</f>
        <v>0.99999999999999989</v>
      </c>
      <c r="E119" s="99"/>
      <c r="F119" s="34">
        <f>IFERROR(F118/$D118,0)</f>
        <v>0</v>
      </c>
      <c r="G119" s="99"/>
      <c r="H119" s="34">
        <f>IFERROR(H118/$D118,0)</f>
        <v>0.21617313348612652</v>
      </c>
      <c r="I119" s="99"/>
      <c r="J119" s="34">
        <f>IFERROR(J118/$D118,0)</f>
        <v>0.30595063596332023</v>
      </c>
      <c r="K119" s="99"/>
      <c r="L119" s="34">
        <f>IFERROR(L118/$D118,0)</f>
        <v>0.47787623055055317</v>
      </c>
      <c r="N119" s="99"/>
      <c r="Q119" s="56"/>
      <c r="R119" s="155"/>
      <c r="T119" s="175"/>
      <c r="V119" s="144"/>
      <c r="X119" s="144"/>
      <c r="Z119" s="144"/>
      <c r="AB119" s="144"/>
    </row>
    <row r="120" spans="1:28" x14ac:dyDescent="0.25"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Q120" s="156"/>
      <c r="R120" s="155"/>
    </row>
    <row r="121" spans="1:28" x14ac:dyDescent="0.25">
      <c r="B121" s="99"/>
      <c r="C121" s="99"/>
      <c r="D121" s="18"/>
      <c r="E121" s="99"/>
      <c r="F121" s="34"/>
      <c r="G121" s="99"/>
      <c r="H121" s="34"/>
      <c r="I121" s="99"/>
      <c r="J121" s="34"/>
      <c r="K121" s="99"/>
      <c r="L121" s="34"/>
      <c r="M121" s="99"/>
      <c r="Q121" s="56"/>
      <c r="R121" s="155"/>
      <c r="T121" s="175"/>
      <c r="V121" s="144"/>
      <c r="X121" s="144"/>
      <c r="Z121" s="144"/>
      <c r="AB121" s="144"/>
    </row>
    <row r="122" spans="1:28" x14ac:dyDescent="0.25">
      <c r="B122" s="99"/>
      <c r="C122" s="99"/>
      <c r="D122" s="99"/>
      <c r="E122" s="99"/>
      <c r="F122" s="22"/>
      <c r="G122" s="99"/>
      <c r="H122" s="99"/>
      <c r="I122" s="99"/>
      <c r="J122" s="99"/>
      <c r="K122" s="99"/>
      <c r="L122" s="99"/>
      <c r="M122" s="99"/>
      <c r="V122" s="30"/>
    </row>
    <row r="123" spans="1:28" x14ac:dyDescent="0.25"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Q123" s="84"/>
    </row>
    <row r="124" spans="1:28" x14ac:dyDescent="0.25"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Q124" s="84"/>
    </row>
    <row r="125" spans="1:28" x14ac:dyDescent="0.25"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</row>
    <row r="126" spans="1:28" x14ac:dyDescent="0.25">
      <c r="A126" s="138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99"/>
    </row>
    <row r="127" spans="1:28" x14ac:dyDescent="0.25">
      <c r="A127" s="138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</row>
    <row r="128" spans="1:28" x14ac:dyDescent="0.25">
      <c r="A128" s="138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</row>
    <row r="129" spans="1:14" x14ac:dyDescent="0.25">
      <c r="A129" s="138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</row>
    <row r="130" spans="1:14" x14ac:dyDescent="0.25">
      <c r="A130" s="139"/>
      <c r="B130" s="41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</row>
    <row r="131" spans="1:14" ht="13" x14ac:dyDescent="0.3">
      <c r="A131" s="139"/>
      <c r="B131" s="140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</row>
    <row r="132" spans="1:14" x14ac:dyDescent="0.25">
      <c r="A132" s="141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N132" s="73"/>
    </row>
    <row r="133" spans="1:14" x14ac:dyDescent="0.25">
      <c r="A133" s="139"/>
      <c r="B133" s="41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</row>
    <row r="134" spans="1:14" ht="13" x14ac:dyDescent="0.3">
      <c r="A134" s="139"/>
      <c r="B134" s="140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99"/>
    </row>
    <row r="135" spans="1:14" x14ac:dyDescent="0.25">
      <c r="A135" s="141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99"/>
    </row>
    <row r="136" spans="1:14" x14ac:dyDescent="0.25">
      <c r="A136" s="139"/>
      <c r="B136" s="41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99"/>
    </row>
    <row r="137" spans="1:14" ht="14.5" x14ac:dyDescent="0.35">
      <c r="A137" s="139"/>
      <c r="B137" s="140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/>
    </row>
    <row r="138" spans="1:14" ht="14.5" x14ac:dyDescent="0.35">
      <c r="A138" s="142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/>
    </row>
    <row r="139" spans="1:14" ht="14.5" x14ac:dyDescent="0.35">
      <c r="A139" s="139"/>
      <c r="B139" s="41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/>
    </row>
    <row r="140" spans="1:14" ht="14.5" x14ac:dyDescent="0.35">
      <c r="A140" s="139"/>
      <c r="B140" s="140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/>
    </row>
    <row r="141" spans="1:14" ht="14.5" x14ac:dyDescent="0.35">
      <c r="A141" s="141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/>
    </row>
    <row r="142" spans="1:14" ht="14.5" x14ac:dyDescent="0.35">
      <c r="A142" s="139"/>
      <c r="B142" s="41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/>
    </row>
    <row r="143" spans="1:14" ht="14.5" x14ac:dyDescent="0.35">
      <c r="A143" s="139"/>
      <c r="B143" s="140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/>
    </row>
    <row r="144" spans="1:14" ht="14.5" x14ac:dyDescent="0.35">
      <c r="A144" s="141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/>
    </row>
    <row r="145" spans="1:13" x14ac:dyDescent="0.25">
      <c r="A145" s="139"/>
      <c r="B145" s="41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</row>
    <row r="146" spans="1:13" ht="13" x14ac:dyDescent="0.3">
      <c r="A146" s="139"/>
      <c r="B146" s="140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99"/>
    </row>
    <row r="147" spans="1:13" x14ac:dyDescent="0.25">
      <c r="A147" s="141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99"/>
    </row>
    <row r="148" spans="1:13" x14ac:dyDescent="0.25">
      <c r="A148" s="139"/>
      <c r="B148" s="41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99"/>
    </row>
    <row r="149" spans="1:13" ht="13" x14ac:dyDescent="0.3">
      <c r="A149" s="139"/>
      <c r="B149" s="140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</row>
    <row r="150" spans="1:13" x14ac:dyDescent="0.25">
      <c r="A150" s="141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</row>
    <row r="151" spans="1:13" x14ac:dyDescent="0.25">
      <c r="A151" s="139"/>
      <c r="B151" s="41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</row>
    <row r="152" spans="1:13" ht="13" x14ac:dyDescent="0.3">
      <c r="A152" s="139"/>
      <c r="B152" s="140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</row>
    <row r="153" spans="1:13" ht="14.5" x14ac:dyDescent="0.35">
      <c r="A153" s="142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</row>
    <row r="154" spans="1:13" x14ac:dyDescent="0.25">
      <c r="A154" s="139"/>
      <c r="B154" s="41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</row>
    <row r="155" spans="1:13" ht="13" x14ac:dyDescent="0.3">
      <c r="A155" s="139"/>
      <c r="B155" s="140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99"/>
    </row>
    <row r="156" spans="1:13" x14ac:dyDescent="0.25">
      <c r="A156" s="141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99"/>
    </row>
    <row r="157" spans="1:13" x14ac:dyDescent="0.25">
      <c r="A157" s="139"/>
      <c r="B157" s="41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99"/>
    </row>
    <row r="158" spans="1:13" ht="13" x14ac:dyDescent="0.3">
      <c r="A158" s="139"/>
      <c r="B158" s="140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</row>
    <row r="159" spans="1:13" x14ac:dyDescent="0.25">
      <c r="A159" s="141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</row>
    <row r="160" spans="1:13" x14ac:dyDescent="0.25">
      <c r="A160" s="139"/>
      <c r="B160" s="41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</row>
    <row r="161" spans="1:12" ht="13" x14ac:dyDescent="0.3">
      <c r="A161" s="139"/>
      <c r="B161" s="140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</row>
    <row r="162" spans="1:12" x14ac:dyDescent="0.25">
      <c r="A162" s="141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</row>
    <row r="163" spans="1:12" x14ac:dyDescent="0.25">
      <c r="A163" s="139"/>
      <c r="B163" s="41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</row>
    <row r="164" spans="1:12" ht="13" x14ac:dyDescent="0.3">
      <c r="A164" s="139"/>
      <c r="B164" s="140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</row>
    <row r="165" spans="1:12" ht="14.5" x14ac:dyDescent="0.35">
      <c r="A165" s="142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</row>
    <row r="166" spans="1:12" x14ac:dyDescent="0.25">
      <c r="A166" s="139"/>
      <c r="B166" s="41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</row>
    <row r="167" spans="1:12" ht="13" x14ac:dyDescent="0.3">
      <c r="A167" s="139"/>
      <c r="B167" s="140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</row>
    <row r="168" spans="1:12" x14ac:dyDescent="0.25">
      <c r="A168" s="141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</row>
    <row r="169" spans="1:12" x14ac:dyDescent="0.25">
      <c r="A169" s="139"/>
      <c r="B169" s="41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</row>
    <row r="170" spans="1:12" ht="13" x14ac:dyDescent="0.3">
      <c r="A170" s="139"/>
      <c r="B170" s="140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</row>
    <row r="171" spans="1:12" x14ac:dyDescent="0.25">
      <c r="A171" s="141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</row>
    <row r="172" spans="1:12" x14ac:dyDescent="0.25">
      <c r="A172" s="139"/>
      <c r="B172" s="41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</row>
    <row r="173" spans="1:12" ht="13" x14ac:dyDescent="0.3">
      <c r="A173" s="139"/>
      <c r="B173" s="140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</row>
    <row r="174" spans="1:12" x14ac:dyDescent="0.25">
      <c r="A174" s="141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</row>
    <row r="175" spans="1:12" x14ac:dyDescent="0.25">
      <c r="A175" s="139"/>
      <c r="B175" s="41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</row>
    <row r="176" spans="1:12" ht="13" x14ac:dyDescent="0.3">
      <c r="A176" s="139"/>
      <c r="B176" s="140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</row>
    <row r="177" spans="1:12" x14ac:dyDescent="0.25">
      <c r="A177" s="141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</row>
    <row r="178" spans="1:12" x14ac:dyDescent="0.25">
      <c r="A178" s="139"/>
      <c r="B178" s="41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</row>
    <row r="179" spans="1:12" ht="13" x14ac:dyDescent="0.3">
      <c r="A179" s="139"/>
      <c r="B179" s="140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</row>
    <row r="180" spans="1:12" ht="14.5" x14ac:dyDescent="0.35">
      <c r="A180" s="142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</row>
    <row r="181" spans="1:12" x14ac:dyDescent="0.25">
      <c r="A181" s="139"/>
      <c r="B181" s="41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</row>
    <row r="182" spans="1:12" ht="13" x14ac:dyDescent="0.3">
      <c r="A182" s="139"/>
      <c r="B182" s="140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</row>
    <row r="183" spans="1:12" x14ac:dyDescent="0.25">
      <c r="A183" s="141"/>
      <c r="B183" s="109"/>
      <c r="C183" s="109"/>
      <c r="D183" s="143"/>
      <c r="E183" s="109"/>
      <c r="F183" s="144"/>
      <c r="G183" s="109"/>
      <c r="H183" s="144"/>
      <c r="I183" s="109"/>
      <c r="J183" s="144"/>
      <c r="K183" s="109"/>
      <c r="L183" s="144"/>
    </row>
    <row r="184" spans="1:12" x14ac:dyDescent="0.25">
      <c r="A184" s="139"/>
      <c r="B184" s="41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</row>
    <row r="185" spans="1:12" ht="13" x14ac:dyDescent="0.3">
      <c r="A185" s="139"/>
      <c r="B185" s="140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</row>
    <row r="186" spans="1:12" x14ac:dyDescent="0.25">
      <c r="A186" s="141"/>
      <c r="B186" s="109"/>
      <c r="C186" s="109"/>
      <c r="D186" s="143"/>
      <c r="E186" s="109"/>
      <c r="F186" s="144"/>
      <c r="G186" s="109"/>
      <c r="H186" s="144"/>
      <c r="I186" s="109"/>
      <c r="J186" s="144"/>
      <c r="K186" s="109"/>
      <c r="L186" s="144"/>
    </row>
    <row r="187" spans="1:12" x14ac:dyDescent="0.25">
      <c r="A187" s="139"/>
      <c r="B187" s="41"/>
      <c r="C187" s="51"/>
      <c r="D187" s="109"/>
      <c r="E187" s="109"/>
      <c r="F187" s="109"/>
      <c r="G187" s="109"/>
      <c r="H187" s="109"/>
      <c r="I187" s="109"/>
      <c r="J187" s="109"/>
      <c r="K187" s="109"/>
      <c r="L187" s="109"/>
    </row>
    <row r="188" spans="1:12" ht="13" x14ac:dyDescent="0.3">
      <c r="A188" s="139"/>
      <c r="B188" s="140"/>
      <c r="C188" s="143"/>
      <c r="D188" s="109"/>
      <c r="E188" s="109"/>
      <c r="F188" s="109"/>
      <c r="G188" s="109"/>
      <c r="H188" s="109"/>
      <c r="I188" s="109"/>
      <c r="J188" s="109"/>
      <c r="K188" s="109"/>
      <c r="L188" s="109"/>
    </row>
    <row r="189" spans="1:12" ht="14.5" x14ac:dyDescent="0.35">
      <c r="A189" s="142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</row>
    <row r="190" spans="1:12" x14ac:dyDescent="0.25">
      <c r="A190" s="139"/>
      <c r="B190" s="41"/>
      <c r="C190" s="51"/>
      <c r="D190" s="109"/>
      <c r="E190" s="109"/>
      <c r="F190" s="109"/>
      <c r="G190" s="109"/>
      <c r="H190" s="109"/>
      <c r="I190" s="109"/>
      <c r="J190" s="109"/>
      <c r="K190" s="109"/>
      <c r="L190" s="109"/>
    </row>
    <row r="191" spans="1:12" ht="13" x14ac:dyDescent="0.3">
      <c r="A191" s="139"/>
      <c r="B191" s="140"/>
      <c r="C191" s="143"/>
      <c r="D191" s="109"/>
      <c r="E191" s="109"/>
      <c r="F191" s="109"/>
      <c r="G191" s="109"/>
      <c r="H191" s="109"/>
      <c r="I191" s="109"/>
      <c r="J191" s="109"/>
      <c r="K191" s="109"/>
      <c r="L191" s="109"/>
    </row>
    <row r="192" spans="1:12" ht="14.5" x14ac:dyDescent="0.35">
      <c r="A192" s="142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</row>
    <row r="193" spans="1:12" x14ac:dyDescent="0.25">
      <c r="A193" s="139"/>
      <c r="B193" s="41"/>
      <c r="C193" s="51"/>
      <c r="D193" s="109"/>
      <c r="E193" s="109"/>
      <c r="F193" s="109"/>
      <c r="G193" s="109"/>
      <c r="H193" s="109"/>
      <c r="I193" s="109"/>
      <c r="J193" s="109"/>
      <c r="K193" s="109"/>
      <c r="L193" s="109"/>
    </row>
    <row r="194" spans="1:12" ht="13" x14ac:dyDescent="0.3">
      <c r="A194" s="139"/>
      <c r="B194" s="140"/>
      <c r="C194" s="143"/>
      <c r="D194" s="109"/>
      <c r="E194" s="109"/>
      <c r="F194" s="109"/>
      <c r="G194" s="109"/>
      <c r="H194" s="109"/>
      <c r="I194" s="109"/>
      <c r="J194" s="109"/>
      <c r="K194" s="109"/>
      <c r="L194" s="109"/>
    </row>
    <row r="195" spans="1:12" x14ac:dyDescent="0.25">
      <c r="A195" s="141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</row>
    <row r="196" spans="1:12" x14ac:dyDescent="0.25">
      <c r="A196" s="139"/>
      <c r="B196" s="41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</row>
    <row r="197" spans="1:12" ht="13" x14ac:dyDescent="0.3">
      <c r="A197" s="139"/>
      <c r="B197" s="140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</row>
    <row r="198" spans="1:12" x14ac:dyDescent="0.25">
      <c r="A198" s="141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</row>
    <row r="199" spans="1:12" x14ac:dyDescent="0.25">
      <c r="A199" s="139"/>
      <c r="B199" s="41"/>
      <c r="C199" s="51"/>
      <c r="D199" s="109"/>
      <c r="E199" s="109"/>
      <c r="F199" s="109"/>
      <c r="G199" s="109"/>
      <c r="H199" s="109"/>
      <c r="I199" s="109"/>
      <c r="J199" s="109"/>
      <c r="K199" s="109"/>
      <c r="L199" s="109"/>
    </row>
    <row r="200" spans="1:12" ht="13" x14ac:dyDescent="0.3">
      <c r="A200" s="139"/>
      <c r="B200" s="140"/>
      <c r="C200" s="143"/>
      <c r="D200" s="109"/>
      <c r="E200" s="109"/>
      <c r="F200" s="109"/>
      <c r="G200" s="109"/>
      <c r="H200" s="109"/>
      <c r="I200" s="109"/>
      <c r="J200" s="109"/>
      <c r="K200" s="109"/>
      <c r="L200" s="109"/>
    </row>
    <row r="201" spans="1:12" x14ac:dyDescent="0.25">
      <c r="A201" s="138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</row>
    <row r="202" spans="1:12" x14ac:dyDescent="0.25">
      <c r="A202" s="139"/>
      <c r="B202" s="41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</row>
    <row r="203" spans="1:12" ht="13" x14ac:dyDescent="0.3">
      <c r="A203" s="139"/>
      <c r="B203" s="140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</row>
    <row r="204" spans="1:12" x14ac:dyDescent="0.25">
      <c r="A204" s="138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</row>
    <row r="205" spans="1:12" x14ac:dyDescent="0.25">
      <c r="A205" s="139"/>
      <c r="B205" s="41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</row>
    <row r="206" spans="1:12" ht="13" x14ac:dyDescent="0.3">
      <c r="A206" s="139"/>
      <c r="B206" s="140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</row>
    <row r="207" spans="1:12" x14ac:dyDescent="0.25">
      <c r="A207" s="138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</row>
    <row r="208" spans="1:12" x14ac:dyDescent="0.25">
      <c r="A208" s="43"/>
      <c r="B208" s="41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</row>
    <row r="209" spans="1:12" ht="13" x14ac:dyDescent="0.3">
      <c r="A209" s="43"/>
      <c r="B209" s="140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</row>
    <row r="210" spans="1:12" x14ac:dyDescent="0.25">
      <c r="A210" s="146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</row>
    <row r="211" spans="1:12" x14ac:dyDescent="0.25">
      <c r="A211" s="43"/>
      <c r="B211" s="41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</row>
    <row r="212" spans="1:12" ht="13" x14ac:dyDescent="0.3">
      <c r="A212" s="43"/>
      <c r="B212" s="140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</row>
    <row r="213" spans="1:12" x14ac:dyDescent="0.25">
      <c r="A213" s="146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</row>
    <row r="214" spans="1:12" x14ac:dyDescent="0.25">
      <c r="A214" s="43"/>
      <c r="B214" s="41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</row>
    <row r="215" spans="1:12" ht="13" x14ac:dyDescent="0.3">
      <c r="A215" s="43"/>
      <c r="B215" s="140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</row>
    <row r="216" spans="1:12" x14ac:dyDescent="0.25">
      <c r="A216" s="146"/>
      <c r="B216" s="41"/>
      <c r="C216" s="109"/>
      <c r="D216" s="143"/>
      <c r="E216" s="109"/>
      <c r="F216" s="144"/>
      <c r="G216" s="109"/>
      <c r="H216" s="144"/>
      <c r="I216" s="109"/>
      <c r="J216" s="144"/>
      <c r="K216" s="109"/>
      <c r="L216" s="144"/>
    </row>
    <row r="217" spans="1:12" x14ac:dyDescent="0.25">
      <c r="A217" s="43"/>
      <c r="B217" s="41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</row>
    <row r="218" spans="1:12" ht="13" x14ac:dyDescent="0.3">
      <c r="A218" s="43"/>
      <c r="B218" s="140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</row>
    <row r="219" spans="1:12" x14ac:dyDescent="0.25">
      <c r="A219" s="138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</row>
    <row r="220" spans="1:12" x14ac:dyDescent="0.25">
      <c r="A220" s="42"/>
      <c r="B220" s="41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</row>
    <row r="221" spans="1:12" ht="13" x14ac:dyDescent="0.3">
      <c r="A221" s="42"/>
      <c r="B221" s="140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</row>
    <row r="222" spans="1:12" x14ac:dyDescent="0.25">
      <c r="A222" s="141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</row>
    <row r="223" spans="1:12" x14ac:dyDescent="0.25">
      <c r="A223" s="42"/>
      <c r="B223" s="41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</row>
    <row r="224" spans="1:12" ht="13" x14ac:dyDescent="0.3">
      <c r="A224" s="42"/>
      <c r="B224" s="140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</row>
    <row r="225" spans="1:12" x14ac:dyDescent="0.25">
      <c r="A225" s="141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</row>
    <row r="226" spans="1:12" x14ac:dyDescent="0.25">
      <c r="A226" s="42"/>
      <c r="B226" s="41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</row>
    <row r="227" spans="1:12" ht="13" x14ac:dyDescent="0.3">
      <c r="A227" s="42"/>
      <c r="B227" s="140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</row>
    <row r="228" spans="1:12" x14ac:dyDescent="0.25">
      <c r="A228" s="141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</row>
    <row r="229" spans="1:12" x14ac:dyDescent="0.25">
      <c r="A229" s="42"/>
      <c r="B229" s="41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</row>
    <row r="230" spans="1:12" ht="13" x14ac:dyDescent="0.3">
      <c r="A230" s="42"/>
      <c r="B230" s="140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</row>
    <row r="231" spans="1:12" x14ac:dyDescent="0.25">
      <c r="A231" s="141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</row>
    <row r="232" spans="1:12" x14ac:dyDescent="0.25">
      <c r="A232" s="42"/>
      <c r="B232" s="41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</row>
    <row r="233" spans="1:12" ht="13" x14ac:dyDescent="0.3">
      <c r="A233" s="42"/>
      <c r="B233" s="140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</row>
    <row r="234" spans="1:12" x14ac:dyDescent="0.25">
      <c r="A234" s="141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</row>
    <row r="235" spans="1:12" x14ac:dyDescent="0.25">
      <c r="A235" s="42"/>
      <c r="B235" s="41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</row>
    <row r="236" spans="1:12" ht="13" x14ac:dyDescent="0.3">
      <c r="A236" s="42"/>
      <c r="B236" s="140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</row>
    <row r="237" spans="1:12" x14ac:dyDescent="0.25">
      <c r="A237" s="138"/>
      <c r="B237" s="109"/>
      <c r="C237" s="109"/>
      <c r="D237" s="109"/>
      <c r="E237" s="109"/>
      <c r="F237" s="30"/>
      <c r="G237" s="109"/>
      <c r="H237" s="109"/>
      <c r="I237" s="109"/>
      <c r="J237" s="109"/>
      <c r="K237" s="109"/>
      <c r="L237" s="109"/>
    </row>
    <row r="238" spans="1:12" x14ac:dyDescent="0.25">
      <c r="A238" s="1"/>
    </row>
    <row r="239" spans="1:12" x14ac:dyDescent="0.25">
      <c r="A239" s="1"/>
    </row>
  </sheetData>
  <mergeCells count="2">
    <mergeCell ref="B6:M6"/>
    <mergeCell ref="B7:M7"/>
  </mergeCells>
  <pageMargins left="0.7" right="0.7" top="0.75" bottom="0.75" header="0.3" footer="0.3"/>
  <pageSetup scale="55" fitToHeight="3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</sheetPr>
  <dimension ref="A5:AK192"/>
  <sheetViews>
    <sheetView view="pageLayout" topLeftCell="A4" zoomScaleNormal="80" workbookViewId="0">
      <selection activeCell="B4" sqref="B4"/>
    </sheetView>
  </sheetViews>
  <sheetFormatPr defaultColWidth="9.1796875" defaultRowHeight="12.5" x14ac:dyDescent="0.25"/>
  <cols>
    <col min="1" max="1" width="1.7265625" style="1" customWidth="1"/>
    <col min="2" max="2" width="5.54296875" style="163" bestFit="1" customWidth="1"/>
    <col min="3" max="3" width="1.7265625" style="1" customWidth="1"/>
    <col min="4" max="4" width="46" style="99" bestFit="1" customWidth="1"/>
    <col min="5" max="5" width="1.7265625" style="1" customWidth="1"/>
    <col min="6" max="6" width="19.7265625" style="94" customWidth="1"/>
    <col min="7" max="7" width="1.7265625" style="94" customWidth="1"/>
    <col min="8" max="8" width="13.1796875" style="94" customWidth="1"/>
    <col min="9" max="9" width="1.7265625" style="94" customWidth="1"/>
    <col min="10" max="10" width="19.26953125" style="94" customWidth="1"/>
    <col min="11" max="11" width="1.7265625" style="94" customWidth="1"/>
    <col min="12" max="12" width="13.26953125" style="94" customWidth="1"/>
    <col min="13" max="13" width="1.7265625" style="94" customWidth="1"/>
    <col min="14" max="14" width="19.81640625" style="94" customWidth="1"/>
    <col min="15" max="15" width="1.7265625" style="187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99" customWidth="1"/>
    <col min="20" max="20" width="15.453125" style="99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hidden="1" customWidth="1"/>
    <col min="29" max="29" width="9.1796875" style="1"/>
    <col min="30" max="30" width="0" style="1" hidden="1" customWidth="1"/>
    <col min="31" max="16384" width="9.1796875" style="1"/>
  </cols>
  <sheetData>
    <row r="5" spans="2:37" ht="15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</row>
    <row r="6" spans="2:37" ht="15" customHeight="1" x14ac:dyDescent="0.25">
      <c r="B6" s="264" t="s">
        <v>412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</row>
    <row r="7" spans="2:37" ht="15" customHeight="1" x14ac:dyDescent="0.25">
      <c r="B7" s="263" t="s">
        <v>450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10" spans="2:37" x14ac:dyDescent="0.25">
      <c r="H10" s="91" t="s">
        <v>11</v>
      </c>
      <c r="J10" s="91" t="s">
        <v>153</v>
      </c>
      <c r="L10" s="91" t="s">
        <v>160</v>
      </c>
      <c r="N10" s="91" t="s">
        <v>7</v>
      </c>
      <c r="O10" s="188"/>
      <c r="P10" s="39"/>
      <c r="Q10" s="39"/>
      <c r="R10" s="39"/>
      <c r="S10" s="39"/>
      <c r="T10" s="39"/>
      <c r="U10" s="39"/>
      <c r="V10" s="39"/>
      <c r="W10" s="40"/>
      <c r="X10" s="24"/>
      <c r="Y10" s="24"/>
      <c r="Z10" s="24"/>
      <c r="AA10" s="24"/>
      <c r="AB10" s="24"/>
      <c r="AC10" s="24"/>
      <c r="AE10" s="24"/>
      <c r="AF10" s="24"/>
      <c r="AG10" s="24"/>
      <c r="AH10" s="24"/>
      <c r="AI10" s="24"/>
      <c r="AJ10" s="24"/>
      <c r="AK10" s="24"/>
    </row>
    <row r="11" spans="2:37" x14ac:dyDescent="0.25">
      <c r="B11" s="163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91" t="s">
        <v>164</v>
      </c>
      <c r="O11" s="188"/>
      <c r="P11" s="41" t="s">
        <v>7</v>
      </c>
      <c r="Q11" s="41"/>
      <c r="R11" s="42" t="s">
        <v>139</v>
      </c>
      <c r="S11" s="42"/>
      <c r="T11" s="42" t="s">
        <v>139</v>
      </c>
      <c r="U11" s="43"/>
      <c r="V11" s="42" t="s">
        <v>136</v>
      </c>
      <c r="W11" s="40"/>
      <c r="X11" s="28" t="s">
        <v>136</v>
      </c>
      <c r="Y11" s="28"/>
      <c r="Z11" s="28"/>
      <c r="AA11" s="24"/>
      <c r="AB11" s="24"/>
      <c r="AC11" s="24"/>
      <c r="AE11" s="24"/>
      <c r="AF11" s="24"/>
      <c r="AG11" s="24"/>
      <c r="AH11" s="24"/>
      <c r="AI11" s="24"/>
      <c r="AJ11" s="24"/>
      <c r="AK11" s="24"/>
    </row>
    <row r="12" spans="2:37" ht="13" x14ac:dyDescent="0.3">
      <c r="B12" s="164" t="s">
        <v>4</v>
      </c>
      <c r="D12" s="5" t="s">
        <v>449</v>
      </c>
      <c r="F12" s="202" t="s">
        <v>5</v>
      </c>
      <c r="H12" s="202" t="s">
        <v>154</v>
      </c>
      <c r="J12" s="202" t="s">
        <v>6</v>
      </c>
      <c r="L12" s="202" t="s">
        <v>366</v>
      </c>
      <c r="N12" s="202" t="s">
        <v>6</v>
      </c>
      <c r="O12" s="191" t="s">
        <v>286</v>
      </c>
      <c r="P12" s="38" t="s">
        <v>49</v>
      </c>
      <c r="Q12" s="28"/>
      <c r="R12" s="38" t="s">
        <v>320</v>
      </c>
      <c r="S12" s="41"/>
      <c r="T12" s="104" t="s">
        <v>49</v>
      </c>
      <c r="U12" s="28"/>
      <c r="V12" s="38" t="s">
        <v>137</v>
      </c>
      <c r="W12" s="28"/>
      <c r="X12" s="38" t="s">
        <v>49</v>
      </c>
      <c r="Y12" s="41"/>
      <c r="Z12" s="38" t="s">
        <v>158</v>
      </c>
      <c r="AA12" s="24"/>
      <c r="AB12" s="38" t="s">
        <v>11</v>
      </c>
      <c r="AC12" s="24"/>
      <c r="AD12" s="36" t="s">
        <v>107</v>
      </c>
      <c r="AE12" s="44"/>
      <c r="AF12" s="24"/>
      <c r="AG12" s="24"/>
      <c r="AH12" s="24"/>
      <c r="AI12" s="24"/>
      <c r="AJ12" s="24"/>
      <c r="AK12" s="24"/>
    </row>
    <row r="13" spans="2:37" x14ac:dyDescent="0.25">
      <c r="F13" s="91" t="s">
        <v>12</v>
      </c>
      <c r="H13" s="91" t="s">
        <v>13</v>
      </c>
      <c r="J13" s="91" t="s">
        <v>14</v>
      </c>
      <c r="L13" s="91" t="s">
        <v>170</v>
      </c>
      <c r="N13" s="91" t="s">
        <v>15</v>
      </c>
      <c r="O13" s="192"/>
      <c r="P13" s="28" t="s">
        <v>16</v>
      </c>
      <c r="Q13" s="28"/>
      <c r="R13" s="28" t="s">
        <v>59</v>
      </c>
      <c r="S13" s="28"/>
      <c r="T13" s="28" t="s">
        <v>61</v>
      </c>
      <c r="U13" s="28"/>
      <c r="V13" s="28" t="s">
        <v>62</v>
      </c>
      <c r="W13" s="41"/>
      <c r="X13" s="28" t="s">
        <v>105</v>
      </c>
      <c r="Y13" s="41"/>
      <c r="Z13" s="28" t="s">
        <v>166</v>
      </c>
      <c r="AA13" s="24"/>
      <c r="AB13" s="28" t="s">
        <v>319</v>
      </c>
      <c r="AC13" s="24"/>
      <c r="AD13" s="37"/>
      <c r="AE13" s="24"/>
      <c r="AF13" s="24"/>
      <c r="AG13" s="24"/>
      <c r="AH13" s="24"/>
      <c r="AI13" s="24"/>
      <c r="AJ13" s="24"/>
      <c r="AK13" s="24"/>
    </row>
    <row r="14" spans="2:37" s="187" customFormat="1" x14ac:dyDescent="0.25">
      <c r="B14" s="186"/>
      <c r="F14" s="94"/>
      <c r="G14" s="94"/>
      <c r="H14" s="94"/>
      <c r="I14" s="94"/>
      <c r="J14" s="94"/>
      <c r="K14" s="94"/>
      <c r="L14" s="94"/>
      <c r="M14" s="94"/>
      <c r="N14" s="94"/>
      <c r="O14" s="188"/>
      <c r="P14" s="188">
        <v>4</v>
      </c>
      <c r="Q14" s="188"/>
      <c r="R14" s="188">
        <v>6</v>
      </c>
      <c r="S14" s="188"/>
      <c r="T14" s="188">
        <v>8</v>
      </c>
      <c r="U14" s="188"/>
      <c r="V14" s="188">
        <v>10</v>
      </c>
      <c r="W14" s="188"/>
      <c r="X14" s="188">
        <v>12</v>
      </c>
      <c r="Y14" s="191"/>
      <c r="Z14" s="188">
        <v>14</v>
      </c>
      <c r="AA14" s="188"/>
      <c r="AB14" s="188"/>
      <c r="AC14" s="188"/>
      <c r="AD14" s="193"/>
      <c r="AE14" s="188"/>
      <c r="AF14" s="188"/>
      <c r="AG14" s="188"/>
      <c r="AH14" s="188"/>
      <c r="AI14" s="188"/>
      <c r="AJ14" s="188"/>
      <c r="AK14" s="188"/>
    </row>
    <row r="15" spans="2:37" ht="13" x14ac:dyDescent="0.3">
      <c r="D15" s="6"/>
      <c r="E15" s="6"/>
      <c r="F15" s="219"/>
      <c r="O15" s="188"/>
      <c r="P15" s="24"/>
      <c r="Q15" s="24"/>
      <c r="R15" s="24"/>
      <c r="S15" s="97"/>
      <c r="T15" s="97"/>
      <c r="U15" s="24"/>
      <c r="V15" s="24"/>
      <c r="W15" s="24"/>
      <c r="X15" s="24"/>
      <c r="Y15" s="41"/>
      <c r="Z15" s="24"/>
      <c r="AA15" s="24"/>
      <c r="AB15" s="24"/>
      <c r="AC15" s="24"/>
      <c r="AD15" s="35"/>
      <c r="AE15" s="24"/>
      <c r="AF15" s="24"/>
      <c r="AG15" s="24"/>
      <c r="AH15" s="24"/>
      <c r="AI15" s="24"/>
      <c r="AJ15" s="24"/>
      <c r="AK15" s="24"/>
    </row>
    <row r="16" spans="2:37" s="99" customFormat="1" ht="13" x14ac:dyDescent="0.3">
      <c r="B16" s="163"/>
      <c r="D16" s="6" t="s">
        <v>329</v>
      </c>
      <c r="E16" s="7"/>
      <c r="F16" s="220"/>
      <c r="G16" s="94"/>
      <c r="H16" s="94"/>
      <c r="I16" s="94"/>
      <c r="J16" s="91"/>
      <c r="K16" s="94"/>
      <c r="L16" s="94"/>
      <c r="M16" s="94"/>
      <c r="N16" s="94"/>
      <c r="O16" s="187"/>
      <c r="Z16" s="107"/>
    </row>
    <row r="17" spans="2:37" s="99" customFormat="1" ht="13" x14ac:dyDescent="0.3">
      <c r="B17" s="163"/>
      <c r="F17" s="94"/>
      <c r="G17" s="94"/>
      <c r="H17" s="94"/>
      <c r="I17" s="94"/>
      <c r="J17" s="91"/>
      <c r="K17" s="94"/>
      <c r="L17" s="94"/>
      <c r="M17" s="94"/>
      <c r="N17" s="94"/>
      <c r="O17" s="187"/>
      <c r="Z17" s="107"/>
    </row>
    <row r="18" spans="2:37" s="99" customFormat="1" ht="13" x14ac:dyDescent="0.3">
      <c r="B18" s="163">
        <v>1</v>
      </c>
      <c r="D18" s="99" t="s">
        <v>77</v>
      </c>
      <c r="F18" s="113">
        <f ca="1">Function!P18</f>
        <v>0</v>
      </c>
      <c r="G18" s="94"/>
      <c r="H18" s="113"/>
      <c r="I18" s="94"/>
      <c r="J18" s="91"/>
      <c r="K18" s="94"/>
      <c r="L18" s="113">
        <f ca="1">F18-H18</f>
        <v>0</v>
      </c>
      <c r="M18" s="94"/>
      <c r="N18" s="91"/>
      <c r="O18" s="186">
        <f>_xlfn.IFNA(MATCH(N18,'Gas Supply Factors'!$B$25:$B$426,0),0)</f>
        <v>0</v>
      </c>
      <c r="P18" s="22">
        <f ca="1">OFFSET('Gas Supply Factors'!$B$13,$O18-1,P$14)*$L18+OFFSET('Gas Supply Factors'!$B$13,$K18-1,P$14)*$H18</f>
        <v>0</v>
      </c>
      <c r="Q18" s="97"/>
      <c r="R18" s="22">
        <f ca="1">OFFSET('Gas Supply Factors'!$B$13,$O18-1,R$14)*$L18+OFFSET('Gas Supply Factors'!$B$13,$K18-1,R$14)*$H18</f>
        <v>0</v>
      </c>
      <c r="S18" s="22"/>
      <c r="T18" s="22">
        <f ca="1">OFFSET('Gas Supply Factors'!$B$13,$O18-1,T$14)*$L18+OFFSET('Gas Supply Factors'!$B$13,$K18-1,T$14)*$H18</f>
        <v>0</v>
      </c>
      <c r="U18" s="22"/>
      <c r="V18" s="22">
        <f ca="1">OFFSET('Gas Supply Factors'!$B$13,$O18-1,V$14)*$L18+OFFSET('Gas Supply Factors'!$B$13,$K18-1,V$14)*$H18</f>
        <v>0</v>
      </c>
      <c r="W18" s="22"/>
      <c r="X18" s="22">
        <f ca="1">OFFSET('Gas Supply Factors'!$B$13,$O18-1,X$14)*$L18+OFFSET('Gas Supply Factors'!$B$13,$K18-1,X$14)*$H18</f>
        <v>0</v>
      </c>
      <c r="Z18" s="22">
        <f ca="1">OFFSET('Gas Supply Factors'!$B$13,$O18-1,Z$14)*$L18+OFFSET('Gas Supply Factors'!$B$13,$K18-1,Z$14)*$H18</f>
        <v>0</v>
      </c>
      <c r="AA18" s="97"/>
      <c r="AB18" s="22">
        <f ca="1">P18+R18+V18+X18+Z18+T18</f>
        <v>0</v>
      </c>
      <c r="AC18" s="97"/>
      <c r="AD18" s="35" t="str">
        <f ca="1">IF(ROUND(F18,4)=ROUND(AB18,4), "", "check")</f>
        <v/>
      </c>
    </row>
    <row r="19" spans="2:37" s="99" customFormat="1" ht="13" x14ac:dyDescent="0.3">
      <c r="B19" s="163">
        <f>B18+1</f>
        <v>2</v>
      </c>
      <c r="D19" s="99" t="s">
        <v>76</v>
      </c>
      <c r="F19" s="113">
        <f ca="1">Function!P19</f>
        <v>0</v>
      </c>
      <c r="G19" s="94"/>
      <c r="H19" s="113"/>
      <c r="I19" s="94"/>
      <c r="J19" s="91"/>
      <c r="K19" s="94"/>
      <c r="L19" s="113">
        <f t="shared" ref="L19:L30" ca="1" si="0">F19-H19</f>
        <v>0</v>
      </c>
      <c r="M19" s="94"/>
      <c r="N19" s="91"/>
      <c r="O19" s="186">
        <f>_xlfn.IFNA(MATCH(N19,'Gas Supply Factors'!$B$25:$B$426,0),0)</f>
        <v>0</v>
      </c>
      <c r="P19" s="22">
        <f ca="1">OFFSET('Gas Supply Factors'!$B$13,$O19-1,P$14)*$L19+OFFSET('Gas Supply Factors'!$B$13,$K19-1,P$14)*$H19</f>
        <v>0</v>
      </c>
      <c r="Q19" s="97"/>
      <c r="R19" s="22">
        <f ca="1">OFFSET('Gas Supply Factors'!$B$13,$O19-1,R$14)*$L19+OFFSET('Gas Supply Factors'!$B$13,$K19-1,R$14)*$H19</f>
        <v>0</v>
      </c>
      <c r="S19" s="22"/>
      <c r="T19" s="22">
        <f ca="1">OFFSET('Gas Supply Factors'!$B$13,$O19-1,T$14)*$L19+OFFSET('Gas Supply Factors'!$B$13,$K19-1,T$14)*$H19</f>
        <v>0</v>
      </c>
      <c r="U19" s="22"/>
      <c r="V19" s="22">
        <f ca="1">OFFSET('Gas Supply Factors'!$B$13,$O19-1,V$14)*$L19+OFFSET('Gas Supply Factors'!$B$13,$K19-1,V$14)*$H19</f>
        <v>0</v>
      </c>
      <c r="W19" s="22"/>
      <c r="X19" s="22">
        <f ca="1">OFFSET('Gas Supply Factors'!$B$13,$O19-1,X$14)*$L19+OFFSET('Gas Supply Factors'!$B$13,$K19-1,X$14)*$H19</f>
        <v>0</v>
      </c>
      <c r="Z19" s="22">
        <f ca="1">OFFSET('Gas Supply Factors'!$B$13,$O19-1,Z$14)*$L19+OFFSET('Gas Supply Factors'!$B$13,$K19-1,Z$14)*$H19</f>
        <v>0</v>
      </c>
      <c r="AA19" s="97"/>
      <c r="AB19" s="22">
        <f t="shared" ref="AB19:AB30" ca="1" si="1">P19+R19+V19+X19+Z19+T19</f>
        <v>0</v>
      </c>
      <c r="AC19" s="97"/>
      <c r="AD19" s="35"/>
    </row>
    <row r="20" spans="2:37" s="99" customFormat="1" ht="13" x14ac:dyDescent="0.3">
      <c r="B20" s="163">
        <f t="shared" ref="B20:B31" si="2">B19+1</f>
        <v>3</v>
      </c>
      <c r="D20" s="99" t="s">
        <v>19</v>
      </c>
      <c r="F20" s="113">
        <f ca="1">Function!P20</f>
        <v>0</v>
      </c>
      <c r="G20" s="94"/>
      <c r="H20" s="113"/>
      <c r="I20" s="94"/>
      <c r="J20" s="91"/>
      <c r="K20" s="94"/>
      <c r="L20" s="113">
        <f t="shared" ca="1" si="0"/>
        <v>0</v>
      </c>
      <c r="M20" s="94"/>
      <c r="N20" s="91"/>
      <c r="O20" s="186">
        <f>_xlfn.IFNA(MATCH(N20,'Gas Supply Factors'!$B$25:$B$426,0),0)</f>
        <v>0</v>
      </c>
      <c r="P20" s="22">
        <f ca="1">OFFSET('Gas Supply Factors'!$B$13,$O20-1,P$14)*$L20+OFFSET('Gas Supply Factors'!$B$13,$K20-1,P$14)*$H20</f>
        <v>0</v>
      </c>
      <c r="Q20" s="97"/>
      <c r="R20" s="22">
        <f ca="1">OFFSET('Gas Supply Factors'!$B$13,$O20-1,R$14)*$L20+OFFSET('Gas Supply Factors'!$B$13,$K20-1,R$14)*$H20</f>
        <v>0</v>
      </c>
      <c r="S20" s="22"/>
      <c r="T20" s="22">
        <f ca="1">OFFSET('Gas Supply Factors'!$B$13,$O20-1,T$14)*$L20+OFFSET('Gas Supply Factors'!$B$13,$K20-1,T$14)*$H20</f>
        <v>0</v>
      </c>
      <c r="U20" s="22"/>
      <c r="V20" s="22">
        <f ca="1">OFFSET('Gas Supply Factors'!$B$13,$O20-1,V$14)*$L20+OFFSET('Gas Supply Factors'!$B$13,$K20-1,V$14)*$H20</f>
        <v>0</v>
      </c>
      <c r="W20" s="22"/>
      <c r="X20" s="22">
        <f ca="1">OFFSET('Gas Supply Factors'!$B$13,$O20-1,X$14)*$L20+OFFSET('Gas Supply Factors'!$B$13,$K20-1,X$14)*$H20</f>
        <v>0</v>
      </c>
      <c r="Z20" s="22">
        <f ca="1">OFFSET('Gas Supply Factors'!$B$13,$O20-1,Z$14)*$L20+OFFSET('Gas Supply Factors'!$B$13,$K20-1,Z$14)*$H20</f>
        <v>0</v>
      </c>
      <c r="AA20" s="97"/>
      <c r="AB20" s="22">
        <f t="shared" ca="1" si="1"/>
        <v>0</v>
      </c>
      <c r="AC20" s="97"/>
      <c r="AD20" s="35" t="str">
        <f t="shared" ref="AD20:AD23" ca="1" si="3">IF(ROUND(F20,4)=ROUND(AB20,4), "", "check")</f>
        <v/>
      </c>
    </row>
    <row r="21" spans="2:37" s="99" customFormat="1" ht="13" x14ac:dyDescent="0.3">
      <c r="B21" s="163">
        <f t="shared" si="2"/>
        <v>4</v>
      </c>
      <c r="D21" s="99" t="s">
        <v>21</v>
      </c>
      <c r="F21" s="113">
        <f ca="1">Function!P21</f>
        <v>0</v>
      </c>
      <c r="G21" s="94"/>
      <c r="H21" s="113"/>
      <c r="I21" s="94"/>
      <c r="J21" s="91"/>
      <c r="K21" s="94"/>
      <c r="L21" s="113">
        <f t="shared" ca="1" si="0"/>
        <v>0</v>
      </c>
      <c r="M21" s="94"/>
      <c r="N21" s="91"/>
      <c r="O21" s="186">
        <f>_xlfn.IFNA(MATCH(N21,'Gas Supply Factors'!$B$25:$B$426,0),0)</f>
        <v>0</v>
      </c>
      <c r="P21" s="22">
        <f ca="1">OFFSET('Gas Supply Factors'!$B$13,$O21-1,P$14)*$L21+OFFSET('Gas Supply Factors'!$B$13,$K21-1,P$14)*$H21</f>
        <v>0</v>
      </c>
      <c r="Q21" s="97"/>
      <c r="R21" s="22">
        <f ca="1">OFFSET('Gas Supply Factors'!$B$13,$O21-1,R$14)*$L21+OFFSET('Gas Supply Factors'!$B$13,$K21-1,R$14)*$H21</f>
        <v>0</v>
      </c>
      <c r="S21" s="22"/>
      <c r="T21" s="22">
        <f ca="1">OFFSET('Gas Supply Factors'!$B$13,$O21-1,T$14)*$L21+OFFSET('Gas Supply Factors'!$B$13,$K21-1,T$14)*$H21</f>
        <v>0</v>
      </c>
      <c r="U21" s="22"/>
      <c r="V21" s="22">
        <f ca="1">OFFSET('Gas Supply Factors'!$B$13,$O21-1,V$14)*$L21+OFFSET('Gas Supply Factors'!$B$13,$K21-1,V$14)*$H21</f>
        <v>0</v>
      </c>
      <c r="W21" s="22"/>
      <c r="X21" s="22">
        <f ca="1">OFFSET('Gas Supply Factors'!$B$13,$O21-1,X$14)*$L21+OFFSET('Gas Supply Factors'!$B$13,$K21-1,X$14)*$H21</f>
        <v>0</v>
      </c>
      <c r="Z21" s="22">
        <f ca="1">OFFSET('Gas Supply Factors'!$B$13,$O21-1,Z$14)*$L21+OFFSET('Gas Supply Factors'!$B$13,$K21-1,Z$14)*$H21</f>
        <v>0</v>
      </c>
      <c r="AA21" s="97"/>
      <c r="AB21" s="22">
        <f t="shared" ca="1" si="1"/>
        <v>0</v>
      </c>
      <c r="AC21" s="97"/>
      <c r="AD21" s="35" t="str">
        <f t="shared" ca="1" si="3"/>
        <v/>
      </c>
    </row>
    <row r="22" spans="2:37" s="99" customFormat="1" ht="13" x14ac:dyDescent="0.3">
      <c r="B22" s="163">
        <f t="shared" si="2"/>
        <v>5</v>
      </c>
      <c r="D22" s="99" t="s">
        <v>23</v>
      </c>
      <c r="F22" s="113">
        <f ca="1">Function!P22</f>
        <v>0</v>
      </c>
      <c r="G22" s="94"/>
      <c r="H22" s="113"/>
      <c r="I22" s="94"/>
      <c r="J22" s="91"/>
      <c r="K22" s="94"/>
      <c r="L22" s="113">
        <f t="shared" ca="1" si="0"/>
        <v>0</v>
      </c>
      <c r="M22" s="94"/>
      <c r="N22" s="91"/>
      <c r="O22" s="186">
        <f>_xlfn.IFNA(MATCH(N22,'Gas Supply Factors'!$B$25:$B$426,0),0)</f>
        <v>0</v>
      </c>
      <c r="P22" s="22">
        <f ca="1">OFFSET('Gas Supply Factors'!$B$13,$O22-1,P$14)*$L22+OFFSET('Gas Supply Factors'!$B$13,$K22-1,P$14)*$H22</f>
        <v>0</v>
      </c>
      <c r="Q22" s="97"/>
      <c r="R22" s="22">
        <f ca="1">OFFSET('Gas Supply Factors'!$B$13,$O22-1,R$14)*$L22+OFFSET('Gas Supply Factors'!$B$13,$K22-1,R$14)*$H22</f>
        <v>0</v>
      </c>
      <c r="S22" s="22"/>
      <c r="T22" s="22">
        <f ca="1">OFFSET('Gas Supply Factors'!$B$13,$O22-1,T$14)*$L22+OFFSET('Gas Supply Factors'!$B$13,$K22-1,T$14)*$H22</f>
        <v>0</v>
      </c>
      <c r="U22" s="22"/>
      <c r="V22" s="22">
        <f ca="1">OFFSET('Gas Supply Factors'!$B$13,$O22-1,V$14)*$L22+OFFSET('Gas Supply Factors'!$B$13,$K22-1,V$14)*$H22</f>
        <v>0</v>
      </c>
      <c r="W22" s="22"/>
      <c r="X22" s="22">
        <f ca="1">OFFSET('Gas Supply Factors'!$B$13,$O22-1,X$14)*$L22+OFFSET('Gas Supply Factors'!$B$13,$K22-1,X$14)*$H22</f>
        <v>0</v>
      </c>
      <c r="Z22" s="22">
        <f ca="1">OFFSET('Gas Supply Factors'!$B$13,$O22-1,Z$14)*$L22+OFFSET('Gas Supply Factors'!$B$13,$K22-1,Z$14)*$H22</f>
        <v>0</v>
      </c>
      <c r="AA22" s="97"/>
      <c r="AB22" s="22">
        <f t="shared" ca="1" si="1"/>
        <v>0</v>
      </c>
      <c r="AC22" s="97"/>
      <c r="AD22" s="35" t="str">
        <f t="shared" ca="1" si="3"/>
        <v/>
      </c>
    </row>
    <row r="23" spans="2:37" s="99" customFormat="1" ht="13" x14ac:dyDescent="0.3">
      <c r="B23" s="163">
        <f t="shared" si="2"/>
        <v>6</v>
      </c>
      <c r="D23" s="99" t="s">
        <v>25</v>
      </c>
      <c r="F23" s="113">
        <f ca="1">Function!P23</f>
        <v>0</v>
      </c>
      <c r="G23" s="94"/>
      <c r="H23" s="113"/>
      <c r="I23" s="94"/>
      <c r="J23" s="94"/>
      <c r="K23" s="94"/>
      <c r="L23" s="113">
        <f t="shared" ca="1" si="0"/>
        <v>0</v>
      </c>
      <c r="M23" s="94"/>
      <c r="N23" s="91"/>
      <c r="O23" s="186">
        <f>_xlfn.IFNA(MATCH(N23,'Gas Supply Factors'!$B$25:$B$426,0),0)</f>
        <v>0</v>
      </c>
      <c r="P23" s="22">
        <f ca="1">OFFSET('Gas Supply Factors'!$B$13,$O23-1,P$14)*$L23+OFFSET('Gas Supply Factors'!$B$13,$K23-1,P$14)*$H23</f>
        <v>0</v>
      </c>
      <c r="Q23" s="97"/>
      <c r="R23" s="22">
        <f ca="1">OFFSET('Gas Supply Factors'!$B$13,$O23-1,R$14)*$L23+OFFSET('Gas Supply Factors'!$B$13,$K23-1,R$14)*$H23</f>
        <v>0</v>
      </c>
      <c r="S23" s="22"/>
      <c r="T23" s="22">
        <f ca="1">OFFSET('Gas Supply Factors'!$B$13,$O23-1,T$14)*$L23+OFFSET('Gas Supply Factors'!$B$13,$K23-1,T$14)*$H23</f>
        <v>0</v>
      </c>
      <c r="U23" s="22"/>
      <c r="V23" s="22">
        <f ca="1">OFFSET('Gas Supply Factors'!$B$13,$O23-1,V$14)*$L23+OFFSET('Gas Supply Factors'!$B$13,$K23-1,V$14)*$H23</f>
        <v>0</v>
      </c>
      <c r="W23" s="22"/>
      <c r="X23" s="22">
        <f ca="1">OFFSET('Gas Supply Factors'!$B$13,$O23-1,X$14)*$L23+OFFSET('Gas Supply Factors'!$B$13,$K23-1,X$14)*$H23</f>
        <v>0</v>
      </c>
      <c r="Z23" s="22">
        <f ca="1">OFFSET('Gas Supply Factors'!$B$13,$O23-1,Z$14)*$L23+OFFSET('Gas Supply Factors'!$B$13,$K23-1,Z$14)*$H23</f>
        <v>0</v>
      </c>
      <c r="AA23" s="97"/>
      <c r="AB23" s="22">
        <f t="shared" ca="1" si="1"/>
        <v>0</v>
      </c>
      <c r="AC23" s="97"/>
      <c r="AD23" s="35" t="str">
        <f t="shared" ca="1" si="3"/>
        <v/>
      </c>
      <c r="AK23" s="15"/>
    </row>
    <row r="24" spans="2:37" s="99" customFormat="1" ht="13" x14ac:dyDescent="0.3">
      <c r="B24" s="163">
        <f t="shared" si="2"/>
        <v>7</v>
      </c>
      <c r="D24" s="99" t="s">
        <v>27</v>
      </c>
      <c r="F24" s="113">
        <f ca="1">Function!P24</f>
        <v>0</v>
      </c>
      <c r="G24" s="94"/>
      <c r="H24" s="113"/>
      <c r="I24" s="94"/>
      <c r="J24" s="94"/>
      <c r="K24" s="94"/>
      <c r="L24" s="113">
        <f t="shared" ca="1" si="0"/>
        <v>0</v>
      </c>
      <c r="M24" s="94"/>
      <c r="N24" s="91"/>
      <c r="O24" s="186">
        <f>_xlfn.IFNA(MATCH(N24,'Gas Supply Factors'!$B$25:$B$426,0),0)</f>
        <v>0</v>
      </c>
      <c r="P24" s="22">
        <f ca="1">OFFSET('Gas Supply Factors'!$B$13,$O24-1,P$14)*$L24+OFFSET('Gas Supply Factors'!$B$13,$K24-1,P$14)*$H24</f>
        <v>0</v>
      </c>
      <c r="Q24" s="97"/>
      <c r="R24" s="22">
        <f ca="1">OFFSET('Gas Supply Factors'!$B$13,$O24-1,R$14)*$L24+OFFSET('Gas Supply Factors'!$B$13,$K24-1,R$14)*$H24</f>
        <v>0</v>
      </c>
      <c r="S24" s="22"/>
      <c r="T24" s="22">
        <f ca="1">OFFSET('Gas Supply Factors'!$B$13,$O24-1,T$14)*$L24+OFFSET('Gas Supply Factors'!$B$13,$K24-1,T$14)*$H24</f>
        <v>0</v>
      </c>
      <c r="U24" s="22"/>
      <c r="V24" s="22">
        <f ca="1">OFFSET('Gas Supply Factors'!$B$13,$O24-1,V$14)*$L24+OFFSET('Gas Supply Factors'!$B$13,$K24-1,V$14)*$H24</f>
        <v>0</v>
      </c>
      <c r="W24" s="22"/>
      <c r="X24" s="22">
        <f ca="1">OFFSET('Gas Supply Factors'!$B$13,$O24-1,X$14)*$L24+OFFSET('Gas Supply Factors'!$B$13,$K24-1,X$14)*$H24</f>
        <v>0</v>
      </c>
      <c r="Z24" s="22">
        <f ca="1">OFFSET('Gas Supply Factors'!$B$13,$O24-1,Z$14)*$L24+OFFSET('Gas Supply Factors'!$B$13,$K24-1,Z$14)*$H24</f>
        <v>0</v>
      </c>
      <c r="AA24" s="97"/>
      <c r="AB24" s="22">
        <f t="shared" ca="1" si="1"/>
        <v>0</v>
      </c>
      <c r="AC24" s="97"/>
      <c r="AD24" s="35" t="str">
        <f ca="1">IF(ROUND(F24,4)=ROUND(AB24,4), "", "check")</f>
        <v/>
      </c>
      <c r="AK24" s="15"/>
    </row>
    <row r="25" spans="2:37" s="99" customFormat="1" ht="13" x14ac:dyDescent="0.3">
      <c r="B25" s="163">
        <f t="shared" si="2"/>
        <v>8</v>
      </c>
      <c r="D25" s="99" t="s">
        <v>29</v>
      </c>
      <c r="F25" s="113">
        <f ca="1">Function!P25</f>
        <v>0</v>
      </c>
      <c r="G25" s="94"/>
      <c r="H25" s="113"/>
      <c r="I25" s="94"/>
      <c r="J25" s="94"/>
      <c r="K25" s="94"/>
      <c r="L25" s="113">
        <f t="shared" ca="1" si="0"/>
        <v>0</v>
      </c>
      <c r="M25" s="94"/>
      <c r="N25" s="91"/>
      <c r="O25" s="186">
        <f>_xlfn.IFNA(MATCH(N25,'Gas Supply Factors'!$B$25:$B$426,0),0)</f>
        <v>0</v>
      </c>
      <c r="P25" s="22">
        <f ca="1">OFFSET('Gas Supply Factors'!$B$13,$O25-1,P$14)*$L25+OFFSET('Gas Supply Factors'!$B$13,$K25-1,P$14)*$H25</f>
        <v>0</v>
      </c>
      <c r="Q25" s="97"/>
      <c r="R25" s="22">
        <f ca="1">OFFSET('Gas Supply Factors'!$B$13,$O25-1,R$14)*$L25+OFFSET('Gas Supply Factors'!$B$13,$K25-1,R$14)*$H25</f>
        <v>0</v>
      </c>
      <c r="S25" s="22"/>
      <c r="T25" s="22">
        <f ca="1">OFFSET('Gas Supply Factors'!$B$13,$O25-1,T$14)*$L25+OFFSET('Gas Supply Factors'!$B$13,$K25-1,T$14)*$H25</f>
        <v>0</v>
      </c>
      <c r="U25" s="22"/>
      <c r="V25" s="22">
        <f ca="1">OFFSET('Gas Supply Factors'!$B$13,$O25-1,V$14)*$L25+OFFSET('Gas Supply Factors'!$B$13,$K25-1,V$14)*$H25</f>
        <v>0</v>
      </c>
      <c r="W25" s="22"/>
      <c r="X25" s="22">
        <f ca="1">OFFSET('Gas Supply Factors'!$B$13,$O25-1,X$14)*$L25+OFFSET('Gas Supply Factors'!$B$13,$K25-1,X$14)*$H25</f>
        <v>0</v>
      </c>
      <c r="Z25" s="22">
        <f ca="1">OFFSET('Gas Supply Factors'!$B$13,$O25-1,Z$14)*$L25+OFFSET('Gas Supply Factors'!$B$13,$K25-1,Z$14)*$H25</f>
        <v>0</v>
      </c>
      <c r="AA25" s="97"/>
      <c r="AB25" s="22">
        <f t="shared" ca="1" si="1"/>
        <v>0</v>
      </c>
      <c r="AC25" s="97"/>
      <c r="AD25" s="35" t="str">
        <f t="shared" ref="AD25:AD35" ca="1" si="4">IF(ROUND(F25,4)=ROUND(AB25,4), "", "check")</f>
        <v/>
      </c>
    </row>
    <row r="26" spans="2:37" s="99" customFormat="1" ht="13" x14ac:dyDescent="0.3">
      <c r="B26" s="163">
        <f t="shared" si="2"/>
        <v>9</v>
      </c>
      <c r="D26" s="99" t="s">
        <v>30</v>
      </c>
      <c r="F26" s="113">
        <f ca="1">Function!P26</f>
        <v>0</v>
      </c>
      <c r="G26" s="94"/>
      <c r="H26" s="113"/>
      <c r="I26" s="94"/>
      <c r="J26" s="94"/>
      <c r="K26" s="94"/>
      <c r="L26" s="113">
        <f t="shared" ca="1" si="0"/>
        <v>0</v>
      </c>
      <c r="M26" s="94"/>
      <c r="N26" s="91"/>
      <c r="O26" s="186">
        <f>_xlfn.IFNA(MATCH(N26,'Gas Supply Factors'!$B$25:$B$426,0),0)</f>
        <v>0</v>
      </c>
      <c r="P26" s="22">
        <f ca="1">OFFSET('Gas Supply Factors'!$B$13,$O26-1,P$14)*$L26+OFFSET('Gas Supply Factors'!$B$13,$K26-1,P$14)*$H26</f>
        <v>0</v>
      </c>
      <c r="Q26" s="97"/>
      <c r="R26" s="22">
        <f ca="1">OFFSET('Gas Supply Factors'!$B$13,$O26-1,R$14)*$L26+OFFSET('Gas Supply Factors'!$B$13,$K26-1,R$14)*$H26</f>
        <v>0</v>
      </c>
      <c r="S26" s="22"/>
      <c r="T26" s="22">
        <f ca="1">OFFSET('Gas Supply Factors'!$B$13,$O26-1,T$14)*$L26+OFFSET('Gas Supply Factors'!$B$13,$K26-1,T$14)*$H26</f>
        <v>0</v>
      </c>
      <c r="U26" s="22"/>
      <c r="V26" s="22">
        <f ca="1">OFFSET('Gas Supply Factors'!$B$13,$O26-1,V$14)*$L26+OFFSET('Gas Supply Factors'!$B$13,$K26-1,V$14)*$H26</f>
        <v>0</v>
      </c>
      <c r="W26" s="22"/>
      <c r="X26" s="22">
        <f ca="1">OFFSET('Gas Supply Factors'!$B$13,$O26-1,X$14)*$L26+OFFSET('Gas Supply Factors'!$B$13,$K26-1,X$14)*$H26</f>
        <v>0</v>
      </c>
      <c r="Z26" s="22">
        <f ca="1">OFFSET('Gas Supply Factors'!$B$13,$O26-1,Z$14)*$L26+OFFSET('Gas Supply Factors'!$B$13,$K26-1,Z$14)*$H26</f>
        <v>0</v>
      </c>
      <c r="AA26" s="97"/>
      <c r="AB26" s="22">
        <f t="shared" ca="1" si="1"/>
        <v>0</v>
      </c>
      <c r="AC26" s="97"/>
      <c r="AD26" s="35" t="str">
        <f t="shared" ca="1" si="4"/>
        <v/>
      </c>
    </row>
    <row r="27" spans="2:37" s="99" customFormat="1" ht="13" x14ac:dyDescent="0.3">
      <c r="B27" s="163">
        <f t="shared" si="2"/>
        <v>10</v>
      </c>
      <c r="D27" s="99" t="s">
        <v>31</v>
      </c>
      <c r="F27" s="113">
        <f ca="1">Function!P27</f>
        <v>0</v>
      </c>
      <c r="G27" s="94"/>
      <c r="H27" s="113"/>
      <c r="I27" s="94"/>
      <c r="J27" s="94"/>
      <c r="K27" s="94"/>
      <c r="L27" s="113">
        <f t="shared" ca="1" si="0"/>
        <v>0</v>
      </c>
      <c r="M27" s="94"/>
      <c r="N27" s="91"/>
      <c r="O27" s="186">
        <f>_xlfn.IFNA(MATCH(N27,'Gas Supply Factors'!$B$25:$B$426,0),0)</f>
        <v>0</v>
      </c>
      <c r="P27" s="22">
        <f ca="1">OFFSET('Gas Supply Factors'!$B$13,$O27-1,P$14)*$L27+OFFSET('Gas Supply Factors'!$B$13,$K27-1,P$14)*$H27</f>
        <v>0</v>
      </c>
      <c r="Q27" s="97"/>
      <c r="R27" s="22">
        <f ca="1">OFFSET('Gas Supply Factors'!$B$13,$O27-1,R$14)*$L27+OFFSET('Gas Supply Factors'!$B$13,$K27-1,R$14)*$H27</f>
        <v>0</v>
      </c>
      <c r="S27" s="22"/>
      <c r="T27" s="22">
        <f ca="1">OFFSET('Gas Supply Factors'!$B$13,$O27-1,T$14)*$L27+OFFSET('Gas Supply Factors'!$B$13,$K27-1,T$14)*$H27</f>
        <v>0</v>
      </c>
      <c r="U27" s="22"/>
      <c r="V27" s="22">
        <f ca="1">OFFSET('Gas Supply Factors'!$B$13,$O27-1,V$14)*$L27+OFFSET('Gas Supply Factors'!$B$13,$K27-1,V$14)*$H27</f>
        <v>0</v>
      </c>
      <c r="W27" s="22"/>
      <c r="X27" s="22">
        <f ca="1">OFFSET('Gas Supply Factors'!$B$13,$O27-1,X$14)*$L27+OFFSET('Gas Supply Factors'!$B$13,$K27-1,X$14)*$H27</f>
        <v>0</v>
      </c>
      <c r="Z27" s="22">
        <f ca="1">OFFSET('Gas Supply Factors'!$B$13,$O27-1,Z$14)*$L27+OFFSET('Gas Supply Factors'!$B$13,$K27-1,Z$14)*$H27</f>
        <v>0</v>
      </c>
      <c r="AA27" s="97"/>
      <c r="AB27" s="22">
        <f t="shared" ca="1" si="1"/>
        <v>0</v>
      </c>
      <c r="AC27" s="97"/>
      <c r="AD27" s="35" t="str">
        <f t="shared" ca="1" si="4"/>
        <v/>
      </c>
    </row>
    <row r="28" spans="2:37" s="99" customFormat="1" ht="13" x14ac:dyDescent="0.3">
      <c r="B28" s="163">
        <f t="shared" si="2"/>
        <v>11</v>
      </c>
      <c r="D28" s="99" t="s">
        <v>327</v>
      </c>
      <c r="F28" s="113">
        <f ca="1">Function!P28</f>
        <v>0</v>
      </c>
      <c r="G28" s="94"/>
      <c r="H28" s="113"/>
      <c r="I28" s="94"/>
      <c r="J28" s="94"/>
      <c r="K28" s="94"/>
      <c r="L28" s="113">
        <f t="shared" ca="1" si="0"/>
        <v>0</v>
      </c>
      <c r="M28" s="94"/>
      <c r="N28" s="91"/>
      <c r="O28" s="186">
        <f>_xlfn.IFNA(MATCH(N28,'Gas Supply Factors'!$B$25:$B$426,0),0)</f>
        <v>0</v>
      </c>
      <c r="P28" s="22">
        <f ca="1">OFFSET('Gas Supply Factors'!$B$13,$O28-1,P$14)*$L28+OFFSET('Gas Supply Factors'!$B$13,$K28-1,P$14)*$H28</f>
        <v>0</v>
      </c>
      <c r="Q28" s="97"/>
      <c r="R28" s="22">
        <f ca="1">OFFSET('Gas Supply Factors'!$B$13,$O28-1,R$14)*$L28+OFFSET('Gas Supply Factors'!$B$13,$K28-1,R$14)*$H28</f>
        <v>0</v>
      </c>
      <c r="S28" s="22"/>
      <c r="T28" s="22">
        <f ca="1">OFFSET('Gas Supply Factors'!$B$13,$O28-1,T$14)*$L28+OFFSET('Gas Supply Factors'!$B$13,$K28-1,T$14)*$H28</f>
        <v>0</v>
      </c>
      <c r="U28" s="22"/>
      <c r="V28" s="22">
        <f ca="1">OFFSET('Gas Supply Factors'!$B$13,$O28-1,V$14)*$L28+OFFSET('Gas Supply Factors'!$B$13,$K28-1,V$14)*$H28</f>
        <v>0</v>
      </c>
      <c r="W28" s="22"/>
      <c r="X28" s="22">
        <f ca="1">OFFSET('Gas Supply Factors'!$B$13,$O28-1,X$14)*$L28+OFFSET('Gas Supply Factors'!$B$13,$K28-1,X$14)*$H28</f>
        <v>0</v>
      </c>
      <c r="Z28" s="22">
        <f ca="1">OFFSET('Gas Supply Factors'!$B$13,$O28-1,Z$14)*$L28+OFFSET('Gas Supply Factors'!$B$13,$K28-1,Z$14)*$H28</f>
        <v>0</v>
      </c>
      <c r="AA28" s="97"/>
      <c r="AB28" s="22">
        <f t="shared" ca="1" si="1"/>
        <v>0</v>
      </c>
      <c r="AC28" s="97"/>
      <c r="AD28" s="35" t="str">
        <f t="shared" ca="1" si="4"/>
        <v/>
      </c>
    </row>
    <row r="29" spans="2:37" s="99" customFormat="1" ht="13" x14ac:dyDescent="0.3">
      <c r="B29" s="163">
        <f>B28+1</f>
        <v>12</v>
      </c>
      <c r="D29" s="99" t="s">
        <v>34</v>
      </c>
      <c r="F29" s="113">
        <f ca="1">Function!P29</f>
        <v>0</v>
      </c>
      <c r="G29" s="94"/>
      <c r="H29" s="113"/>
      <c r="I29" s="94"/>
      <c r="J29" s="94"/>
      <c r="K29" s="94"/>
      <c r="L29" s="113">
        <f t="shared" ca="1" si="0"/>
        <v>0</v>
      </c>
      <c r="M29" s="94"/>
      <c r="N29" s="91"/>
      <c r="O29" s="186">
        <f>_xlfn.IFNA(MATCH(N29,'Gas Supply Factors'!$B$25:$B$426,0),0)</f>
        <v>0</v>
      </c>
      <c r="P29" s="22">
        <f ca="1">OFFSET('Gas Supply Factors'!$B$13,$O29-1,P$14)*$L29+OFFSET('Gas Supply Factors'!$B$13,$K29-1,P$14)*$H29</f>
        <v>0</v>
      </c>
      <c r="Q29" s="97"/>
      <c r="R29" s="22">
        <f ca="1">OFFSET('Gas Supply Factors'!$B$13,$O29-1,R$14)*$L29+OFFSET('Gas Supply Factors'!$B$13,$K29-1,R$14)*$H29</f>
        <v>0</v>
      </c>
      <c r="S29" s="22"/>
      <c r="T29" s="22">
        <f ca="1">OFFSET('Gas Supply Factors'!$B$13,$O29-1,T$14)*$L29+OFFSET('Gas Supply Factors'!$B$13,$K29-1,T$14)*$H29</f>
        <v>0</v>
      </c>
      <c r="U29" s="22"/>
      <c r="V29" s="22">
        <f ca="1">OFFSET('Gas Supply Factors'!$B$13,$O29-1,V$14)*$L29+OFFSET('Gas Supply Factors'!$B$13,$K29-1,V$14)*$H29</f>
        <v>0</v>
      </c>
      <c r="W29" s="22"/>
      <c r="X29" s="22">
        <f ca="1">OFFSET('Gas Supply Factors'!$B$13,$O29-1,X$14)*$L29+OFFSET('Gas Supply Factors'!$B$13,$K29-1,X$14)*$H29</f>
        <v>0</v>
      </c>
      <c r="Z29" s="22">
        <f ca="1">OFFSET('Gas Supply Factors'!$B$13,$O29-1,Z$14)*$L29+OFFSET('Gas Supply Factors'!$B$13,$K29-1,Z$14)*$H29</f>
        <v>0</v>
      </c>
      <c r="AA29" s="97"/>
      <c r="AB29" s="22">
        <f t="shared" ca="1" si="1"/>
        <v>0</v>
      </c>
      <c r="AC29" s="97"/>
      <c r="AD29" s="35" t="str">
        <f t="shared" ca="1" si="4"/>
        <v/>
      </c>
    </row>
    <row r="30" spans="2:37" s="99" customFormat="1" ht="13" x14ac:dyDescent="0.3">
      <c r="B30" s="163">
        <f>B29+1</f>
        <v>13</v>
      </c>
      <c r="D30" s="99" t="s">
        <v>78</v>
      </c>
      <c r="F30" s="113">
        <f ca="1">Function!P30</f>
        <v>0</v>
      </c>
      <c r="G30" s="94"/>
      <c r="H30" s="113"/>
      <c r="I30" s="94"/>
      <c r="J30" s="94"/>
      <c r="K30" s="94"/>
      <c r="L30" s="113">
        <f t="shared" ca="1" si="0"/>
        <v>0</v>
      </c>
      <c r="M30" s="94"/>
      <c r="N30" s="91"/>
      <c r="O30" s="186">
        <f>_xlfn.IFNA(MATCH(N30,'Gas Supply Factors'!$B$25:$B$426,0),0)</f>
        <v>0</v>
      </c>
      <c r="P30" s="22">
        <f ca="1">OFFSET('Gas Supply Factors'!$B$13,$O30-1,P$14)*$L30+OFFSET('Gas Supply Factors'!$B$13,$K30-1,P$14)*$H30</f>
        <v>0</v>
      </c>
      <c r="Q30" s="97"/>
      <c r="R30" s="22">
        <f ca="1">OFFSET('Gas Supply Factors'!$B$13,$O30-1,R$14)*$L30+OFFSET('Gas Supply Factors'!$B$13,$K30-1,R$14)*$H30</f>
        <v>0</v>
      </c>
      <c r="S30" s="22"/>
      <c r="T30" s="22">
        <f ca="1">OFFSET('Gas Supply Factors'!$B$13,$O30-1,T$14)*$L30+OFFSET('Gas Supply Factors'!$B$13,$K30-1,T$14)*$H30</f>
        <v>0</v>
      </c>
      <c r="U30" s="22"/>
      <c r="V30" s="22">
        <f ca="1">OFFSET('Gas Supply Factors'!$B$13,$O30-1,V$14)*$L30+OFFSET('Gas Supply Factors'!$B$13,$K30-1,V$14)*$H30</f>
        <v>0</v>
      </c>
      <c r="W30" s="22"/>
      <c r="X30" s="22">
        <f ca="1">OFFSET('Gas Supply Factors'!$B$13,$O30-1,X$14)*$L30+OFFSET('Gas Supply Factors'!$B$13,$K30-1,X$14)*$H30</f>
        <v>0</v>
      </c>
      <c r="Z30" s="22">
        <f ca="1">OFFSET('Gas Supply Factors'!$B$13,$O30-1,Z$14)*$L30+OFFSET('Gas Supply Factors'!$B$13,$K30-1,Z$14)*$H30</f>
        <v>0</v>
      </c>
      <c r="AA30" s="97"/>
      <c r="AB30" s="22">
        <f t="shared" ca="1" si="1"/>
        <v>0</v>
      </c>
      <c r="AC30" s="97"/>
      <c r="AD30" s="35" t="str">
        <f t="shared" ca="1" si="4"/>
        <v/>
      </c>
    </row>
    <row r="31" spans="2:37" s="99" customFormat="1" ht="13" x14ac:dyDescent="0.3">
      <c r="B31" s="163">
        <f t="shared" si="2"/>
        <v>14</v>
      </c>
      <c r="D31" s="99" t="s">
        <v>333</v>
      </c>
      <c r="F31" s="79">
        <f ca="1">SUM(F18:F30)</f>
        <v>0</v>
      </c>
      <c r="G31" s="94"/>
      <c r="H31" s="79">
        <f>SUM(H18:H30)</f>
        <v>0</v>
      </c>
      <c r="I31" s="94"/>
      <c r="J31" s="94"/>
      <c r="K31" s="94"/>
      <c r="L31" s="79">
        <f ca="1">SUM(L18:L30)</f>
        <v>0</v>
      </c>
      <c r="M31" s="94"/>
      <c r="N31" s="94"/>
      <c r="O31" s="188"/>
      <c r="P31" s="46">
        <f ca="1">SUM(P18:P30)</f>
        <v>0</v>
      </c>
      <c r="Q31" s="32"/>
      <c r="R31" s="46">
        <f ca="1">SUM(R18:R30)</f>
        <v>0</v>
      </c>
      <c r="S31" s="30"/>
      <c r="T31" s="46">
        <f ca="1">SUM(T18:T30)</f>
        <v>0</v>
      </c>
      <c r="U31" s="30"/>
      <c r="V31" s="46">
        <f ca="1">SUM(V18:V30)</f>
        <v>0</v>
      </c>
      <c r="W31" s="30"/>
      <c r="X31" s="46">
        <f ca="1">SUM(X18:X30)</f>
        <v>0</v>
      </c>
      <c r="Y31" s="41"/>
      <c r="Z31" s="46">
        <f ca="1">SUM(Z18:Z30)</f>
        <v>0</v>
      </c>
      <c r="AA31" s="97"/>
      <c r="AB31" s="46">
        <f ca="1">SUM(AB18:AB30)</f>
        <v>0</v>
      </c>
      <c r="AC31" s="97"/>
      <c r="AD31" s="35" t="str">
        <f t="shared" ca="1" si="4"/>
        <v/>
      </c>
    </row>
    <row r="32" spans="2:37" s="99" customFormat="1" ht="13" x14ac:dyDescent="0.3">
      <c r="B32" s="163"/>
      <c r="F32" s="94"/>
      <c r="G32" s="94"/>
      <c r="H32" s="94"/>
      <c r="I32" s="94"/>
      <c r="J32" s="94"/>
      <c r="K32" s="94"/>
      <c r="L32" s="94"/>
      <c r="M32" s="94"/>
      <c r="N32" s="94"/>
      <c r="O32" s="188"/>
      <c r="P32" s="97"/>
      <c r="Q32" s="97"/>
      <c r="R32" s="97"/>
      <c r="S32" s="97"/>
      <c r="T32" s="97"/>
      <c r="U32" s="97"/>
      <c r="V32" s="97"/>
      <c r="W32" s="97"/>
      <c r="X32" s="97"/>
      <c r="Y32" s="41"/>
      <c r="Z32" s="97"/>
      <c r="AA32" s="97"/>
      <c r="AB32" s="23"/>
      <c r="AC32" s="97"/>
      <c r="AD32" s="35" t="str">
        <f t="shared" si="4"/>
        <v/>
      </c>
    </row>
    <row r="33" spans="2:37" s="99" customFormat="1" ht="13" x14ac:dyDescent="0.3">
      <c r="B33" s="163">
        <f>B31+1</f>
        <v>15</v>
      </c>
      <c r="D33" s="99" t="s">
        <v>221</v>
      </c>
      <c r="F33" s="113">
        <f ca="1">Function!P33</f>
        <v>0</v>
      </c>
      <c r="G33" s="94"/>
      <c r="H33" s="113"/>
      <c r="I33" s="94"/>
      <c r="J33" s="94"/>
      <c r="K33" s="94"/>
      <c r="L33" s="113">
        <f t="shared" ref="L33" ca="1" si="5">F33-H33</f>
        <v>0</v>
      </c>
      <c r="M33" s="94"/>
      <c r="N33" s="91"/>
      <c r="O33" s="186">
        <f>_xlfn.IFNA(MATCH(N33,'Gas Supply Factors'!$B$13:$B$426,0),0)</f>
        <v>0</v>
      </c>
      <c r="P33" s="22">
        <f ca="1">OFFSET('Gas Supply Factors'!$B$13,$O33-1,P$14)*$L33+OFFSET('Gas Supply Factors'!$B$13,$K33-1,P$14)*$H33</f>
        <v>0</v>
      </c>
      <c r="Q33" s="97"/>
      <c r="R33" s="22">
        <f ca="1">OFFSET('Gas Supply Factors'!$B$13,$O33-1,R$14)*$L33+OFFSET('Gas Supply Factors'!$B$13,$K33-1,R$14)*$H33</f>
        <v>0</v>
      </c>
      <c r="S33" s="22"/>
      <c r="T33" s="22">
        <f ca="1">OFFSET('Gas Supply Factors'!$B$13,$O33-1,T$14)*$L33+OFFSET('Gas Supply Factors'!$B$13,$K33-1,T$14)*$H33</f>
        <v>0</v>
      </c>
      <c r="U33" s="22"/>
      <c r="V33" s="22">
        <f ca="1">OFFSET('Gas Supply Factors'!$B$13,$O33-1,V$14)*$L33+OFFSET('Gas Supply Factors'!$B$13,$K33-1,V$14)*$H33</f>
        <v>0</v>
      </c>
      <c r="W33" s="22"/>
      <c r="X33" s="22">
        <f ca="1">OFFSET('Gas Supply Factors'!$B$13,$O33-1,X$14)*$L33+OFFSET('Gas Supply Factors'!$B$13,$K33-1,X$14)*$H33</f>
        <v>0</v>
      </c>
      <c r="Z33" s="22">
        <f ca="1">OFFSET('Gas Supply Factors'!$B$13,$O33-1,Z$14)*$L33+OFFSET('Gas Supply Factors'!$B$13,$K33-1,Z$14)*$H33</f>
        <v>0</v>
      </c>
      <c r="AA33" s="97"/>
      <c r="AB33" s="22">
        <f ca="1">P33+R33+V33+X33+Z33+T33</f>
        <v>0</v>
      </c>
      <c r="AC33" s="97"/>
      <c r="AD33" s="35" t="str">
        <f t="shared" ca="1" si="4"/>
        <v/>
      </c>
    </row>
    <row r="34" spans="2:37" s="99" customFormat="1" ht="13" x14ac:dyDescent="0.3">
      <c r="B34" s="163"/>
      <c r="F34" s="94"/>
      <c r="G34" s="94"/>
      <c r="H34" s="94"/>
      <c r="I34" s="94"/>
      <c r="J34" s="94"/>
      <c r="K34" s="94"/>
      <c r="L34" s="94"/>
      <c r="M34" s="94"/>
      <c r="N34" s="94"/>
      <c r="O34" s="188"/>
      <c r="P34" s="97"/>
      <c r="Q34" s="97"/>
      <c r="R34" s="97"/>
      <c r="S34" s="97"/>
      <c r="T34" s="97"/>
      <c r="U34" s="97"/>
      <c r="V34" s="97"/>
      <c r="W34" s="97"/>
      <c r="X34" s="97"/>
      <c r="Y34" s="41"/>
      <c r="Z34" s="97"/>
      <c r="AA34" s="97"/>
      <c r="AB34" s="23"/>
      <c r="AC34" s="97"/>
      <c r="AD34" s="35" t="str">
        <f t="shared" si="4"/>
        <v/>
      </c>
    </row>
    <row r="35" spans="2:37" s="99" customFormat="1" ht="13" x14ac:dyDescent="0.3">
      <c r="B35" s="163">
        <f>B33+1</f>
        <v>16</v>
      </c>
      <c r="D35" s="99" t="s">
        <v>475</v>
      </c>
      <c r="F35" s="79">
        <f ca="1">F31+F33</f>
        <v>0</v>
      </c>
      <c r="G35" s="94"/>
      <c r="H35" s="79">
        <f>H31+H33</f>
        <v>0</v>
      </c>
      <c r="I35" s="94"/>
      <c r="J35" s="94"/>
      <c r="K35" s="94"/>
      <c r="L35" s="79">
        <f ca="1">L31+L33</f>
        <v>0</v>
      </c>
      <c r="M35" s="94"/>
      <c r="N35" s="94"/>
      <c r="O35" s="188"/>
      <c r="P35" s="45">
        <f ca="1">P31+P33</f>
        <v>0</v>
      </c>
      <c r="Q35" s="47"/>
      <c r="R35" s="45">
        <f ca="1">R31+R33</f>
        <v>0</v>
      </c>
      <c r="S35" s="31"/>
      <c r="T35" s="45">
        <f ca="1">T31+T33</f>
        <v>0</v>
      </c>
      <c r="U35" s="23"/>
      <c r="V35" s="45">
        <f ca="1">V31+V33</f>
        <v>0</v>
      </c>
      <c r="W35" s="23"/>
      <c r="X35" s="45">
        <f ca="1">X31+X33</f>
        <v>0</v>
      </c>
      <c r="Y35" s="41"/>
      <c r="Z35" s="45">
        <f ca="1">Z31+Z33</f>
        <v>0</v>
      </c>
      <c r="AA35" s="97"/>
      <c r="AB35" s="45">
        <f ca="1">AB31+AB33</f>
        <v>0</v>
      </c>
      <c r="AC35" s="97"/>
      <c r="AD35" s="35" t="str">
        <f t="shared" ca="1" si="4"/>
        <v/>
      </c>
    </row>
    <row r="36" spans="2:37" s="99" customFormat="1" x14ac:dyDescent="0.25">
      <c r="B36" s="163"/>
      <c r="D36" s="6"/>
      <c r="E36" s="6"/>
      <c r="F36" s="219"/>
      <c r="G36" s="94"/>
      <c r="H36" s="219"/>
      <c r="I36" s="94"/>
      <c r="J36" s="91"/>
      <c r="K36" s="94"/>
      <c r="L36" s="219"/>
      <c r="M36" s="94"/>
      <c r="N36" s="94"/>
      <c r="O36" s="187"/>
      <c r="Z36" s="99" t="str">
        <f t="shared" ref="Z36:Z39" si="6">IF(ROUND(F36,4)=ROUND(X36,4), "", "check")</f>
        <v/>
      </c>
    </row>
    <row r="37" spans="2:37" s="99" customFormat="1" x14ac:dyDescent="0.25">
      <c r="B37" s="163"/>
      <c r="F37" s="113"/>
      <c r="G37" s="94"/>
      <c r="H37" s="94"/>
      <c r="I37" s="94"/>
      <c r="J37" s="91"/>
      <c r="K37" s="94"/>
      <c r="L37" s="94"/>
      <c r="M37" s="94"/>
      <c r="N37" s="94"/>
      <c r="O37" s="187"/>
      <c r="Z37" s="99" t="str">
        <f t="shared" si="6"/>
        <v/>
      </c>
    </row>
    <row r="38" spans="2:37" s="99" customFormat="1" ht="13" x14ac:dyDescent="0.3">
      <c r="B38" s="163"/>
      <c r="D38" s="6" t="s">
        <v>330</v>
      </c>
      <c r="E38" s="7"/>
      <c r="F38" s="220"/>
      <c r="G38" s="94"/>
      <c r="H38" s="94"/>
      <c r="I38" s="94"/>
      <c r="J38" s="91"/>
      <c r="K38" s="94"/>
      <c r="L38" s="94"/>
      <c r="M38" s="94"/>
      <c r="N38" s="94"/>
      <c r="O38" s="187"/>
      <c r="Z38" s="99" t="str">
        <f t="shared" si="6"/>
        <v/>
      </c>
    </row>
    <row r="39" spans="2:37" s="99" customFormat="1" x14ac:dyDescent="0.25">
      <c r="B39" s="163"/>
      <c r="F39" s="94"/>
      <c r="G39" s="94"/>
      <c r="H39" s="94"/>
      <c r="I39" s="94"/>
      <c r="J39" s="91"/>
      <c r="K39" s="94"/>
      <c r="L39" s="94"/>
      <c r="M39" s="94"/>
      <c r="N39" s="94"/>
      <c r="O39" s="187"/>
      <c r="Z39" s="99" t="str">
        <f t="shared" si="6"/>
        <v/>
      </c>
    </row>
    <row r="40" spans="2:37" s="99" customFormat="1" ht="13" x14ac:dyDescent="0.3">
      <c r="B40" s="163">
        <f>B35+1</f>
        <v>17</v>
      </c>
      <c r="D40" s="99" t="s">
        <v>77</v>
      </c>
      <c r="F40" s="113">
        <f ca="1">Function!P40</f>
        <v>0</v>
      </c>
      <c r="G40" s="94"/>
      <c r="H40" s="113"/>
      <c r="I40" s="94"/>
      <c r="J40" s="91"/>
      <c r="K40" s="94"/>
      <c r="L40" s="113">
        <f ca="1">F40-H40</f>
        <v>0</v>
      </c>
      <c r="M40" s="94"/>
      <c r="N40" s="91"/>
      <c r="O40" s="186">
        <f>_xlfn.IFNA(MATCH(N40,'Gas Supply Factors'!$B$13:$B$459,0),0)</f>
        <v>0</v>
      </c>
      <c r="P40" s="22">
        <f ca="1">OFFSET('Gas Supply Factors'!$B$13,$O40-1,P$14)*$L40+OFFSET('Gas Supply Factors'!$B$13,$K40-1,P$14)*$H40</f>
        <v>0</v>
      </c>
      <c r="Q40" s="97"/>
      <c r="R40" s="22">
        <f ca="1">OFFSET('Gas Supply Factors'!$B$13,$O40-1,R$14)*$L40+OFFSET('Gas Supply Factors'!$B$13,$K40-1,R$14)*$H40</f>
        <v>0</v>
      </c>
      <c r="S40" s="22"/>
      <c r="T40" s="22">
        <f ca="1">OFFSET('Gas Supply Factors'!$B$13,$O40-1,T$14)*$L40+OFFSET('Gas Supply Factors'!$B$13,$K40-1,T$14)*$H40</f>
        <v>0</v>
      </c>
      <c r="U40" s="22"/>
      <c r="V40" s="22">
        <f ca="1">OFFSET('Gas Supply Factors'!$B$13,$O40-1,V$14)*$L40+OFFSET('Gas Supply Factors'!$B$13,$K40-1,V$14)*$H40</f>
        <v>0</v>
      </c>
      <c r="W40" s="22"/>
      <c r="X40" s="22">
        <f ca="1">OFFSET('Gas Supply Factors'!$B$13,$O40-1,X$14)*$L40+OFFSET('Gas Supply Factors'!$B$13,$K40-1,X$14)*$H40</f>
        <v>0</v>
      </c>
      <c r="Z40" s="22">
        <f ca="1">OFFSET('Gas Supply Factors'!$B$13,$O40-1,Z$14)*$L40+OFFSET('Gas Supply Factors'!$B$13,$K40-1,Z$14)*$H40</f>
        <v>0</v>
      </c>
      <c r="AA40" s="97"/>
      <c r="AB40" s="22">
        <f ca="1">P40+R40+V40+X40+Z40+T40</f>
        <v>0</v>
      </c>
      <c r="AC40" s="97"/>
      <c r="AD40" s="35" t="str">
        <f ca="1">IF(ROUND(F40,4)=ROUND(AB40,4), "", "check")</f>
        <v/>
      </c>
    </row>
    <row r="41" spans="2:37" s="99" customFormat="1" ht="13" x14ac:dyDescent="0.3">
      <c r="B41" s="163">
        <f>B40+1</f>
        <v>18</v>
      </c>
      <c r="D41" s="99" t="s">
        <v>76</v>
      </c>
      <c r="F41" s="113">
        <f ca="1">Function!P41</f>
        <v>0</v>
      </c>
      <c r="G41" s="94"/>
      <c r="H41" s="113"/>
      <c r="I41" s="94"/>
      <c r="J41" s="91"/>
      <c r="K41" s="94"/>
      <c r="L41" s="113">
        <f t="shared" ref="L41:L52" ca="1" si="7">F41-H41</f>
        <v>0</v>
      </c>
      <c r="M41" s="94"/>
      <c r="N41" s="91"/>
      <c r="O41" s="186">
        <f>_xlfn.IFNA(MATCH(N41,'Gas Supply Factors'!$B$13:$B$459,0),0)</f>
        <v>0</v>
      </c>
      <c r="P41" s="22">
        <f ca="1">OFFSET('Gas Supply Factors'!$B$13,$O41-1,P$14)*$L41+OFFSET('Gas Supply Factors'!$B$13,$K41-1,P$14)*$H41</f>
        <v>0</v>
      </c>
      <c r="Q41" s="97"/>
      <c r="R41" s="22">
        <f ca="1">OFFSET('Gas Supply Factors'!$B$13,$O41-1,R$14)*$L41+OFFSET('Gas Supply Factors'!$B$13,$K41-1,R$14)*$H41</f>
        <v>0</v>
      </c>
      <c r="S41" s="22"/>
      <c r="T41" s="22">
        <f ca="1">OFFSET('Gas Supply Factors'!$B$13,$O41-1,T$14)*$L41+OFFSET('Gas Supply Factors'!$B$13,$K41-1,T$14)*$H41</f>
        <v>0</v>
      </c>
      <c r="U41" s="22"/>
      <c r="V41" s="22">
        <f ca="1">OFFSET('Gas Supply Factors'!$B$13,$O41-1,V$14)*$L41+OFFSET('Gas Supply Factors'!$B$13,$K41-1,V$14)*$H41</f>
        <v>0</v>
      </c>
      <c r="W41" s="22"/>
      <c r="X41" s="22">
        <f ca="1">OFFSET('Gas Supply Factors'!$B$13,$O41-1,X$14)*$L41+OFFSET('Gas Supply Factors'!$B$13,$K41-1,X$14)*$H41</f>
        <v>0</v>
      </c>
      <c r="Z41" s="22">
        <f ca="1">OFFSET('Gas Supply Factors'!$B$13,$O41-1,Z$14)*$L41+OFFSET('Gas Supply Factors'!$B$13,$K41-1,Z$14)*$H41</f>
        <v>0</v>
      </c>
      <c r="AA41" s="97"/>
      <c r="AB41" s="22">
        <f t="shared" ref="AB41:AB52" ca="1" si="8">P41+R41+V41+X41+Z41+T41</f>
        <v>0</v>
      </c>
      <c r="AC41" s="97"/>
      <c r="AD41" s="35"/>
    </row>
    <row r="42" spans="2:37" s="99" customFormat="1" ht="13" x14ac:dyDescent="0.3">
      <c r="B42" s="163">
        <f t="shared" ref="B42:B53" si="9">B41+1</f>
        <v>19</v>
      </c>
      <c r="D42" s="99" t="s">
        <v>19</v>
      </c>
      <c r="F42" s="113">
        <f ca="1">Function!P42</f>
        <v>0</v>
      </c>
      <c r="G42" s="94"/>
      <c r="H42" s="113"/>
      <c r="I42" s="94"/>
      <c r="J42" s="91"/>
      <c r="K42" s="94"/>
      <c r="L42" s="113">
        <f t="shared" ca="1" si="7"/>
        <v>0</v>
      </c>
      <c r="M42" s="94"/>
      <c r="N42" s="91"/>
      <c r="O42" s="186">
        <f>_xlfn.IFNA(MATCH(N42,'Gas Supply Factors'!$B$13:$B$459,0),0)</f>
        <v>0</v>
      </c>
      <c r="P42" s="22">
        <f ca="1">OFFSET('Gas Supply Factors'!$B$13,$O42-1,P$14)*$L42+OFFSET('Gas Supply Factors'!$B$13,$K42-1,P$14)*$H42</f>
        <v>0</v>
      </c>
      <c r="Q42" s="97"/>
      <c r="R42" s="22">
        <f ca="1">OFFSET('Gas Supply Factors'!$B$13,$O42-1,R$14)*$L42+OFFSET('Gas Supply Factors'!$B$13,$K42-1,R$14)*$H42</f>
        <v>0</v>
      </c>
      <c r="S42" s="22"/>
      <c r="T42" s="22">
        <f ca="1">OFFSET('Gas Supply Factors'!$B$13,$O42-1,T$14)*$L42+OFFSET('Gas Supply Factors'!$B$13,$K42-1,T$14)*$H42</f>
        <v>0</v>
      </c>
      <c r="U42" s="22"/>
      <c r="V42" s="22">
        <f ca="1">OFFSET('Gas Supply Factors'!$B$13,$O42-1,V$14)*$L42+OFFSET('Gas Supply Factors'!$B$13,$K42-1,V$14)*$H42</f>
        <v>0</v>
      </c>
      <c r="W42" s="22"/>
      <c r="X42" s="22">
        <f ca="1">OFFSET('Gas Supply Factors'!$B$13,$O42-1,X$14)*$L42+OFFSET('Gas Supply Factors'!$B$13,$K42-1,X$14)*$H42</f>
        <v>0</v>
      </c>
      <c r="Z42" s="22">
        <f ca="1">OFFSET('Gas Supply Factors'!$B$13,$O42-1,Z$14)*$L42+OFFSET('Gas Supply Factors'!$B$13,$K42-1,Z$14)*$H42</f>
        <v>0</v>
      </c>
      <c r="AA42" s="97"/>
      <c r="AB42" s="22">
        <f t="shared" ca="1" si="8"/>
        <v>0</v>
      </c>
      <c r="AC42" s="97"/>
      <c r="AD42" s="35" t="str">
        <f t="shared" ref="AD42:AD45" ca="1" si="10">IF(ROUND(F42,4)=ROUND(AB42,4), "", "check")</f>
        <v/>
      </c>
    </row>
    <row r="43" spans="2:37" s="99" customFormat="1" ht="13" x14ac:dyDescent="0.3">
      <c r="B43" s="163">
        <f t="shared" si="9"/>
        <v>20</v>
      </c>
      <c r="D43" s="99" t="s">
        <v>21</v>
      </c>
      <c r="F43" s="113">
        <f ca="1">Function!P43</f>
        <v>0</v>
      </c>
      <c r="G43" s="94"/>
      <c r="H43" s="113"/>
      <c r="I43" s="94"/>
      <c r="J43" s="91"/>
      <c r="K43" s="94"/>
      <c r="L43" s="113">
        <f t="shared" ca="1" si="7"/>
        <v>0</v>
      </c>
      <c r="M43" s="94"/>
      <c r="N43" s="91"/>
      <c r="O43" s="186">
        <f>_xlfn.IFNA(MATCH(N43,'Gas Supply Factors'!$B$13:$B$459,0),0)</f>
        <v>0</v>
      </c>
      <c r="P43" s="22">
        <f ca="1">OFFSET('Gas Supply Factors'!$B$13,$O43-1,P$14)*$L43+OFFSET('Gas Supply Factors'!$B$13,$K43-1,P$14)*$H43</f>
        <v>0</v>
      </c>
      <c r="Q43" s="97"/>
      <c r="R43" s="22">
        <f ca="1">OFFSET('Gas Supply Factors'!$B$13,$O43-1,R$14)*$L43+OFFSET('Gas Supply Factors'!$B$13,$K43-1,R$14)*$H43</f>
        <v>0</v>
      </c>
      <c r="S43" s="22"/>
      <c r="T43" s="22">
        <f ca="1">OFFSET('Gas Supply Factors'!$B$13,$O43-1,T$14)*$L43+OFFSET('Gas Supply Factors'!$B$13,$K43-1,T$14)*$H43</f>
        <v>0</v>
      </c>
      <c r="U43" s="22"/>
      <c r="V43" s="22">
        <f ca="1">OFFSET('Gas Supply Factors'!$B$13,$O43-1,V$14)*$L43+OFFSET('Gas Supply Factors'!$B$13,$K43-1,V$14)*$H43</f>
        <v>0</v>
      </c>
      <c r="W43" s="22"/>
      <c r="X43" s="22">
        <f ca="1">OFFSET('Gas Supply Factors'!$B$13,$O43-1,X$14)*$L43+OFFSET('Gas Supply Factors'!$B$13,$K43-1,X$14)*$H43</f>
        <v>0</v>
      </c>
      <c r="Z43" s="22">
        <f ca="1">OFFSET('Gas Supply Factors'!$B$13,$O43-1,Z$14)*$L43+OFFSET('Gas Supply Factors'!$B$13,$K43-1,Z$14)*$H43</f>
        <v>0</v>
      </c>
      <c r="AA43" s="97"/>
      <c r="AB43" s="22">
        <f t="shared" ca="1" si="8"/>
        <v>0</v>
      </c>
      <c r="AC43" s="97"/>
      <c r="AD43" s="35" t="str">
        <f t="shared" ca="1" si="10"/>
        <v/>
      </c>
    </row>
    <row r="44" spans="2:37" s="99" customFormat="1" ht="13" x14ac:dyDescent="0.3">
      <c r="B44" s="163">
        <f t="shared" si="9"/>
        <v>21</v>
      </c>
      <c r="D44" s="99" t="s">
        <v>23</v>
      </c>
      <c r="F44" s="113">
        <f ca="1">Function!P44</f>
        <v>0</v>
      </c>
      <c r="G44" s="94"/>
      <c r="H44" s="113"/>
      <c r="I44" s="94"/>
      <c r="J44" s="91"/>
      <c r="K44" s="94"/>
      <c r="L44" s="113">
        <f t="shared" ca="1" si="7"/>
        <v>0</v>
      </c>
      <c r="M44" s="94"/>
      <c r="N44" s="91"/>
      <c r="O44" s="186">
        <f>_xlfn.IFNA(MATCH(N44,'Gas Supply Factors'!$B$13:$B$459,0),0)</f>
        <v>0</v>
      </c>
      <c r="P44" s="22">
        <f ca="1">OFFSET('Gas Supply Factors'!$B$13,$O44-1,P$14)*$L44+OFFSET('Gas Supply Factors'!$B$13,$K44-1,P$14)*$H44</f>
        <v>0</v>
      </c>
      <c r="Q44" s="97"/>
      <c r="R44" s="22">
        <f ca="1">OFFSET('Gas Supply Factors'!$B$13,$O44-1,R$14)*$L44+OFFSET('Gas Supply Factors'!$B$13,$K44-1,R$14)*$H44</f>
        <v>0</v>
      </c>
      <c r="S44" s="22"/>
      <c r="T44" s="22">
        <f ca="1">OFFSET('Gas Supply Factors'!$B$13,$O44-1,T$14)*$L44+OFFSET('Gas Supply Factors'!$B$13,$K44-1,T$14)*$H44</f>
        <v>0</v>
      </c>
      <c r="U44" s="22"/>
      <c r="V44" s="22">
        <f ca="1">OFFSET('Gas Supply Factors'!$B$13,$O44-1,V$14)*$L44+OFFSET('Gas Supply Factors'!$B$13,$K44-1,V$14)*$H44</f>
        <v>0</v>
      </c>
      <c r="W44" s="22"/>
      <c r="X44" s="22">
        <f ca="1">OFFSET('Gas Supply Factors'!$B$13,$O44-1,X$14)*$L44+OFFSET('Gas Supply Factors'!$B$13,$K44-1,X$14)*$H44</f>
        <v>0</v>
      </c>
      <c r="Z44" s="22">
        <f ca="1">OFFSET('Gas Supply Factors'!$B$13,$O44-1,Z$14)*$L44+OFFSET('Gas Supply Factors'!$B$13,$K44-1,Z$14)*$H44</f>
        <v>0</v>
      </c>
      <c r="AA44" s="97"/>
      <c r="AB44" s="22">
        <f t="shared" ca="1" si="8"/>
        <v>0</v>
      </c>
      <c r="AC44" s="97"/>
      <c r="AD44" s="35" t="str">
        <f t="shared" ca="1" si="10"/>
        <v/>
      </c>
    </row>
    <row r="45" spans="2:37" s="99" customFormat="1" ht="13" x14ac:dyDescent="0.3">
      <c r="B45" s="163">
        <f t="shared" si="9"/>
        <v>22</v>
      </c>
      <c r="D45" s="99" t="s">
        <v>25</v>
      </c>
      <c r="F45" s="113">
        <f ca="1">Function!P45</f>
        <v>0</v>
      </c>
      <c r="G45" s="94"/>
      <c r="H45" s="113"/>
      <c r="I45" s="94"/>
      <c r="J45" s="94"/>
      <c r="K45" s="94"/>
      <c r="L45" s="113">
        <f t="shared" ca="1" si="7"/>
        <v>0</v>
      </c>
      <c r="M45" s="94"/>
      <c r="N45" s="91"/>
      <c r="O45" s="186">
        <f>_xlfn.IFNA(MATCH(N45,'Gas Supply Factors'!$B$13:$B$459,0),0)</f>
        <v>0</v>
      </c>
      <c r="P45" s="22">
        <f ca="1">OFFSET('Gas Supply Factors'!$B$13,$O45-1,P$14)*$L45+OFFSET('Gas Supply Factors'!$B$13,$K45-1,P$14)*$H45</f>
        <v>0</v>
      </c>
      <c r="Q45" s="97"/>
      <c r="R45" s="22">
        <f ca="1">OFFSET('Gas Supply Factors'!$B$13,$O45-1,R$14)*$L45+OFFSET('Gas Supply Factors'!$B$13,$K45-1,R$14)*$H45</f>
        <v>0</v>
      </c>
      <c r="S45" s="22"/>
      <c r="T45" s="22">
        <f ca="1">OFFSET('Gas Supply Factors'!$B$13,$O45-1,T$14)*$L45+OFFSET('Gas Supply Factors'!$B$13,$K45-1,T$14)*$H45</f>
        <v>0</v>
      </c>
      <c r="U45" s="22"/>
      <c r="V45" s="22">
        <f ca="1">OFFSET('Gas Supply Factors'!$B$13,$O45-1,V$14)*$L45+OFFSET('Gas Supply Factors'!$B$13,$K45-1,V$14)*$H45</f>
        <v>0</v>
      </c>
      <c r="W45" s="22"/>
      <c r="X45" s="22">
        <f ca="1">OFFSET('Gas Supply Factors'!$B$13,$O45-1,X$14)*$L45+OFFSET('Gas Supply Factors'!$B$13,$K45-1,X$14)*$H45</f>
        <v>0</v>
      </c>
      <c r="Z45" s="22">
        <f ca="1">OFFSET('Gas Supply Factors'!$B$13,$O45-1,Z$14)*$L45+OFFSET('Gas Supply Factors'!$B$13,$K45-1,Z$14)*$H45</f>
        <v>0</v>
      </c>
      <c r="AA45" s="97"/>
      <c r="AB45" s="22">
        <f t="shared" ca="1" si="8"/>
        <v>0</v>
      </c>
      <c r="AC45" s="97"/>
      <c r="AD45" s="35" t="str">
        <f t="shared" ca="1" si="10"/>
        <v/>
      </c>
      <c r="AK45" s="15"/>
    </row>
    <row r="46" spans="2:37" s="99" customFormat="1" ht="13" x14ac:dyDescent="0.3">
      <c r="B46" s="163">
        <f t="shared" si="9"/>
        <v>23</v>
      </c>
      <c r="D46" s="99" t="s">
        <v>27</v>
      </c>
      <c r="F46" s="113">
        <f ca="1">Function!P46</f>
        <v>0</v>
      </c>
      <c r="G46" s="94"/>
      <c r="H46" s="113"/>
      <c r="I46" s="94"/>
      <c r="J46" s="94"/>
      <c r="K46" s="94"/>
      <c r="L46" s="113">
        <f t="shared" ca="1" si="7"/>
        <v>0</v>
      </c>
      <c r="M46" s="94"/>
      <c r="N46" s="91"/>
      <c r="O46" s="186">
        <f>_xlfn.IFNA(MATCH(N46,'Gas Supply Factors'!$B$13:$B$459,0),0)</f>
        <v>0</v>
      </c>
      <c r="P46" s="22">
        <f ca="1">OFFSET('Gas Supply Factors'!$B$13,$O46-1,P$14)*$L46+OFFSET('Gas Supply Factors'!$B$13,$K46-1,P$14)*$H46</f>
        <v>0</v>
      </c>
      <c r="Q46" s="97"/>
      <c r="R46" s="22">
        <f ca="1">OFFSET('Gas Supply Factors'!$B$13,$O46-1,R$14)*$L46+OFFSET('Gas Supply Factors'!$B$13,$K46-1,R$14)*$H46</f>
        <v>0</v>
      </c>
      <c r="S46" s="22"/>
      <c r="T46" s="22">
        <f ca="1">OFFSET('Gas Supply Factors'!$B$13,$O46-1,T$14)*$L46+OFFSET('Gas Supply Factors'!$B$13,$K46-1,T$14)*$H46</f>
        <v>0</v>
      </c>
      <c r="U46" s="22"/>
      <c r="V46" s="22">
        <f ca="1">OFFSET('Gas Supply Factors'!$B$13,$O46-1,V$14)*$L46+OFFSET('Gas Supply Factors'!$B$13,$K46-1,V$14)*$H46</f>
        <v>0</v>
      </c>
      <c r="W46" s="22"/>
      <c r="X46" s="22">
        <f ca="1">OFFSET('Gas Supply Factors'!$B$13,$O46-1,X$14)*$L46+OFFSET('Gas Supply Factors'!$B$13,$K46-1,X$14)*$H46</f>
        <v>0</v>
      </c>
      <c r="Z46" s="22">
        <f ca="1">OFFSET('Gas Supply Factors'!$B$13,$O46-1,Z$14)*$L46+OFFSET('Gas Supply Factors'!$B$13,$K46-1,Z$14)*$H46</f>
        <v>0</v>
      </c>
      <c r="AA46" s="97"/>
      <c r="AB46" s="22">
        <f t="shared" ca="1" si="8"/>
        <v>0</v>
      </c>
      <c r="AC46" s="97"/>
      <c r="AD46" s="35" t="str">
        <f ca="1">IF(ROUND(F46,4)=ROUND(AB46,4), "", "check")</f>
        <v/>
      </c>
      <c r="AK46" s="15"/>
    </row>
    <row r="47" spans="2:37" s="99" customFormat="1" ht="13" x14ac:dyDescent="0.3">
      <c r="B47" s="163">
        <f t="shared" si="9"/>
        <v>24</v>
      </c>
      <c r="D47" s="99" t="s">
        <v>29</v>
      </c>
      <c r="F47" s="113">
        <f ca="1">Function!P47</f>
        <v>0</v>
      </c>
      <c r="G47" s="94"/>
      <c r="H47" s="113"/>
      <c r="I47" s="94"/>
      <c r="J47" s="94"/>
      <c r="K47" s="94"/>
      <c r="L47" s="113">
        <f t="shared" ca="1" si="7"/>
        <v>0</v>
      </c>
      <c r="M47" s="94"/>
      <c r="N47" s="91"/>
      <c r="O47" s="186">
        <f>_xlfn.IFNA(MATCH(N47,'Gas Supply Factors'!$B$13:$B$459,0),0)</f>
        <v>0</v>
      </c>
      <c r="P47" s="22">
        <f ca="1">OFFSET('Gas Supply Factors'!$B$13,$O47-1,P$14)*$L47+OFFSET('Gas Supply Factors'!$B$13,$K47-1,P$14)*$H47</f>
        <v>0</v>
      </c>
      <c r="Q47" s="97"/>
      <c r="R47" s="22">
        <f ca="1">OFFSET('Gas Supply Factors'!$B$13,$O47-1,R$14)*$L47+OFFSET('Gas Supply Factors'!$B$13,$K47-1,R$14)*$H47</f>
        <v>0</v>
      </c>
      <c r="S47" s="22"/>
      <c r="T47" s="22">
        <f ca="1">OFFSET('Gas Supply Factors'!$B$13,$O47-1,T$14)*$L47+OFFSET('Gas Supply Factors'!$B$13,$K47-1,T$14)*$H47</f>
        <v>0</v>
      </c>
      <c r="U47" s="22"/>
      <c r="V47" s="22">
        <f ca="1">OFFSET('Gas Supply Factors'!$B$13,$O47-1,V$14)*$L47+OFFSET('Gas Supply Factors'!$B$13,$K47-1,V$14)*$H47</f>
        <v>0</v>
      </c>
      <c r="W47" s="22"/>
      <c r="X47" s="22">
        <f ca="1">OFFSET('Gas Supply Factors'!$B$13,$O47-1,X$14)*$L47+OFFSET('Gas Supply Factors'!$B$13,$K47-1,X$14)*$H47</f>
        <v>0</v>
      </c>
      <c r="Z47" s="22">
        <f ca="1">OFFSET('Gas Supply Factors'!$B$13,$O47-1,Z$14)*$L47+OFFSET('Gas Supply Factors'!$B$13,$K47-1,Z$14)*$H47</f>
        <v>0</v>
      </c>
      <c r="AA47" s="97"/>
      <c r="AB47" s="22">
        <f t="shared" ca="1" si="8"/>
        <v>0</v>
      </c>
      <c r="AC47" s="97"/>
      <c r="AD47" s="35" t="str">
        <f t="shared" ref="AD47:AD57" ca="1" si="11">IF(ROUND(F47,4)=ROUND(AB47,4), "", "check")</f>
        <v/>
      </c>
    </row>
    <row r="48" spans="2:37" s="99" customFormat="1" ht="13" x14ac:dyDescent="0.3">
      <c r="B48" s="163">
        <f t="shared" si="9"/>
        <v>25</v>
      </c>
      <c r="D48" s="99" t="s">
        <v>30</v>
      </c>
      <c r="F48" s="113">
        <f ca="1">Function!P48</f>
        <v>0</v>
      </c>
      <c r="G48" s="94"/>
      <c r="H48" s="113"/>
      <c r="I48" s="94"/>
      <c r="J48" s="94"/>
      <c r="K48" s="94"/>
      <c r="L48" s="113">
        <f t="shared" ca="1" si="7"/>
        <v>0</v>
      </c>
      <c r="M48" s="94"/>
      <c r="N48" s="91"/>
      <c r="O48" s="186">
        <f>_xlfn.IFNA(MATCH(N48,'Gas Supply Factors'!$B$13:$B$459,0),0)</f>
        <v>0</v>
      </c>
      <c r="P48" s="22">
        <f ca="1">OFFSET('Gas Supply Factors'!$B$13,$O48-1,P$14)*$L48+OFFSET('Gas Supply Factors'!$B$13,$K48-1,P$14)*$H48</f>
        <v>0</v>
      </c>
      <c r="Q48" s="97"/>
      <c r="R48" s="22">
        <f ca="1">OFFSET('Gas Supply Factors'!$B$13,$O48-1,R$14)*$L48+OFFSET('Gas Supply Factors'!$B$13,$K48-1,R$14)*$H48</f>
        <v>0</v>
      </c>
      <c r="S48" s="22"/>
      <c r="T48" s="22">
        <f ca="1">OFFSET('Gas Supply Factors'!$B$13,$O48-1,T$14)*$L48+OFFSET('Gas Supply Factors'!$B$13,$K48-1,T$14)*$H48</f>
        <v>0</v>
      </c>
      <c r="U48" s="22"/>
      <c r="V48" s="22">
        <f ca="1">OFFSET('Gas Supply Factors'!$B$13,$O48-1,V$14)*$L48+OFFSET('Gas Supply Factors'!$B$13,$K48-1,V$14)*$H48</f>
        <v>0</v>
      </c>
      <c r="W48" s="22"/>
      <c r="X48" s="22">
        <f ca="1">OFFSET('Gas Supply Factors'!$B$13,$O48-1,X$14)*$L48+OFFSET('Gas Supply Factors'!$B$13,$K48-1,X$14)*$H48</f>
        <v>0</v>
      </c>
      <c r="Z48" s="22">
        <f ca="1">OFFSET('Gas Supply Factors'!$B$13,$O48-1,Z$14)*$L48+OFFSET('Gas Supply Factors'!$B$13,$K48-1,Z$14)*$H48</f>
        <v>0</v>
      </c>
      <c r="AA48" s="97"/>
      <c r="AB48" s="22">
        <f t="shared" ca="1" si="8"/>
        <v>0</v>
      </c>
      <c r="AC48" s="97"/>
      <c r="AD48" s="35" t="str">
        <f t="shared" ca="1" si="11"/>
        <v/>
      </c>
    </row>
    <row r="49" spans="2:37" s="99" customFormat="1" ht="13" x14ac:dyDescent="0.3">
      <c r="B49" s="163">
        <f t="shared" si="9"/>
        <v>26</v>
      </c>
      <c r="D49" s="99" t="s">
        <v>31</v>
      </c>
      <c r="F49" s="113">
        <f ca="1">Function!P49</f>
        <v>0</v>
      </c>
      <c r="G49" s="94"/>
      <c r="H49" s="113"/>
      <c r="I49" s="94"/>
      <c r="J49" s="94"/>
      <c r="K49" s="94"/>
      <c r="L49" s="113">
        <f t="shared" ca="1" si="7"/>
        <v>0</v>
      </c>
      <c r="M49" s="94"/>
      <c r="N49" s="91"/>
      <c r="O49" s="186">
        <f>_xlfn.IFNA(MATCH(N49,'Gas Supply Factors'!$B$13:$B$459,0),0)</f>
        <v>0</v>
      </c>
      <c r="P49" s="22">
        <f ca="1">OFFSET('Gas Supply Factors'!$B$13,$O49-1,P$14)*$L49+OFFSET('Gas Supply Factors'!$B$13,$K49-1,P$14)*$H49</f>
        <v>0</v>
      </c>
      <c r="Q49" s="97"/>
      <c r="R49" s="22">
        <f ca="1">OFFSET('Gas Supply Factors'!$B$13,$O49-1,R$14)*$L49+OFFSET('Gas Supply Factors'!$B$13,$K49-1,R$14)*$H49</f>
        <v>0</v>
      </c>
      <c r="S49" s="22"/>
      <c r="T49" s="22">
        <f ca="1">OFFSET('Gas Supply Factors'!$B$13,$O49-1,T$14)*$L49+OFFSET('Gas Supply Factors'!$B$13,$K49-1,T$14)*$H49</f>
        <v>0</v>
      </c>
      <c r="U49" s="22"/>
      <c r="V49" s="22">
        <f ca="1">OFFSET('Gas Supply Factors'!$B$13,$O49-1,V$14)*$L49+OFFSET('Gas Supply Factors'!$B$13,$K49-1,V$14)*$H49</f>
        <v>0</v>
      </c>
      <c r="W49" s="22"/>
      <c r="X49" s="22">
        <f ca="1">OFFSET('Gas Supply Factors'!$B$13,$O49-1,X$14)*$L49+OFFSET('Gas Supply Factors'!$B$13,$K49-1,X$14)*$H49</f>
        <v>0</v>
      </c>
      <c r="Z49" s="22">
        <f ca="1">OFFSET('Gas Supply Factors'!$B$13,$O49-1,Z$14)*$L49+OFFSET('Gas Supply Factors'!$B$13,$K49-1,Z$14)*$H49</f>
        <v>0</v>
      </c>
      <c r="AA49" s="97"/>
      <c r="AB49" s="22">
        <f t="shared" ca="1" si="8"/>
        <v>0</v>
      </c>
      <c r="AC49" s="97"/>
      <c r="AD49" s="35" t="str">
        <f t="shared" ca="1" si="11"/>
        <v/>
      </c>
    </row>
    <row r="50" spans="2:37" s="99" customFormat="1" ht="13" x14ac:dyDescent="0.3">
      <c r="B50" s="163">
        <f t="shared" si="9"/>
        <v>27</v>
      </c>
      <c r="D50" s="99" t="s">
        <v>327</v>
      </c>
      <c r="F50" s="113">
        <f ca="1">Function!P50</f>
        <v>0</v>
      </c>
      <c r="G50" s="94"/>
      <c r="H50" s="113"/>
      <c r="I50" s="94"/>
      <c r="J50" s="94"/>
      <c r="K50" s="94"/>
      <c r="L50" s="113">
        <f t="shared" ca="1" si="7"/>
        <v>0</v>
      </c>
      <c r="M50" s="94"/>
      <c r="N50" s="91"/>
      <c r="O50" s="186">
        <f>_xlfn.IFNA(MATCH(N50,'Gas Supply Factors'!$B$13:$B$459,0),0)</f>
        <v>0</v>
      </c>
      <c r="P50" s="22">
        <f ca="1">OFFSET('Gas Supply Factors'!$B$13,$O50-1,P$14)*$L50+OFFSET('Gas Supply Factors'!$B$13,$K50-1,P$14)*$H50</f>
        <v>0</v>
      </c>
      <c r="Q50" s="97"/>
      <c r="R50" s="22">
        <f ca="1">OFFSET('Gas Supply Factors'!$B$13,$O50-1,R$14)*$L50+OFFSET('Gas Supply Factors'!$B$13,$K50-1,R$14)*$H50</f>
        <v>0</v>
      </c>
      <c r="S50" s="22"/>
      <c r="T50" s="22">
        <f ca="1">OFFSET('Gas Supply Factors'!$B$13,$O50-1,T$14)*$L50+OFFSET('Gas Supply Factors'!$B$13,$K50-1,T$14)*$H50</f>
        <v>0</v>
      </c>
      <c r="U50" s="22"/>
      <c r="V50" s="22">
        <f ca="1">OFFSET('Gas Supply Factors'!$B$13,$O50-1,V$14)*$L50+OFFSET('Gas Supply Factors'!$B$13,$K50-1,V$14)*$H50</f>
        <v>0</v>
      </c>
      <c r="W50" s="22"/>
      <c r="X50" s="22">
        <f ca="1">OFFSET('Gas Supply Factors'!$B$13,$O50-1,X$14)*$L50+OFFSET('Gas Supply Factors'!$B$13,$K50-1,X$14)*$H50</f>
        <v>0</v>
      </c>
      <c r="Z50" s="22">
        <f ca="1">OFFSET('Gas Supply Factors'!$B$13,$O50-1,Z$14)*$L50+OFFSET('Gas Supply Factors'!$B$13,$K50-1,Z$14)*$H50</f>
        <v>0</v>
      </c>
      <c r="AA50" s="97"/>
      <c r="AB50" s="22">
        <f t="shared" ca="1" si="8"/>
        <v>0</v>
      </c>
      <c r="AC50" s="97"/>
      <c r="AD50" s="35" t="str">
        <f t="shared" ca="1" si="11"/>
        <v/>
      </c>
    </row>
    <row r="51" spans="2:37" s="99" customFormat="1" ht="13" x14ac:dyDescent="0.3">
      <c r="B51" s="163">
        <f>B50+1</f>
        <v>28</v>
      </c>
      <c r="D51" s="99" t="s">
        <v>34</v>
      </c>
      <c r="F51" s="113">
        <f ca="1">Function!P51</f>
        <v>0</v>
      </c>
      <c r="G51" s="94"/>
      <c r="H51" s="113"/>
      <c r="I51" s="94"/>
      <c r="J51" s="94"/>
      <c r="K51" s="94"/>
      <c r="L51" s="113">
        <f t="shared" ca="1" si="7"/>
        <v>0</v>
      </c>
      <c r="M51" s="94"/>
      <c r="N51" s="91"/>
      <c r="O51" s="186">
        <f>_xlfn.IFNA(MATCH(N51,'Gas Supply Factors'!$B$13:$B$459,0),0)</f>
        <v>0</v>
      </c>
      <c r="P51" s="22">
        <f ca="1">OFFSET('Gas Supply Factors'!$B$13,$O51-1,P$14)*$L51+OFFSET('Gas Supply Factors'!$B$13,$K51-1,P$14)*$H51</f>
        <v>0</v>
      </c>
      <c r="Q51" s="97"/>
      <c r="R51" s="22">
        <f ca="1">OFFSET('Gas Supply Factors'!$B$13,$O51-1,R$14)*$L51+OFFSET('Gas Supply Factors'!$B$13,$K51-1,R$14)*$H51</f>
        <v>0</v>
      </c>
      <c r="S51" s="22"/>
      <c r="T51" s="22">
        <f ca="1">OFFSET('Gas Supply Factors'!$B$13,$O51-1,T$14)*$L51+OFFSET('Gas Supply Factors'!$B$13,$K51-1,T$14)*$H51</f>
        <v>0</v>
      </c>
      <c r="U51" s="22"/>
      <c r="V51" s="22">
        <f ca="1">OFFSET('Gas Supply Factors'!$B$13,$O51-1,V$14)*$L51+OFFSET('Gas Supply Factors'!$B$13,$K51-1,V$14)*$H51</f>
        <v>0</v>
      </c>
      <c r="W51" s="22"/>
      <c r="X51" s="22">
        <f ca="1">OFFSET('Gas Supply Factors'!$B$13,$O51-1,X$14)*$L51+OFFSET('Gas Supply Factors'!$B$13,$K51-1,X$14)*$H51</f>
        <v>0</v>
      </c>
      <c r="Z51" s="22">
        <f ca="1">OFFSET('Gas Supply Factors'!$B$13,$O51-1,Z$14)*$L51+OFFSET('Gas Supply Factors'!$B$13,$K51-1,Z$14)*$H51</f>
        <v>0</v>
      </c>
      <c r="AA51" s="97"/>
      <c r="AB51" s="22">
        <f t="shared" ca="1" si="8"/>
        <v>0</v>
      </c>
      <c r="AC51" s="97"/>
      <c r="AD51" s="35" t="str">
        <f t="shared" ca="1" si="11"/>
        <v/>
      </c>
    </row>
    <row r="52" spans="2:37" s="99" customFormat="1" ht="13" x14ac:dyDescent="0.3">
      <c r="B52" s="163">
        <f>B51+1</f>
        <v>29</v>
      </c>
      <c r="D52" s="99" t="s">
        <v>78</v>
      </c>
      <c r="F52" s="113">
        <f ca="1">Function!P52</f>
        <v>0</v>
      </c>
      <c r="G52" s="94"/>
      <c r="H52" s="113"/>
      <c r="I52" s="94"/>
      <c r="J52" s="94"/>
      <c r="K52" s="94"/>
      <c r="L52" s="113">
        <f t="shared" ca="1" si="7"/>
        <v>0</v>
      </c>
      <c r="M52" s="94"/>
      <c r="N52" s="91"/>
      <c r="O52" s="186">
        <f>_xlfn.IFNA(MATCH(N52,'Gas Supply Factors'!$B$13:$B$459,0),0)</f>
        <v>0</v>
      </c>
      <c r="P52" s="22">
        <f ca="1">OFFSET('Gas Supply Factors'!$B$13,$O52-1,P$14)*$L52+OFFSET('Gas Supply Factors'!$B$13,$K52-1,P$14)*$H52</f>
        <v>0</v>
      </c>
      <c r="Q52" s="97"/>
      <c r="R52" s="22">
        <f ca="1">OFFSET('Gas Supply Factors'!$B$13,$O52-1,R$14)*$L52+OFFSET('Gas Supply Factors'!$B$13,$K52-1,R$14)*$H52</f>
        <v>0</v>
      </c>
      <c r="S52" s="22"/>
      <c r="T52" s="22">
        <f ca="1">OFFSET('Gas Supply Factors'!$B$13,$O52-1,T$14)*$L52+OFFSET('Gas Supply Factors'!$B$13,$K52-1,T$14)*$H52</f>
        <v>0</v>
      </c>
      <c r="U52" s="22"/>
      <c r="V52" s="22">
        <f ca="1">OFFSET('Gas Supply Factors'!$B$13,$O52-1,V$14)*$L52+OFFSET('Gas Supply Factors'!$B$13,$K52-1,V$14)*$H52</f>
        <v>0</v>
      </c>
      <c r="W52" s="22"/>
      <c r="X52" s="22">
        <f ca="1">OFFSET('Gas Supply Factors'!$B$13,$O52-1,X$14)*$L52+OFFSET('Gas Supply Factors'!$B$13,$K52-1,X$14)*$H52</f>
        <v>0</v>
      </c>
      <c r="Z52" s="22">
        <f ca="1">OFFSET('Gas Supply Factors'!$B$13,$O52-1,Z$14)*$L52+OFFSET('Gas Supply Factors'!$B$13,$K52-1,Z$14)*$H52</f>
        <v>0</v>
      </c>
      <c r="AA52" s="97"/>
      <c r="AB52" s="22">
        <f t="shared" ca="1" si="8"/>
        <v>0</v>
      </c>
      <c r="AC52" s="97"/>
      <c r="AD52" s="35" t="str">
        <f t="shared" ca="1" si="11"/>
        <v/>
      </c>
    </row>
    <row r="53" spans="2:37" s="99" customFormat="1" ht="13" x14ac:dyDescent="0.3">
      <c r="B53" s="163">
        <f t="shared" si="9"/>
        <v>30</v>
      </c>
      <c r="D53" s="99" t="s">
        <v>334</v>
      </c>
      <c r="F53" s="79">
        <f ca="1">SUM(F40:F52)</f>
        <v>0</v>
      </c>
      <c r="G53" s="94"/>
      <c r="H53" s="79">
        <f>SUM(H40:H52)</f>
        <v>0</v>
      </c>
      <c r="I53" s="94"/>
      <c r="J53" s="94"/>
      <c r="K53" s="94"/>
      <c r="L53" s="79">
        <f ca="1">SUM(L40:L52)</f>
        <v>0</v>
      </c>
      <c r="M53" s="94"/>
      <c r="N53" s="94"/>
      <c r="O53" s="188"/>
      <c r="P53" s="46">
        <f ca="1">SUM(P40:P52)</f>
        <v>0</v>
      </c>
      <c r="Q53" s="32"/>
      <c r="R53" s="46">
        <f ca="1">SUM(R40:R52)</f>
        <v>0</v>
      </c>
      <c r="S53" s="30"/>
      <c r="T53" s="46">
        <f ca="1">SUM(T40:T52)</f>
        <v>0</v>
      </c>
      <c r="U53" s="30"/>
      <c r="V53" s="46">
        <f ca="1">SUM(V40:V52)</f>
        <v>0</v>
      </c>
      <c r="W53" s="30"/>
      <c r="X53" s="46">
        <f ca="1">SUM(X40:X52)</f>
        <v>0</v>
      </c>
      <c r="Y53" s="41"/>
      <c r="Z53" s="46">
        <f ca="1">SUM(Z40:Z52)</f>
        <v>0</v>
      </c>
      <c r="AA53" s="97"/>
      <c r="AB53" s="46">
        <f ca="1">SUM(AB40:AB52)</f>
        <v>0</v>
      </c>
      <c r="AC53" s="97"/>
      <c r="AD53" s="35" t="str">
        <f t="shared" ca="1" si="11"/>
        <v/>
      </c>
    </row>
    <row r="54" spans="2:37" s="99" customFormat="1" ht="13" x14ac:dyDescent="0.3">
      <c r="B54" s="163"/>
      <c r="F54" s="94"/>
      <c r="G54" s="94"/>
      <c r="H54" s="94"/>
      <c r="I54" s="94"/>
      <c r="J54" s="94"/>
      <c r="K54" s="94"/>
      <c r="L54" s="94"/>
      <c r="M54" s="94"/>
      <c r="N54" s="94"/>
      <c r="O54" s="188"/>
      <c r="P54" s="97"/>
      <c r="Q54" s="97"/>
      <c r="R54" s="97"/>
      <c r="S54" s="97"/>
      <c r="T54" s="97"/>
      <c r="U54" s="97"/>
      <c r="V54" s="97"/>
      <c r="W54" s="97"/>
      <c r="X54" s="97"/>
      <c r="Y54" s="41"/>
      <c r="Z54" s="97"/>
      <c r="AA54" s="97"/>
      <c r="AB54" s="23"/>
      <c r="AC54" s="97"/>
      <c r="AD54" s="35" t="str">
        <f t="shared" si="11"/>
        <v/>
      </c>
    </row>
    <row r="55" spans="2:37" s="99" customFormat="1" ht="13" x14ac:dyDescent="0.3">
      <c r="B55" s="163">
        <f>B53+1</f>
        <v>31</v>
      </c>
      <c r="D55" s="99" t="s">
        <v>221</v>
      </c>
      <c r="F55" s="113">
        <f ca="1">Function!P55</f>
        <v>0</v>
      </c>
      <c r="G55" s="94"/>
      <c r="H55" s="113"/>
      <c r="I55" s="94"/>
      <c r="J55" s="94"/>
      <c r="K55" s="94"/>
      <c r="L55" s="113">
        <f t="shared" ref="L55" ca="1" si="12">F55-H55</f>
        <v>0</v>
      </c>
      <c r="M55" s="94"/>
      <c r="N55" s="91"/>
      <c r="O55" s="186">
        <f>_xlfn.IFNA(MATCH(N55,'Gas Supply Factors'!$B$13:$B$426,0),0)</f>
        <v>0</v>
      </c>
      <c r="P55" s="22">
        <f ca="1">OFFSET('Gas Supply Factors'!$B$13,$O55-1,P$14)*$L55+OFFSET('Gas Supply Factors'!$B$13,$K55-1,P$14)*$H55</f>
        <v>0</v>
      </c>
      <c r="Q55" s="97"/>
      <c r="R55" s="22">
        <f ca="1">OFFSET('Gas Supply Factors'!$B$13,$O55-1,R$14)*$L55+OFFSET('Gas Supply Factors'!$B$13,$K55-1,R$14)*$H55</f>
        <v>0</v>
      </c>
      <c r="S55" s="22"/>
      <c r="T55" s="22">
        <f ca="1">OFFSET('Gas Supply Factors'!$B$13,$O55-1,T$14)*$L55+OFFSET('Gas Supply Factors'!$B$13,$K55-1,T$14)*$H55</f>
        <v>0</v>
      </c>
      <c r="U55" s="22"/>
      <c r="V55" s="22">
        <f ca="1">OFFSET('Gas Supply Factors'!$B$13,$O55-1,V$14)*$L55+OFFSET('Gas Supply Factors'!$B$13,$K55-1,V$14)*$H55</f>
        <v>0</v>
      </c>
      <c r="W55" s="22"/>
      <c r="X55" s="22">
        <f ca="1">OFFSET('Gas Supply Factors'!$B$13,$O55-1,X$14)*$L55+OFFSET('Gas Supply Factors'!$B$13,$K55-1,X$14)*$H55</f>
        <v>0</v>
      </c>
      <c r="Z55" s="22">
        <f ca="1">OFFSET('Gas Supply Factors'!$B$13,$O55-1,Z$14)*$L55+OFFSET('Gas Supply Factors'!$B$13,$K55-1,Z$14)*$H55</f>
        <v>0</v>
      </c>
      <c r="AA55" s="97"/>
      <c r="AB55" s="22">
        <f ca="1">P55+R55+V55+X55+Z55+T55</f>
        <v>0</v>
      </c>
      <c r="AC55" s="97"/>
      <c r="AD55" s="35" t="str">
        <f t="shared" ca="1" si="11"/>
        <v/>
      </c>
    </row>
    <row r="56" spans="2:37" s="99" customFormat="1" ht="13" x14ac:dyDescent="0.3">
      <c r="B56" s="163"/>
      <c r="F56" s="94"/>
      <c r="G56" s="94"/>
      <c r="H56" s="94"/>
      <c r="I56" s="94"/>
      <c r="J56" s="94"/>
      <c r="K56" s="94"/>
      <c r="L56" s="94"/>
      <c r="M56" s="94"/>
      <c r="N56" s="94"/>
      <c r="O56" s="188"/>
      <c r="P56" s="97"/>
      <c r="Q56" s="97"/>
      <c r="R56" s="97"/>
      <c r="S56" s="97"/>
      <c r="T56" s="97"/>
      <c r="U56" s="97"/>
      <c r="V56" s="97"/>
      <c r="W56" s="97"/>
      <c r="X56" s="97"/>
      <c r="Y56" s="41"/>
      <c r="Z56" s="97"/>
      <c r="AA56" s="97"/>
      <c r="AB56" s="23"/>
      <c r="AC56" s="97"/>
      <c r="AD56" s="35" t="str">
        <f t="shared" si="11"/>
        <v/>
      </c>
    </row>
    <row r="57" spans="2:37" s="99" customFormat="1" ht="13" x14ac:dyDescent="0.3">
      <c r="B57" s="163">
        <f>B55+1</f>
        <v>32</v>
      </c>
      <c r="D57" s="99" t="s">
        <v>476</v>
      </c>
      <c r="F57" s="79">
        <f ca="1">F53+F55</f>
        <v>0</v>
      </c>
      <c r="G57" s="94"/>
      <c r="H57" s="79">
        <f>H53+H55</f>
        <v>0</v>
      </c>
      <c r="I57" s="94"/>
      <c r="J57" s="94"/>
      <c r="K57" s="94"/>
      <c r="L57" s="79">
        <f ca="1">L53+L55</f>
        <v>0</v>
      </c>
      <c r="M57" s="94"/>
      <c r="N57" s="94"/>
      <c r="O57" s="188"/>
      <c r="P57" s="45">
        <f ca="1">P53+P55</f>
        <v>0</v>
      </c>
      <c r="Q57" s="47"/>
      <c r="R57" s="45">
        <f ca="1">R53+R55</f>
        <v>0</v>
      </c>
      <c r="S57" s="31"/>
      <c r="T57" s="45">
        <f ca="1">T53+T55</f>
        <v>0</v>
      </c>
      <c r="U57" s="23"/>
      <c r="V57" s="45">
        <f ca="1">V53+V55</f>
        <v>0</v>
      </c>
      <c r="W57" s="23"/>
      <c r="X57" s="45">
        <f ca="1">X53+X55</f>
        <v>0</v>
      </c>
      <c r="Y57" s="41"/>
      <c r="Z57" s="45">
        <f ca="1">Z53+Z55</f>
        <v>0</v>
      </c>
      <c r="AA57" s="97"/>
      <c r="AB57" s="45">
        <f ca="1">AB53+AB55</f>
        <v>0</v>
      </c>
      <c r="AC57" s="97"/>
      <c r="AD57" s="35" t="str">
        <f t="shared" ca="1" si="11"/>
        <v/>
      </c>
    </row>
    <row r="58" spans="2:37" s="99" customFormat="1" x14ac:dyDescent="0.25">
      <c r="B58" s="163"/>
      <c r="D58" s="6"/>
      <c r="E58" s="6"/>
      <c r="F58" s="219"/>
      <c r="G58" s="94"/>
      <c r="H58" s="219"/>
      <c r="I58" s="94"/>
      <c r="J58" s="91"/>
      <c r="K58" s="94"/>
      <c r="L58" s="219"/>
      <c r="M58" s="94"/>
      <c r="N58" s="94"/>
      <c r="O58" s="187"/>
      <c r="Z58" s="99" t="str">
        <f t="shared" ref="Z58:Z59" si="13">IF(ROUND(F58,4)=ROUND(X58,4), "", "check")</f>
        <v/>
      </c>
    </row>
    <row r="59" spans="2:37" s="99" customFormat="1" x14ac:dyDescent="0.25">
      <c r="B59" s="163"/>
      <c r="F59" s="113"/>
      <c r="G59" s="94"/>
      <c r="H59" s="94"/>
      <c r="I59" s="94"/>
      <c r="J59" s="91"/>
      <c r="K59" s="94"/>
      <c r="L59" s="94"/>
      <c r="M59" s="94"/>
      <c r="N59" s="94"/>
      <c r="O59" s="187"/>
      <c r="Z59" s="99" t="str">
        <f t="shared" si="13"/>
        <v/>
      </c>
    </row>
    <row r="60" spans="2:37" ht="13" x14ac:dyDescent="0.3">
      <c r="D60" s="6" t="s">
        <v>17</v>
      </c>
      <c r="E60" s="7"/>
      <c r="F60" s="220"/>
      <c r="O60" s="188"/>
      <c r="P60" s="24"/>
      <c r="Q60" s="24"/>
      <c r="R60" s="24"/>
      <c r="S60" s="97"/>
      <c r="T60" s="97"/>
      <c r="U60" s="24"/>
      <c r="V60" s="24"/>
      <c r="W60" s="24"/>
      <c r="X60" s="24"/>
      <c r="Y60" s="41"/>
      <c r="Z60" s="24"/>
      <c r="AA60" s="24"/>
      <c r="AB60" s="24"/>
      <c r="AC60" s="24"/>
      <c r="AD60" s="37"/>
      <c r="AE60" s="24"/>
      <c r="AF60" s="24"/>
      <c r="AG60" s="24"/>
      <c r="AH60" s="24"/>
      <c r="AI60" s="24"/>
      <c r="AJ60" s="24"/>
      <c r="AK60" s="24"/>
    </row>
    <row r="61" spans="2:37" x14ac:dyDescent="0.25">
      <c r="O61" s="188"/>
      <c r="P61" s="24"/>
      <c r="Q61" s="24"/>
      <c r="R61" s="24"/>
      <c r="S61" s="97"/>
      <c r="T61" s="97"/>
      <c r="U61" s="24"/>
      <c r="V61" s="24"/>
      <c r="W61" s="24"/>
      <c r="X61" s="24"/>
      <c r="Y61" s="41"/>
      <c r="Z61" s="24"/>
      <c r="AA61" s="24"/>
      <c r="AB61" s="24"/>
      <c r="AC61" s="24"/>
      <c r="AD61" s="37"/>
      <c r="AE61" s="24"/>
      <c r="AF61" s="24"/>
      <c r="AG61" s="24"/>
      <c r="AH61" s="24"/>
      <c r="AI61" s="24"/>
      <c r="AJ61" s="24"/>
      <c r="AK61" s="24"/>
    </row>
    <row r="62" spans="2:37" ht="13" x14ac:dyDescent="0.3">
      <c r="B62" s="163">
        <f>B57+1</f>
        <v>33</v>
      </c>
      <c r="D62" s="99" t="s">
        <v>77</v>
      </c>
      <c r="F62" s="113">
        <f ca="1">Function!P62</f>
        <v>0</v>
      </c>
      <c r="H62" s="113"/>
      <c r="J62" s="91"/>
      <c r="L62" s="113">
        <f ca="1">F62-H62</f>
        <v>0</v>
      </c>
      <c r="N62" s="91"/>
      <c r="O62" s="186">
        <f>_xlfn.IFNA(MATCH(N62,'Gas Supply Factors'!$B$13:$B$426,0),0)</f>
        <v>0</v>
      </c>
      <c r="P62" s="22">
        <f ca="1">OFFSET('Gas Supply Factors'!$B$13,$O62-1,P$14)*$L62+OFFSET('Gas Supply Factors'!$B$13,$K62-1,P$14)*$H62</f>
        <v>0</v>
      </c>
      <c r="Q62" s="24"/>
      <c r="R62" s="22">
        <f ca="1">OFFSET('Gas Supply Factors'!$B$13,$O62-1,R$14)*$L62+OFFSET('Gas Supply Factors'!$B$13,$K62-1,R$14)*$H62</f>
        <v>0</v>
      </c>
      <c r="S62" s="22"/>
      <c r="T62" s="22">
        <f ca="1">OFFSET('Gas Supply Factors'!$B$13,$O62-1,T$14)*$L62+OFFSET('Gas Supply Factors'!$B$13,$K62-1,T$14)*$H62</f>
        <v>0</v>
      </c>
      <c r="U62" s="22"/>
      <c r="V62" s="22">
        <f ca="1">OFFSET('Gas Supply Factors'!$B$13,$O62-1,V$14)*$L62+OFFSET('Gas Supply Factors'!$B$13,$K62-1,V$14)*$H62</f>
        <v>0</v>
      </c>
      <c r="W62" s="22"/>
      <c r="X62" s="22">
        <f ca="1">OFFSET('Gas Supply Factors'!$B$13,$O62-1,X$14)*$L62+OFFSET('Gas Supply Factors'!$B$13,$K62-1,X$14)*$H62</f>
        <v>0</v>
      </c>
      <c r="Z62" s="22">
        <f ca="1">OFFSET('Gas Supply Factors'!$B$13,$O62-1,Z$14)*$L62+OFFSET('Gas Supply Factors'!$B$13,$K62-1,Z$14)*$H62</f>
        <v>0</v>
      </c>
      <c r="AA62" s="24"/>
      <c r="AB62" s="22">
        <f ca="1">P62+R62+V62+X62+Z62+T62</f>
        <v>0</v>
      </c>
      <c r="AC62" s="24"/>
      <c r="AD62" s="35" t="str">
        <f ca="1">IF(ROUND(F62,4)=ROUND(AB62,4), "", "check")</f>
        <v/>
      </c>
      <c r="AE62" s="24"/>
      <c r="AF62" s="24"/>
      <c r="AG62" s="24"/>
      <c r="AH62" s="24"/>
      <c r="AI62" s="24"/>
      <c r="AJ62" s="24"/>
      <c r="AK62" s="24"/>
    </row>
    <row r="63" spans="2:37" ht="13" x14ac:dyDescent="0.3">
      <c r="B63" s="163">
        <f>B62+1</f>
        <v>34</v>
      </c>
      <c r="D63" s="99" t="s">
        <v>76</v>
      </c>
      <c r="F63" s="113">
        <f ca="1">Function!P63</f>
        <v>0</v>
      </c>
      <c r="H63" s="113"/>
      <c r="J63" s="91"/>
      <c r="L63" s="113">
        <f t="shared" ref="L63:L67" ca="1" si="14">F63-H63</f>
        <v>0</v>
      </c>
      <c r="N63" s="91"/>
      <c r="O63" s="186">
        <f>_xlfn.IFNA(MATCH(N63,'Gas Supply Factors'!$B$13:$B$426,0),0)</f>
        <v>0</v>
      </c>
      <c r="P63" s="22">
        <f ca="1">OFFSET('Gas Supply Factors'!$B$13,$O63-1,P$14)*$L63+OFFSET('Gas Supply Factors'!$B$13,$K63-1,P$14)*$H63</f>
        <v>0</v>
      </c>
      <c r="Q63" s="24"/>
      <c r="R63" s="22">
        <f ca="1">OFFSET('Gas Supply Factors'!$B$13,$O63-1,R$14)*$L63+OFFSET('Gas Supply Factors'!$B$13,$K63-1,R$14)*$H63</f>
        <v>0</v>
      </c>
      <c r="S63" s="22"/>
      <c r="T63" s="22">
        <f ca="1">OFFSET('Gas Supply Factors'!$B$13,$O63-1,T$14)*$L63+OFFSET('Gas Supply Factors'!$B$13,$K63-1,T$14)*$H63</f>
        <v>0</v>
      </c>
      <c r="U63" s="22"/>
      <c r="V63" s="22">
        <f ca="1">OFFSET('Gas Supply Factors'!$B$13,$O63-1,V$14)*$L63+OFFSET('Gas Supply Factors'!$B$13,$K63-1,V$14)*$H63</f>
        <v>0</v>
      </c>
      <c r="W63" s="22"/>
      <c r="X63" s="22">
        <f ca="1">OFFSET('Gas Supply Factors'!$B$13,$O63-1,X$14)*$L63+OFFSET('Gas Supply Factors'!$B$13,$K63-1,X$14)*$H63</f>
        <v>0</v>
      </c>
      <c r="Z63" s="22">
        <f ca="1">OFFSET('Gas Supply Factors'!$B$13,$O63-1,Z$14)*$L63+OFFSET('Gas Supply Factors'!$B$13,$K63-1,Z$14)*$H63</f>
        <v>0</v>
      </c>
      <c r="AA63" s="24"/>
      <c r="AB63" s="22">
        <f t="shared" ref="AB63:AB74" ca="1" si="15">P63+R63+V63+X63+Z63+T63</f>
        <v>0</v>
      </c>
      <c r="AC63" s="24"/>
      <c r="AD63" s="35"/>
      <c r="AE63" s="24"/>
      <c r="AF63" s="24"/>
      <c r="AG63" s="24"/>
      <c r="AH63" s="24"/>
      <c r="AI63" s="24"/>
      <c r="AJ63" s="24"/>
      <c r="AK63" s="24"/>
    </row>
    <row r="64" spans="2:37" ht="13" x14ac:dyDescent="0.3">
      <c r="B64" s="163">
        <f t="shared" ref="B64:B75" si="16">B63+1</f>
        <v>35</v>
      </c>
      <c r="D64" s="99" t="s">
        <v>19</v>
      </c>
      <c r="F64" s="113">
        <f ca="1">Function!P64</f>
        <v>0</v>
      </c>
      <c r="H64" s="113"/>
      <c r="J64" s="91"/>
      <c r="L64" s="113">
        <f t="shared" ca="1" si="14"/>
        <v>0</v>
      </c>
      <c r="N64" s="91"/>
      <c r="O64" s="186">
        <f>_xlfn.IFNA(MATCH(N64,'Gas Supply Factors'!$B$13:$B$426,0),0)</f>
        <v>0</v>
      </c>
      <c r="P64" s="22">
        <f ca="1">OFFSET('Gas Supply Factors'!$B$13,$O64-1,P$14)*$L64+OFFSET('Gas Supply Factors'!$B$13,$K64-1,P$14)*$H64</f>
        <v>0</v>
      </c>
      <c r="Q64" s="24"/>
      <c r="R64" s="22">
        <f ca="1">OFFSET('Gas Supply Factors'!$B$13,$O64-1,R$14)*$L64+OFFSET('Gas Supply Factors'!$B$13,$K64-1,R$14)*$H64</f>
        <v>0</v>
      </c>
      <c r="S64" s="22"/>
      <c r="T64" s="22">
        <f ca="1">OFFSET('Gas Supply Factors'!$B$13,$O64-1,T$14)*$L64+OFFSET('Gas Supply Factors'!$B$13,$K64-1,T$14)*$H64</f>
        <v>0</v>
      </c>
      <c r="U64" s="22"/>
      <c r="V64" s="22">
        <f ca="1">OFFSET('Gas Supply Factors'!$B$13,$O64-1,V$14)*$L64+OFFSET('Gas Supply Factors'!$B$13,$K64-1,V$14)*$H64</f>
        <v>0</v>
      </c>
      <c r="W64" s="22"/>
      <c r="X64" s="22">
        <f ca="1">OFFSET('Gas Supply Factors'!$B$13,$O64-1,X$14)*$L64+OFFSET('Gas Supply Factors'!$B$13,$K64-1,X$14)*$H64</f>
        <v>0</v>
      </c>
      <c r="Z64" s="22">
        <f ca="1">OFFSET('Gas Supply Factors'!$B$13,$O64-1,Z$14)*$L64+OFFSET('Gas Supply Factors'!$B$13,$K64-1,Z$14)*$H64</f>
        <v>0</v>
      </c>
      <c r="AA64" s="24"/>
      <c r="AB64" s="22">
        <f t="shared" ca="1" si="15"/>
        <v>0</v>
      </c>
      <c r="AC64" s="24"/>
      <c r="AD64" s="35" t="str">
        <f t="shared" ref="AD64:AD152" ca="1" si="17">IF(ROUND(F64,4)=ROUND(AB64,4), "", "check")</f>
        <v/>
      </c>
      <c r="AE64" s="24"/>
      <c r="AF64" s="24"/>
      <c r="AG64" s="24"/>
      <c r="AH64" s="24"/>
      <c r="AI64" s="24"/>
      <c r="AJ64" s="24"/>
      <c r="AK64" s="24"/>
    </row>
    <row r="65" spans="2:37" ht="13" x14ac:dyDescent="0.3">
      <c r="B65" s="163">
        <f t="shared" si="16"/>
        <v>36</v>
      </c>
      <c r="D65" s="99" t="s">
        <v>21</v>
      </c>
      <c r="F65" s="113">
        <f ca="1">Function!P65</f>
        <v>0</v>
      </c>
      <c r="H65" s="113"/>
      <c r="J65" s="91"/>
      <c r="L65" s="113">
        <f t="shared" ca="1" si="14"/>
        <v>0</v>
      </c>
      <c r="N65" s="91"/>
      <c r="O65" s="186">
        <f>_xlfn.IFNA(MATCH(N65,'Gas Supply Factors'!$B$13:$B$426,0),0)</f>
        <v>0</v>
      </c>
      <c r="P65" s="22">
        <f ca="1">OFFSET('Gas Supply Factors'!$B$13,$O65-1,P$14)*$L65+OFFSET('Gas Supply Factors'!$B$13,$K65-1,P$14)*$H65</f>
        <v>0</v>
      </c>
      <c r="Q65" s="24"/>
      <c r="R65" s="22">
        <f ca="1">OFFSET('Gas Supply Factors'!$B$13,$O65-1,R$14)*$L65+OFFSET('Gas Supply Factors'!$B$13,$K65-1,R$14)*$H65</f>
        <v>0</v>
      </c>
      <c r="S65" s="22"/>
      <c r="T65" s="22">
        <f ca="1">OFFSET('Gas Supply Factors'!$B$13,$O65-1,T$14)*$L65+OFFSET('Gas Supply Factors'!$B$13,$K65-1,T$14)*$H65</f>
        <v>0</v>
      </c>
      <c r="U65" s="22"/>
      <c r="V65" s="22">
        <f ca="1">OFFSET('Gas Supply Factors'!$B$13,$O65-1,V$14)*$L65+OFFSET('Gas Supply Factors'!$B$13,$K65-1,V$14)*$H65</f>
        <v>0</v>
      </c>
      <c r="W65" s="22"/>
      <c r="X65" s="22">
        <f ca="1">OFFSET('Gas Supply Factors'!$B$13,$O65-1,X$14)*$L65+OFFSET('Gas Supply Factors'!$B$13,$K65-1,X$14)*$H65</f>
        <v>0</v>
      </c>
      <c r="Z65" s="22">
        <f ca="1">OFFSET('Gas Supply Factors'!$B$13,$O65-1,Z$14)*$L65+OFFSET('Gas Supply Factors'!$B$13,$K65-1,Z$14)*$H65</f>
        <v>0</v>
      </c>
      <c r="AA65" s="24"/>
      <c r="AB65" s="22">
        <f t="shared" ca="1" si="15"/>
        <v>0</v>
      </c>
      <c r="AC65" s="24"/>
      <c r="AD65" s="35" t="str">
        <f t="shared" ca="1" si="17"/>
        <v/>
      </c>
      <c r="AE65" s="24"/>
      <c r="AF65" s="24"/>
      <c r="AG65" s="24"/>
      <c r="AH65" s="24"/>
      <c r="AI65" s="24"/>
      <c r="AJ65" s="24"/>
      <c r="AK65" s="24"/>
    </row>
    <row r="66" spans="2:37" ht="13" x14ac:dyDescent="0.3">
      <c r="B66" s="163">
        <f t="shared" si="16"/>
        <v>37</v>
      </c>
      <c r="D66" s="99" t="s">
        <v>23</v>
      </c>
      <c r="F66" s="113">
        <f ca="1">Function!P66</f>
        <v>0</v>
      </c>
      <c r="H66" s="113"/>
      <c r="J66" s="91"/>
      <c r="L66" s="113">
        <f t="shared" ca="1" si="14"/>
        <v>0</v>
      </c>
      <c r="N66" s="91"/>
      <c r="O66" s="186">
        <f>_xlfn.IFNA(MATCH(N66,'Gas Supply Factors'!$B$13:$B$426,0),0)</f>
        <v>0</v>
      </c>
      <c r="P66" s="22">
        <f ca="1">OFFSET('Gas Supply Factors'!$B$13,$O66-1,P$14)*$L66+OFFSET('Gas Supply Factors'!$B$13,$K66-1,P$14)*$H66</f>
        <v>0</v>
      </c>
      <c r="Q66" s="24"/>
      <c r="R66" s="22">
        <f ca="1">OFFSET('Gas Supply Factors'!$B$13,$O66-1,R$14)*$L66+OFFSET('Gas Supply Factors'!$B$13,$K66-1,R$14)*$H66</f>
        <v>0</v>
      </c>
      <c r="S66" s="22"/>
      <c r="T66" s="22">
        <f ca="1">OFFSET('Gas Supply Factors'!$B$13,$O66-1,T$14)*$L66+OFFSET('Gas Supply Factors'!$B$13,$K66-1,T$14)*$H66</f>
        <v>0</v>
      </c>
      <c r="U66" s="22"/>
      <c r="V66" s="22">
        <f ca="1">OFFSET('Gas Supply Factors'!$B$13,$O66-1,V$14)*$L66+OFFSET('Gas Supply Factors'!$B$13,$K66-1,V$14)*$H66</f>
        <v>0</v>
      </c>
      <c r="W66" s="22"/>
      <c r="X66" s="22">
        <f ca="1">OFFSET('Gas Supply Factors'!$B$13,$O66-1,X$14)*$L66+OFFSET('Gas Supply Factors'!$B$13,$K66-1,X$14)*$H66</f>
        <v>0</v>
      </c>
      <c r="Z66" s="22">
        <f ca="1">OFFSET('Gas Supply Factors'!$B$13,$O66-1,Z$14)*$L66+OFFSET('Gas Supply Factors'!$B$13,$K66-1,Z$14)*$H66</f>
        <v>0</v>
      </c>
      <c r="AA66" s="24"/>
      <c r="AB66" s="22">
        <f t="shared" ca="1" si="15"/>
        <v>0</v>
      </c>
      <c r="AC66" s="24"/>
      <c r="AD66" s="35" t="str">
        <f t="shared" ca="1" si="17"/>
        <v/>
      </c>
      <c r="AE66" s="24"/>
      <c r="AF66" s="24"/>
      <c r="AG66" s="24"/>
      <c r="AH66" s="24"/>
      <c r="AI66" s="24"/>
      <c r="AJ66" s="24"/>
      <c r="AK66" s="24"/>
    </row>
    <row r="67" spans="2:37" ht="13" x14ac:dyDescent="0.3">
      <c r="B67" s="163">
        <f t="shared" si="16"/>
        <v>38</v>
      </c>
      <c r="D67" s="99" t="s">
        <v>25</v>
      </c>
      <c r="F67" s="113">
        <f ca="1">Function!P67</f>
        <v>0</v>
      </c>
      <c r="H67" s="113"/>
      <c r="L67" s="113">
        <f t="shared" ca="1" si="14"/>
        <v>0</v>
      </c>
      <c r="N67" s="91"/>
      <c r="O67" s="186">
        <f>_xlfn.IFNA(MATCH(N67,'Gas Supply Factors'!$B$13:$B$426,0),0)</f>
        <v>0</v>
      </c>
      <c r="P67" s="22">
        <f ca="1">OFFSET('Gas Supply Factors'!$B$13,$O67-1,P$14)*$L67+OFFSET('Gas Supply Factors'!$B$13,$K67-1,P$14)*$H67</f>
        <v>0</v>
      </c>
      <c r="Q67" s="24"/>
      <c r="R67" s="22">
        <f ca="1">OFFSET('Gas Supply Factors'!$B$13,$O67-1,R$14)*$L67+OFFSET('Gas Supply Factors'!$B$13,$K67-1,R$14)*$H67</f>
        <v>0</v>
      </c>
      <c r="S67" s="22"/>
      <c r="T67" s="22">
        <f ca="1">OFFSET('Gas Supply Factors'!$B$13,$O67-1,T$14)*$L67+OFFSET('Gas Supply Factors'!$B$13,$K67-1,T$14)*$H67</f>
        <v>0</v>
      </c>
      <c r="U67" s="22"/>
      <c r="V67" s="22">
        <f ca="1">OFFSET('Gas Supply Factors'!$B$13,$O67-1,V$14)*$L67+OFFSET('Gas Supply Factors'!$B$13,$K67-1,V$14)*$H67</f>
        <v>0</v>
      </c>
      <c r="W67" s="22"/>
      <c r="X67" s="22">
        <f ca="1">OFFSET('Gas Supply Factors'!$B$13,$O67-1,X$14)*$L67+OFFSET('Gas Supply Factors'!$B$13,$K67-1,X$14)*$H67</f>
        <v>0</v>
      </c>
      <c r="Z67" s="22">
        <f ca="1">OFFSET('Gas Supply Factors'!$B$13,$O67-1,Z$14)*$L67+OFFSET('Gas Supply Factors'!$B$13,$K67-1,Z$14)*$H67</f>
        <v>0</v>
      </c>
      <c r="AA67" s="24"/>
      <c r="AB67" s="22">
        <f t="shared" ca="1" si="15"/>
        <v>0</v>
      </c>
      <c r="AC67" s="24"/>
      <c r="AD67" s="35" t="str">
        <f t="shared" ca="1" si="17"/>
        <v/>
      </c>
      <c r="AE67" s="24"/>
      <c r="AF67" s="24"/>
      <c r="AG67" s="24"/>
      <c r="AH67" s="24"/>
      <c r="AI67" s="24"/>
      <c r="AJ67" s="24"/>
      <c r="AK67" s="24"/>
    </row>
    <row r="68" spans="2:37" ht="13" x14ac:dyDescent="0.3">
      <c r="B68" s="163">
        <f t="shared" si="16"/>
        <v>39</v>
      </c>
      <c r="D68" s="99" t="s">
        <v>27</v>
      </c>
      <c r="F68" s="113">
        <f ca="1">Function!P68</f>
        <v>0</v>
      </c>
      <c r="H68" s="113"/>
      <c r="L68" s="113">
        <f t="shared" ref="L68:L74" ca="1" si="18">F68-H68</f>
        <v>0</v>
      </c>
      <c r="N68" s="91"/>
      <c r="O68" s="186">
        <f>_xlfn.IFNA(MATCH(N68,'Gas Supply Factors'!$B$13:$B$426,0),0)</f>
        <v>0</v>
      </c>
      <c r="P68" s="22">
        <f ca="1">OFFSET('Gas Supply Factors'!$B$13,$O68-1,P$14)*$L68+OFFSET('Gas Supply Factors'!$B$13,$K68-1,P$14)*$H68</f>
        <v>0</v>
      </c>
      <c r="Q68" s="24"/>
      <c r="R68" s="22">
        <f ca="1">OFFSET('Gas Supply Factors'!$B$13,$O68-1,R$14)*$L68+OFFSET('Gas Supply Factors'!$B$13,$K68-1,R$14)*$H68</f>
        <v>0</v>
      </c>
      <c r="S68" s="22"/>
      <c r="T68" s="22">
        <f ca="1">OFFSET('Gas Supply Factors'!$B$13,$O68-1,T$14)*$L68+OFFSET('Gas Supply Factors'!$B$13,$K68-1,T$14)*$H68</f>
        <v>0</v>
      </c>
      <c r="U68" s="22"/>
      <c r="V68" s="22">
        <f ca="1">OFFSET('Gas Supply Factors'!$B$13,$O68-1,V$14)*$L68+OFFSET('Gas Supply Factors'!$B$13,$K68-1,V$14)*$H68</f>
        <v>0</v>
      </c>
      <c r="W68" s="22"/>
      <c r="X68" s="22">
        <f ca="1">OFFSET('Gas Supply Factors'!$B$13,$O68-1,X$14)*$L68+OFFSET('Gas Supply Factors'!$B$13,$K68-1,X$14)*$H68</f>
        <v>0</v>
      </c>
      <c r="Z68" s="22">
        <f ca="1">OFFSET('Gas Supply Factors'!$B$13,$O68-1,Z$14)*$L68+OFFSET('Gas Supply Factors'!$B$13,$K68-1,Z$14)*$H68</f>
        <v>0</v>
      </c>
      <c r="AA68" s="24"/>
      <c r="AB68" s="22">
        <f t="shared" ca="1" si="15"/>
        <v>0</v>
      </c>
      <c r="AC68" s="24"/>
      <c r="AD68" s="35" t="str">
        <f ca="1">IF(ROUND(F68,4)=ROUND(AB68,4), "", "check")</f>
        <v/>
      </c>
      <c r="AE68" s="24"/>
      <c r="AF68" s="24"/>
      <c r="AG68" s="24"/>
      <c r="AH68" s="24"/>
      <c r="AI68" s="24"/>
      <c r="AJ68" s="24"/>
      <c r="AK68" s="24"/>
    </row>
    <row r="69" spans="2:37" ht="13" x14ac:dyDescent="0.3">
      <c r="B69" s="163">
        <f t="shared" si="16"/>
        <v>40</v>
      </c>
      <c r="D69" s="99" t="s">
        <v>29</v>
      </c>
      <c r="F69" s="113">
        <f ca="1">Function!P69</f>
        <v>0</v>
      </c>
      <c r="H69" s="113"/>
      <c r="L69" s="113">
        <f t="shared" ca="1" si="18"/>
        <v>0</v>
      </c>
      <c r="N69" s="91"/>
      <c r="O69" s="186">
        <f>_xlfn.IFNA(MATCH(N69,'Gas Supply Factors'!$B$13:$B$426,0),0)</f>
        <v>0</v>
      </c>
      <c r="P69" s="22">
        <f ca="1">OFFSET('Gas Supply Factors'!$B$13,$O69-1,P$14)*$L69+OFFSET('Gas Supply Factors'!$B$13,$K69-1,P$14)*$H69</f>
        <v>0</v>
      </c>
      <c r="Q69" s="24"/>
      <c r="R69" s="22">
        <f ca="1">OFFSET('Gas Supply Factors'!$B$13,$O69-1,R$14)*$L69+OFFSET('Gas Supply Factors'!$B$13,$K69-1,R$14)*$H69</f>
        <v>0</v>
      </c>
      <c r="S69" s="22"/>
      <c r="T69" s="22">
        <f ca="1">OFFSET('Gas Supply Factors'!$B$13,$O69-1,T$14)*$L69+OFFSET('Gas Supply Factors'!$B$13,$K69-1,T$14)*$H69</f>
        <v>0</v>
      </c>
      <c r="U69" s="22"/>
      <c r="V69" s="22">
        <f ca="1">OFFSET('Gas Supply Factors'!$B$13,$O69-1,V$14)*$L69+OFFSET('Gas Supply Factors'!$B$13,$K69-1,V$14)*$H69</f>
        <v>0</v>
      </c>
      <c r="W69" s="22"/>
      <c r="X69" s="22">
        <f ca="1">OFFSET('Gas Supply Factors'!$B$13,$O69-1,X$14)*$L69+OFFSET('Gas Supply Factors'!$B$13,$K69-1,X$14)*$H69</f>
        <v>0</v>
      </c>
      <c r="Z69" s="22">
        <f ca="1">OFFSET('Gas Supply Factors'!$B$13,$O69-1,Z$14)*$L69+OFFSET('Gas Supply Factors'!$B$13,$K69-1,Z$14)*$H69</f>
        <v>0</v>
      </c>
      <c r="AA69" s="24"/>
      <c r="AB69" s="22">
        <f t="shared" ca="1" si="15"/>
        <v>0</v>
      </c>
      <c r="AC69" s="24"/>
      <c r="AD69" s="35" t="str">
        <f t="shared" ca="1" si="17"/>
        <v/>
      </c>
      <c r="AE69" s="24"/>
      <c r="AF69" s="24"/>
      <c r="AG69" s="24"/>
      <c r="AH69" s="24"/>
      <c r="AI69" s="24"/>
      <c r="AJ69" s="24"/>
      <c r="AK69" s="24"/>
    </row>
    <row r="70" spans="2:37" ht="13" x14ac:dyDescent="0.3">
      <c r="B70" s="163">
        <f t="shared" si="16"/>
        <v>41</v>
      </c>
      <c r="D70" s="99" t="s">
        <v>30</v>
      </c>
      <c r="F70" s="113">
        <f ca="1">Function!P70</f>
        <v>0</v>
      </c>
      <c r="H70" s="113"/>
      <c r="L70" s="113">
        <f t="shared" ca="1" si="18"/>
        <v>0</v>
      </c>
      <c r="N70" s="91"/>
      <c r="O70" s="186">
        <f>_xlfn.IFNA(MATCH(N70,'Gas Supply Factors'!$B$13:$B$426,0),0)</f>
        <v>0</v>
      </c>
      <c r="P70" s="22">
        <f ca="1">OFFSET('Gas Supply Factors'!$B$13,$O70-1,P$14)*$L70+OFFSET('Gas Supply Factors'!$B$13,$K70-1,P$14)*$H70</f>
        <v>0</v>
      </c>
      <c r="Q70" s="24"/>
      <c r="R70" s="22">
        <f ca="1">OFFSET('Gas Supply Factors'!$B$13,$O70-1,R$14)*$L70+OFFSET('Gas Supply Factors'!$B$13,$K70-1,R$14)*$H70</f>
        <v>0</v>
      </c>
      <c r="S70" s="22"/>
      <c r="T70" s="22">
        <f ca="1">OFFSET('Gas Supply Factors'!$B$13,$O70-1,T$14)*$L70+OFFSET('Gas Supply Factors'!$B$13,$K70-1,T$14)*$H70</f>
        <v>0</v>
      </c>
      <c r="U70" s="22"/>
      <c r="V70" s="22">
        <f ca="1">OFFSET('Gas Supply Factors'!$B$13,$O70-1,V$14)*$L70+OFFSET('Gas Supply Factors'!$B$13,$K70-1,V$14)*$H70</f>
        <v>0</v>
      </c>
      <c r="W70" s="22"/>
      <c r="X70" s="22">
        <f ca="1">OFFSET('Gas Supply Factors'!$B$13,$O70-1,X$14)*$L70+OFFSET('Gas Supply Factors'!$B$13,$K70-1,X$14)*$H70</f>
        <v>0</v>
      </c>
      <c r="Z70" s="22">
        <f ca="1">OFFSET('Gas Supply Factors'!$B$13,$O70-1,Z$14)*$L70+OFFSET('Gas Supply Factors'!$B$13,$K70-1,Z$14)*$H70</f>
        <v>0</v>
      </c>
      <c r="AA70" s="24"/>
      <c r="AB70" s="22">
        <f t="shared" ca="1" si="15"/>
        <v>0</v>
      </c>
      <c r="AC70" s="24"/>
      <c r="AD70" s="35" t="str">
        <f t="shared" ca="1" si="17"/>
        <v/>
      </c>
      <c r="AE70" s="24"/>
      <c r="AF70" s="24"/>
      <c r="AG70" s="24"/>
      <c r="AH70" s="24"/>
      <c r="AI70" s="24"/>
      <c r="AJ70" s="24"/>
      <c r="AK70" s="24"/>
    </row>
    <row r="71" spans="2:37" ht="13" x14ac:dyDescent="0.3">
      <c r="B71" s="163">
        <f t="shared" si="16"/>
        <v>42</v>
      </c>
      <c r="D71" s="99" t="s">
        <v>31</v>
      </c>
      <c r="F71" s="113">
        <f ca="1">Function!P71</f>
        <v>0</v>
      </c>
      <c r="H71" s="113"/>
      <c r="L71" s="113">
        <f t="shared" ca="1" si="18"/>
        <v>0</v>
      </c>
      <c r="N71" s="91"/>
      <c r="O71" s="186">
        <f>_xlfn.IFNA(MATCH(N71,'Gas Supply Factors'!$B$13:$B$426,0),0)</f>
        <v>0</v>
      </c>
      <c r="P71" s="22">
        <f ca="1">OFFSET('Gas Supply Factors'!$B$13,$O71-1,P$14)*$L71+OFFSET('Gas Supply Factors'!$B$13,$K71-1,P$14)*$H71</f>
        <v>0</v>
      </c>
      <c r="Q71" s="24"/>
      <c r="R71" s="22">
        <f ca="1">OFFSET('Gas Supply Factors'!$B$13,$O71-1,R$14)*$L71+OFFSET('Gas Supply Factors'!$B$13,$K71-1,R$14)*$H71</f>
        <v>0</v>
      </c>
      <c r="S71" s="22"/>
      <c r="T71" s="22">
        <f ca="1">OFFSET('Gas Supply Factors'!$B$13,$O71-1,T$14)*$L71+OFFSET('Gas Supply Factors'!$B$13,$K71-1,T$14)*$H71</f>
        <v>0</v>
      </c>
      <c r="U71" s="22"/>
      <c r="V71" s="22">
        <f ca="1">OFFSET('Gas Supply Factors'!$B$13,$O71-1,V$14)*$L71+OFFSET('Gas Supply Factors'!$B$13,$K71-1,V$14)*$H71</f>
        <v>0</v>
      </c>
      <c r="W71" s="22"/>
      <c r="X71" s="22">
        <f ca="1">OFFSET('Gas Supply Factors'!$B$13,$O71-1,X$14)*$L71+OFFSET('Gas Supply Factors'!$B$13,$K71-1,X$14)*$H71</f>
        <v>0</v>
      </c>
      <c r="Z71" s="22">
        <f ca="1">OFFSET('Gas Supply Factors'!$B$13,$O71-1,Z$14)*$L71+OFFSET('Gas Supply Factors'!$B$13,$K71-1,Z$14)*$H71</f>
        <v>0</v>
      </c>
      <c r="AA71" s="24"/>
      <c r="AB71" s="22">
        <f t="shared" ca="1" si="15"/>
        <v>0</v>
      </c>
      <c r="AC71" s="24"/>
      <c r="AD71" s="35" t="str">
        <f t="shared" ca="1" si="17"/>
        <v/>
      </c>
      <c r="AE71" s="24"/>
      <c r="AF71" s="24"/>
      <c r="AG71" s="24"/>
      <c r="AH71" s="24"/>
      <c r="AI71" s="24"/>
      <c r="AJ71" s="24"/>
      <c r="AK71" s="24"/>
    </row>
    <row r="72" spans="2:37" ht="13" x14ac:dyDescent="0.3">
      <c r="B72" s="163">
        <f t="shared" si="16"/>
        <v>43</v>
      </c>
      <c r="D72" s="99" t="s">
        <v>327</v>
      </c>
      <c r="F72" s="113">
        <f ca="1">Function!P72</f>
        <v>0</v>
      </c>
      <c r="H72" s="113"/>
      <c r="L72" s="113">
        <f t="shared" ca="1" si="18"/>
        <v>0</v>
      </c>
      <c r="N72" s="91"/>
      <c r="O72" s="186">
        <f>_xlfn.IFNA(MATCH(N72,'Gas Supply Factors'!$B$13:$B$426,0),0)</f>
        <v>0</v>
      </c>
      <c r="P72" s="22">
        <f ca="1">OFFSET('Gas Supply Factors'!$B$13,$O72-1,P$14)*$L72+OFFSET('Gas Supply Factors'!$B$13,$K72-1,P$14)*$H72</f>
        <v>0</v>
      </c>
      <c r="Q72" s="24"/>
      <c r="R72" s="22">
        <f ca="1">OFFSET('Gas Supply Factors'!$B$13,$O72-1,R$14)*$L72+OFFSET('Gas Supply Factors'!$B$13,$K72-1,R$14)*$H72</f>
        <v>0</v>
      </c>
      <c r="S72" s="22"/>
      <c r="T72" s="22">
        <f ca="1">OFFSET('Gas Supply Factors'!$B$13,$O72-1,T$14)*$L72+OFFSET('Gas Supply Factors'!$B$13,$K72-1,T$14)*$H72</f>
        <v>0</v>
      </c>
      <c r="U72" s="22"/>
      <c r="V72" s="22">
        <f ca="1">OFFSET('Gas Supply Factors'!$B$13,$O72-1,V$14)*$L72+OFFSET('Gas Supply Factors'!$B$13,$K72-1,V$14)*$H72</f>
        <v>0</v>
      </c>
      <c r="W72" s="22"/>
      <c r="X72" s="22">
        <f ca="1">OFFSET('Gas Supply Factors'!$B$13,$O72-1,X$14)*$L72+OFFSET('Gas Supply Factors'!$B$13,$K72-1,X$14)*$H72</f>
        <v>0</v>
      </c>
      <c r="Z72" s="22">
        <f ca="1">OFFSET('Gas Supply Factors'!$B$13,$O72-1,Z$14)*$L72+OFFSET('Gas Supply Factors'!$B$13,$K72-1,Z$14)*$H72</f>
        <v>0</v>
      </c>
      <c r="AA72" s="24"/>
      <c r="AB72" s="22">
        <f t="shared" ca="1" si="15"/>
        <v>0</v>
      </c>
      <c r="AC72" s="24"/>
      <c r="AD72" s="35" t="str">
        <f t="shared" ca="1" si="17"/>
        <v/>
      </c>
      <c r="AE72" s="24"/>
      <c r="AF72" s="24"/>
      <c r="AG72" s="24"/>
      <c r="AH72" s="24"/>
      <c r="AI72" s="24"/>
      <c r="AJ72" s="24"/>
      <c r="AK72" s="24"/>
    </row>
    <row r="73" spans="2:37" ht="13" x14ac:dyDescent="0.3">
      <c r="B73" s="163">
        <f>B72+1</f>
        <v>44</v>
      </c>
      <c r="D73" s="99" t="s">
        <v>34</v>
      </c>
      <c r="F73" s="113">
        <f ca="1">Function!P73</f>
        <v>0</v>
      </c>
      <c r="H73" s="113"/>
      <c r="L73" s="113">
        <f t="shared" ca="1" si="18"/>
        <v>0</v>
      </c>
      <c r="N73" s="91"/>
      <c r="O73" s="186">
        <f>_xlfn.IFNA(MATCH(N73,'Gas Supply Factors'!$B$13:$B$426,0),0)</f>
        <v>0</v>
      </c>
      <c r="P73" s="22">
        <f ca="1">OFFSET('Gas Supply Factors'!$B$13,$O73-1,P$14)*$L73+OFFSET('Gas Supply Factors'!$B$13,$K73-1,P$14)*$H73</f>
        <v>0</v>
      </c>
      <c r="Q73" s="24"/>
      <c r="R73" s="22">
        <f ca="1">OFFSET('Gas Supply Factors'!$B$13,$O73-1,R$14)*$L73+OFFSET('Gas Supply Factors'!$B$13,$K73-1,R$14)*$H73</f>
        <v>0</v>
      </c>
      <c r="S73" s="22"/>
      <c r="T73" s="22">
        <f ca="1">OFFSET('Gas Supply Factors'!$B$13,$O73-1,T$14)*$L73+OFFSET('Gas Supply Factors'!$B$13,$K73-1,T$14)*$H73</f>
        <v>0</v>
      </c>
      <c r="U73" s="22"/>
      <c r="V73" s="22">
        <f ca="1">OFFSET('Gas Supply Factors'!$B$13,$O73-1,V$14)*$L73+OFFSET('Gas Supply Factors'!$B$13,$K73-1,V$14)*$H73</f>
        <v>0</v>
      </c>
      <c r="W73" s="22"/>
      <c r="X73" s="22">
        <f ca="1">OFFSET('Gas Supply Factors'!$B$13,$O73-1,X$14)*$L73+OFFSET('Gas Supply Factors'!$B$13,$K73-1,X$14)*$H73</f>
        <v>0</v>
      </c>
      <c r="Z73" s="22">
        <f ca="1">OFFSET('Gas Supply Factors'!$B$13,$O73-1,Z$14)*$L73+OFFSET('Gas Supply Factors'!$B$13,$K73-1,Z$14)*$H73</f>
        <v>0</v>
      </c>
      <c r="AA73" s="24"/>
      <c r="AB73" s="22">
        <f t="shared" ca="1" si="15"/>
        <v>0</v>
      </c>
      <c r="AC73" s="24"/>
      <c r="AD73" s="35" t="str">
        <f t="shared" ca="1" si="17"/>
        <v/>
      </c>
      <c r="AE73" s="24"/>
      <c r="AF73" s="24"/>
      <c r="AG73" s="24"/>
      <c r="AH73" s="24"/>
      <c r="AI73" s="24"/>
      <c r="AJ73" s="24"/>
      <c r="AK73" s="24"/>
    </row>
    <row r="74" spans="2:37" ht="13" x14ac:dyDescent="0.3">
      <c r="B74" s="163">
        <f>B73+1</f>
        <v>45</v>
      </c>
      <c r="D74" s="99" t="s">
        <v>78</v>
      </c>
      <c r="F74" s="113">
        <f ca="1">Function!P74</f>
        <v>0</v>
      </c>
      <c r="H74" s="113"/>
      <c r="L74" s="113">
        <f t="shared" ca="1" si="18"/>
        <v>0</v>
      </c>
      <c r="N74" s="91"/>
      <c r="O74" s="186">
        <f>_xlfn.IFNA(MATCH(N74,'Gas Supply Factors'!$B$13:$B$426,0),0)</f>
        <v>0</v>
      </c>
      <c r="P74" s="22">
        <f ca="1">OFFSET('Gas Supply Factors'!$B$13,$O74-1,P$14)*$L74+OFFSET('Gas Supply Factors'!$B$13,$K74-1,P$14)*$H74</f>
        <v>0</v>
      </c>
      <c r="Q74" s="24"/>
      <c r="R74" s="22">
        <f ca="1">OFFSET('Gas Supply Factors'!$B$13,$O74-1,R$14)*$L74+OFFSET('Gas Supply Factors'!$B$13,$K74-1,R$14)*$H74</f>
        <v>0</v>
      </c>
      <c r="S74" s="22"/>
      <c r="T74" s="22">
        <f ca="1">OFFSET('Gas Supply Factors'!$B$13,$O74-1,T$14)*$L74+OFFSET('Gas Supply Factors'!$B$13,$K74-1,T$14)*$H74</f>
        <v>0</v>
      </c>
      <c r="U74" s="22"/>
      <c r="V74" s="22">
        <f ca="1">OFFSET('Gas Supply Factors'!$B$13,$O74-1,V$14)*$L74+OFFSET('Gas Supply Factors'!$B$13,$K74-1,V$14)*$H74</f>
        <v>0</v>
      </c>
      <c r="W74" s="22"/>
      <c r="X74" s="22">
        <f ca="1">OFFSET('Gas Supply Factors'!$B$13,$O74-1,X$14)*$L74+OFFSET('Gas Supply Factors'!$B$13,$K74-1,X$14)*$H74</f>
        <v>0</v>
      </c>
      <c r="Z74" s="22">
        <f ca="1">OFFSET('Gas Supply Factors'!$B$13,$O74-1,Z$14)*$L74+OFFSET('Gas Supply Factors'!$B$13,$K74-1,Z$14)*$H74</f>
        <v>0</v>
      </c>
      <c r="AA74" s="24"/>
      <c r="AB74" s="22">
        <f t="shared" ca="1" si="15"/>
        <v>0</v>
      </c>
      <c r="AC74" s="24"/>
      <c r="AD74" s="35" t="str">
        <f t="shared" ca="1" si="17"/>
        <v/>
      </c>
      <c r="AE74" s="24"/>
      <c r="AF74" s="24"/>
      <c r="AG74" s="24"/>
      <c r="AH74" s="24"/>
      <c r="AI74" s="24"/>
      <c r="AJ74" s="24"/>
      <c r="AK74" s="24"/>
    </row>
    <row r="75" spans="2:37" ht="13" x14ac:dyDescent="0.3">
      <c r="B75" s="163">
        <f t="shared" si="16"/>
        <v>46</v>
      </c>
      <c r="D75" s="99" t="s">
        <v>477</v>
      </c>
      <c r="F75" s="79">
        <f ca="1">SUM(F62:F74)</f>
        <v>0</v>
      </c>
      <c r="H75" s="79">
        <f>SUM(H62:H74)</f>
        <v>0</v>
      </c>
      <c r="L75" s="79">
        <f ca="1">SUM(L62:L74)</f>
        <v>0</v>
      </c>
      <c r="O75" s="188"/>
      <c r="P75" s="46">
        <f ca="1">SUM(P62:P74)</f>
        <v>0</v>
      </c>
      <c r="Q75" s="32"/>
      <c r="R75" s="46">
        <f ca="1">SUM(R62:R74)</f>
        <v>0</v>
      </c>
      <c r="S75" s="30"/>
      <c r="T75" s="46">
        <f ca="1">SUM(T62:T74)</f>
        <v>0</v>
      </c>
      <c r="U75" s="30"/>
      <c r="V75" s="46">
        <f ca="1">SUM(V62:V74)</f>
        <v>0</v>
      </c>
      <c r="W75" s="30"/>
      <c r="X75" s="46">
        <f ca="1">SUM(X62:X74)</f>
        <v>0</v>
      </c>
      <c r="Y75" s="41"/>
      <c r="Z75" s="46">
        <f ca="1">SUM(Z62:Z74)</f>
        <v>0</v>
      </c>
      <c r="AA75" s="24"/>
      <c r="AB75" s="46">
        <f ca="1">SUM(AB62:AB74)</f>
        <v>0</v>
      </c>
      <c r="AC75" s="24"/>
      <c r="AD75" s="35" t="str">
        <f t="shared" ca="1" si="17"/>
        <v/>
      </c>
      <c r="AE75" s="24"/>
      <c r="AF75" s="24"/>
      <c r="AG75" s="24"/>
      <c r="AH75" s="24"/>
      <c r="AI75" s="24"/>
      <c r="AJ75" s="24"/>
      <c r="AK75" s="24"/>
    </row>
    <row r="76" spans="2:37" ht="13" x14ac:dyDescent="0.3">
      <c r="O76" s="188"/>
      <c r="P76" s="24"/>
      <c r="Q76" s="24"/>
      <c r="R76" s="24"/>
      <c r="S76" s="97"/>
      <c r="T76" s="97"/>
      <c r="U76" s="24"/>
      <c r="V76" s="24"/>
      <c r="W76" s="24"/>
      <c r="X76" s="24"/>
      <c r="Y76" s="41"/>
      <c r="Z76" s="24"/>
      <c r="AA76" s="24"/>
      <c r="AB76" s="23"/>
      <c r="AC76" s="24"/>
      <c r="AD76" s="35" t="str">
        <f t="shared" si="17"/>
        <v/>
      </c>
      <c r="AE76" s="24"/>
      <c r="AF76" s="24"/>
      <c r="AG76" s="24"/>
      <c r="AH76" s="24"/>
      <c r="AI76" s="24"/>
      <c r="AJ76" s="24"/>
      <c r="AK76" s="24"/>
    </row>
    <row r="77" spans="2:37" ht="13" x14ac:dyDescent="0.3">
      <c r="B77" s="163">
        <f>B75+1</f>
        <v>47</v>
      </c>
      <c r="D77" s="99" t="s">
        <v>221</v>
      </c>
      <c r="F77" s="113">
        <f ca="1">Function!P77</f>
        <v>0</v>
      </c>
      <c r="H77" s="113"/>
      <c r="L77" s="113">
        <f t="shared" ref="L77" ca="1" si="19">F77-H77</f>
        <v>0</v>
      </c>
      <c r="N77" s="91"/>
      <c r="O77" s="186">
        <f>_xlfn.IFNA(MATCH(N77,'Gas Supply Factors'!$B$13:$B$426,0),0)</f>
        <v>0</v>
      </c>
      <c r="P77" s="22">
        <f ca="1">OFFSET('Gas Supply Factors'!$B$13,$O77-1,P$14)*$L77+OFFSET('Gas Supply Factors'!$B$13,$K77-1,P$14)*$H77</f>
        <v>0</v>
      </c>
      <c r="Q77" s="24"/>
      <c r="R77" s="22">
        <f ca="1">OFFSET('Gas Supply Factors'!$B$13,$O77-1,R$14)*$L77+OFFSET('Gas Supply Factors'!$B$13,$K77-1,R$14)*$H77</f>
        <v>0</v>
      </c>
      <c r="S77" s="22"/>
      <c r="T77" s="22">
        <f ca="1">OFFSET('Gas Supply Factors'!$B$13,$O77-1,T$14)*$L77+OFFSET('Gas Supply Factors'!$B$13,$K77-1,T$14)*$H77</f>
        <v>0</v>
      </c>
      <c r="U77" s="22"/>
      <c r="V77" s="22">
        <f ca="1">OFFSET('Gas Supply Factors'!$B$13,$O77-1,V$14)*$L77+OFFSET('Gas Supply Factors'!$B$13,$K77-1,V$14)*$H77</f>
        <v>0</v>
      </c>
      <c r="W77" s="22"/>
      <c r="X77" s="22">
        <f ca="1">OFFSET('Gas Supply Factors'!$B$13,$O77-1,X$14)*$L77+OFFSET('Gas Supply Factors'!$B$13,$K77-1,X$14)*$H77</f>
        <v>0</v>
      </c>
      <c r="Z77" s="22">
        <f ca="1">OFFSET('Gas Supply Factors'!$B$13,$O77-1,Z$14)*$L77+OFFSET('Gas Supply Factors'!$B$13,$K77-1,Z$14)*$H77</f>
        <v>0</v>
      </c>
      <c r="AA77" s="24"/>
      <c r="AB77" s="22">
        <f ca="1">P77+R77+V77+X77+Z77+T77</f>
        <v>0</v>
      </c>
      <c r="AC77" s="24"/>
      <c r="AD77" s="35" t="str">
        <f t="shared" ca="1" si="17"/>
        <v/>
      </c>
      <c r="AE77" s="24"/>
      <c r="AF77" s="24"/>
      <c r="AG77" s="24"/>
      <c r="AH77" s="24"/>
      <c r="AI77" s="24"/>
      <c r="AJ77" s="24"/>
      <c r="AK77" s="24"/>
    </row>
    <row r="78" spans="2:37" ht="13" x14ac:dyDescent="0.3">
      <c r="O78" s="188"/>
      <c r="P78" s="24"/>
      <c r="Q78" s="24"/>
      <c r="R78" s="24"/>
      <c r="S78" s="97"/>
      <c r="T78" s="97"/>
      <c r="U78" s="24"/>
      <c r="V78" s="24"/>
      <c r="W78" s="24"/>
      <c r="X78" s="24"/>
      <c r="Y78" s="41"/>
      <c r="Z78" s="24"/>
      <c r="AA78" s="24"/>
      <c r="AB78" s="23"/>
      <c r="AC78" s="24"/>
      <c r="AD78" s="35" t="str">
        <f t="shared" si="17"/>
        <v/>
      </c>
      <c r="AE78" s="24"/>
      <c r="AF78" s="24"/>
      <c r="AG78" s="24"/>
      <c r="AH78" s="24"/>
      <c r="AI78" s="24"/>
      <c r="AJ78" s="24"/>
      <c r="AK78" s="24"/>
    </row>
    <row r="79" spans="2:37" ht="13" x14ac:dyDescent="0.3">
      <c r="B79" s="163">
        <f>B77+1</f>
        <v>48</v>
      </c>
      <c r="D79" s="99" t="s">
        <v>478</v>
      </c>
      <c r="F79" s="79">
        <f ca="1">F75+F77</f>
        <v>0</v>
      </c>
      <c r="H79" s="79">
        <f>H75+H77</f>
        <v>0</v>
      </c>
      <c r="L79" s="79">
        <f ca="1">L75+L77</f>
        <v>0</v>
      </c>
      <c r="O79" s="188"/>
      <c r="P79" s="45">
        <f ca="1">P75+P77</f>
        <v>0</v>
      </c>
      <c r="Q79" s="47"/>
      <c r="R79" s="45">
        <f ca="1">R75+R77</f>
        <v>0</v>
      </c>
      <c r="S79" s="31"/>
      <c r="T79" s="45">
        <f ca="1">T75+T77</f>
        <v>0</v>
      </c>
      <c r="U79" s="23"/>
      <c r="V79" s="45">
        <f ca="1">V75+V77</f>
        <v>0</v>
      </c>
      <c r="W79" s="23"/>
      <c r="X79" s="45">
        <f ca="1">X75+X77</f>
        <v>0</v>
      </c>
      <c r="Y79" s="41"/>
      <c r="Z79" s="45">
        <f ca="1">Z75+Z77</f>
        <v>0</v>
      </c>
      <c r="AA79" s="24"/>
      <c r="AB79" s="45">
        <f ca="1">AB75+AB77</f>
        <v>0</v>
      </c>
      <c r="AC79" s="24"/>
      <c r="AD79" s="35" t="str">
        <f t="shared" ca="1" si="17"/>
        <v/>
      </c>
      <c r="AE79" s="24"/>
      <c r="AF79" s="24"/>
      <c r="AG79" s="24"/>
      <c r="AH79" s="24"/>
      <c r="AI79" s="24"/>
      <c r="AJ79" s="24"/>
      <c r="AK79" s="24"/>
    </row>
    <row r="80" spans="2:37" ht="13" x14ac:dyDescent="0.3">
      <c r="D80" s="6"/>
      <c r="E80" s="6"/>
      <c r="F80" s="219"/>
      <c r="H80" s="219"/>
      <c r="L80" s="219"/>
      <c r="O80" s="188"/>
      <c r="P80" s="24"/>
      <c r="Q80" s="24"/>
      <c r="R80" s="24"/>
      <c r="S80" s="97"/>
      <c r="T80" s="97"/>
      <c r="U80" s="24"/>
      <c r="V80" s="24"/>
      <c r="W80" s="24"/>
      <c r="X80" s="24"/>
      <c r="Y80" s="41"/>
      <c r="Z80" s="24"/>
      <c r="AA80" s="24"/>
      <c r="AB80" s="24"/>
      <c r="AC80" s="24"/>
      <c r="AD80" s="35" t="str">
        <f t="shared" si="17"/>
        <v/>
      </c>
      <c r="AE80" s="24"/>
      <c r="AF80" s="24"/>
      <c r="AG80" s="24"/>
      <c r="AH80" s="24"/>
      <c r="AI80" s="24"/>
      <c r="AJ80" s="24"/>
      <c r="AK80" s="24"/>
    </row>
    <row r="81" spans="2:37" ht="13" x14ac:dyDescent="0.3">
      <c r="F81" s="113"/>
      <c r="J81" s="91"/>
      <c r="P81" s="99"/>
      <c r="Q81" s="99"/>
      <c r="R81" s="99"/>
      <c r="U81" s="99"/>
      <c r="V81" s="99"/>
      <c r="W81" s="99"/>
      <c r="X81" s="99"/>
      <c r="Y81" s="99"/>
      <c r="Z81" s="99" t="str">
        <f t="shared" ref="Z81" si="20">IF(ROUND(F81,4)=ROUND(X81,4), "", "check")</f>
        <v/>
      </c>
      <c r="AA81" s="99"/>
      <c r="AB81" s="99"/>
      <c r="AC81" s="99"/>
      <c r="AD81" s="35" t="str">
        <f t="shared" si="17"/>
        <v/>
      </c>
      <c r="AE81" s="99"/>
      <c r="AF81" s="24"/>
      <c r="AG81" s="24"/>
      <c r="AH81" s="24"/>
      <c r="AI81" s="24"/>
      <c r="AJ81" s="24"/>
      <c r="AK81" s="24"/>
    </row>
    <row r="82" spans="2:37" ht="13" x14ac:dyDescent="0.3">
      <c r="D82" s="6" t="s">
        <v>36</v>
      </c>
      <c r="F82" s="220"/>
      <c r="O82" s="188"/>
      <c r="P82" s="97"/>
      <c r="Q82" s="97"/>
      <c r="R82" s="97"/>
      <c r="S82" s="97"/>
      <c r="T82" s="97"/>
      <c r="U82" s="97"/>
      <c r="V82" s="97"/>
      <c r="W82" s="97"/>
      <c r="X82" s="97"/>
      <c r="Y82" s="41"/>
      <c r="Z82" s="97"/>
      <c r="AA82" s="97"/>
      <c r="AB82" s="97"/>
      <c r="AC82" s="97"/>
      <c r="AD82" s="35" t="str">
        <f t="shared" si="17"/>
        <v/>
      </c>
      <c r="AE82" s="97"/>
      <c r="AF82" s="24"/>
      <c r="AG82" s="24"/>
      <c r="AH82" s="24"/>
      <c r="AI82" s="24"/>
      <c r="AJ82" s="24"/>
      <c r="AK82" s="24"/>
    </row>
    <row r="83" spans="2:37" ht="13" x14ac:dyDescent="0.3">
      <c r="D83" s="97"/>
      <c r="O83" s="188"/>
      <c r="P83" s="97"/>
      <c r="Q83" s="97"/>
      <c r="R83" s="97"/>
      <c r="S83" s="97"/>
      <c r="T83" s="97"/>
      <c r="U83" s="97"/>
      <c r="V83" s="97"/>
      <c r="W83" s="97"/>
      <c r="X83" s="97"/>
      <c r="Y83" s="41"/>
      <c r="Z83" s="97"/>
      <c r="AA83" s="97"/>
      <c r="AB83" s="97"/>
      <c r="AC83" s="97"/>
      <c r="AD83" s="35" t="str">
        <f t="shared" si="17"/>
        <v/>
      </c>
      <c r="AE83" s="97"/>
      <c r="AF83" s="24"/>
      <c r="AG83" s="24"/>
      <c r="AH83" s="24"/>
      <c r="AI83" s="24"/>
      <c r="AJ83" s="24"/>
      <c r="AK83" s="24"/>
    </row>
    <row r="84" spans="2:37" ht="13" x14ac:dyDescent="0.3">
      <c r="B84" s="163">
        <f>B79+1</f>
        <v>49</v>
      </c>
      <c r="D84" s="97" t="s">
        <v>41</v>
      </c>
      <c r="F84" s="113">
        <f ca="1">+Function!P84</f>
        <v>0</v>
      </c>
      <c r="H84" s="113"/>
      <c r="L84" s="113">
        <f t="shared" ref="L84:L88" ca="1" si="21">F84-H84</f>
        <v>0</v>
      </c>
      <c r="N84" s="91"/>
      <c r="O84" s="186">
        <f>_xlfn.IFNA(MATCH(N84,'Gas Supply Factors'!$B$13:$B$426,0),0)</f>
        <v>0</v>
      </c>
      <c r="P84" s="22">
        <f ca="1">OFFSET('Gas Supply Factors'!$B$13,$O84-1,P$14)*$L84+OFFSET('Gas Supply Factors'!$B$13,$K84-1,P$14)*$H84</f>
        <v>0</v>
      </c>
      <c r="Q84" s="24"/>
      <c r="R84" s="22">
        <f ca="1">OFFSET('Gas Supply Factors'!$B$13,$O84-1,R$14)*$L84+OFFSET('Gas Supply Factors'!$B$13,$K84-1,R$14)*$H84</f>
        <v>0</v>
      </c>
      <c r="S84" s="22"/>
      <c r="T84" s="22">
        <f ca="1">OFFSET('Gas Supply Factors'!$B$13,$O84-1,T$14)*$L84+OFFSET('Gas Supply Factors'!$B$13,$K84-1,T$14)*$H84</f>
        <v>0</v>
      </c>
      <c r="U84" s="22"/>
      <c r="V84" s="22">
        <f ca="1">OFFSET('Gas Supply Factors'!$B$13,$O84-1,V$14)*$L84+OFFSET('Gas Supply Factors'!$B$13,$K84-1,V$14)*$H84</f>
        <v>0</v>
      </c>
      <c r="W84" s="22"/>
      <c r="X84" s="22">
        <f ca="1">OFFSET('Gas Supply Factors'!$B$13,$O84-1,X$14)*$L84+OFFSET('Gas Supply Factors'!$B$13,$K84-1,X$14)*$H84</f>
        <v>0</v>
      </c>
      <c r="Z84" s="22">
        <f ca="1">OFFSET('Gas Supply Factors'!$B$13,$O84-1,Z$14)*$L84+OFFSET('Gas Supply Factors'!$B$13,$K84-1,Z$14)*$H84</f>
        <v>0</v>
      </c>
      <c r="AA84" s="24"/>
      <c r="AB84" s="22">
        <f t="shared" ref="AB84:AB88" ca="1" si="22">P84+R84+V84+X84+Z84+T84</f>
        <v>0</v>
      </c>
      <c r="AC84" s="24"/>
      <c r="AD84" s="35" t="str">
        <f t="shared" ca="1" si="17"/>
        <v/>
      </c>
      <c r="AE84" s="24"/>
      <c r="AF84" s="24"/>
      <c r="AG84" s="24"/>
      <c r="AH84" s="24"/>
      <c r="AI84" s="24"/>
      <c r="AJ84" s="24"/>
      <c r="AK84" s="24"/>
    </row>
    <row r="85" spans="2:37" ht="13" x14ac:dyDescent="0.3">
      <c r="B85" s="163">
        <f>B84+1</f>
        <v>50</v>
      </c>
      <c r="D85" s="97" t="s">
        <v>457</v>
      </c>
      <c r="F85" s="113">
        <f ca="1">+Function!P85</f>
        <v>0</v>
      </c>
      <c r="H85" s="113"/>
      <c r="L85" s="113">
        <f t="shared" ca="1" si="21"/>
        <v>0</v>
      </c>
      <c r="N85" s="91"/>
      <c r="O85" s="186">
        <f>_xlfn.IFNA(MATCH(N85,'Gas Supply Factors'!$B$13:$B$426,0),0)</f>
        <v>0</v>
      </c>
      <c r="P85" s="22">
        <f ca="1">OFFSET('Gas Supply Factors'!$B$13,$O85-1,P$14)*$L85+OFFSET('Gas Supply Factors'!$B$13,$K85-1,P$14)*$H85</f>
        <v>0</v>
      </c>
      <c r="Q85" s="24"/>
      <c r="R85" s="22">
        <f ca="1">OFFSET('Gas Supply Factors'!$B$13,$O85-1,R$14)*$L85+OFFSET('Gas Supply Factors'!$B$13,$K85-1,R$14)*$H85</f>
        <v>0</v>
      </c>
      <c r="S85" s="22"/>
      <c r="T85" s="22">
        <f ca="1">OFFSET('Gas Supply Factors'!$B$13,$O85-1,T$14)*$L85+OFFSET('Gas Supply Factors'!$B$13,$K85-1,T$14)*$H85</f>
        <v>0</v>
      </c>
      <c r="U85" s="22"/>
      <c r="V85" s="22">
        <f ca="1">OFFSET('Gas Supply Factors'!$B$13,$O85-1,V$14)*$L85+OFFSET('Gas Supply Factors'!$B$13,$K85-1,V$14)*$H85</f>
        <v>0</v>
      </c>
      <c r="W85" s="22"/>
      <c r="X85" s="22">
        <f ca="1">OFFSET('Gas Supply Factors'!$B$13,$O85-1,X$14)*$L85+OFFSET('Gas Supply Factors'!$B$13,$K85-1,X$14)*$H85</f>
        <v>0</v>
      </c>
      <c r="Z85" s="22">
        <f ca="1">OFFSET('Gas Supply Factors'!$B$13,$O85-1,Z$14)*$L85+OFFSET('Gas Supply Factors'!$B$13,$K85-1,Z$14)*$H85</f>
        <v>0</v>
      </c>
      <c r="AA85" s="24"/>
      <c r="AB85" s="22">
        <f t="shared" ca="1" si="22"/>
        <v>0</v>
      </c>
      <c r="AC85" s="24"/>
      <c r="AD85" s="35" t="str">
        <f t="shared" ca="1" si="17"/>
        <v/>
      </c>
      <c r="AE85" s="24"/>
      <c r="AF85" s="24"/>
      <c r="AG85" s="24"/>
      <c r="AH85" s="24"/>
      <c r="AI85" s="24"/>
      <c r="AJ85" s="24"/>
      <c r="AK85" s="24"/>
    </row>
    <row r="86" spans="2:37" ht="13" x14ac:dyDescent="0.3">
      <c r="B86" s="163">
        <f t="shared" ref="B86:B89" si="23">B85+1</f>
        <v>51</v>
      </c>
      <c r="D86" s="97" t="s">
        <v>42</v>
      </c>
      <c r="F86" s="113">
        <f ca="1">+Function!P86</f>
        <v>0</v>
      </c>
      <c r="H86" s="113"/>
      <c r="L86" s="113">
        <f t="shared" ca="1" si="21"/>
        <v>0</v>
      </c>
      <c r="N86" s="91"/>
      <c r="O86" s="186">
        <f>_xlfn.IFNA(MATCH(N86,'Gas Supply Factors'!$B$13:$B$426,0),0)</f>
        <v>0</v>
      </c>
      <c r="P86" s="22">
        <f ca="1">OFFSET('Gas Supply Factors'!$B$13,$O86-1,P$14)*$L86+OFFSET('Gas Supply Factors'!$B$13,$K86-1,P$14)*$H86</f>
        <v>0</v>
      </c>
      <c r="Q86" s="24"/>
      <c r="R86" s="22">
        <f ca="1">OFFSET('Gas Supply Factors'!$B$13,$O86-1,R$14)*$L86+OFFSET('Gas Supply Factors'!$B$13,$K86-1,R$14)*$H86</f>
        <v>0</v>
      </c>
      <c r="S86" s="22"/>
      <c r="T86" s="22">
        <f ca="1">OFFSET('Gas Supply Factors'!$B$13,$O86-1,T$14)*$L86+OFFSET('Gas Supply Factors'!$B$13,$K86-1,T$14)*$H86</f>
        <v>0</v>
      </c>
      <c r="U86" s="22"/>
      <c r="V86" s="22">
        <f ca="1">OFFSET('Gas Supply Factors'!$B$13,$O86-1,V$14)*$L86+OFFSET('Gas Supply Factors'!$B$13,$K86-1,V$14)*$H86</f>
        <v>0</v>
      </c>
      <c r="W86" s="22"/>
      <c r="X86" s="22">
        <f ca="1">OFFSET('Gas Supply Factors'!$B$13,$O86-1,X$14)*$L86+OFFSET('Gas Supply Factors'!$B$13,$K86-1,X$14)*$H86</f>
        <v>0</v>
      </c>
      <c r="Z86" s="22">
        <f ca="1">OFFSET('Gas Supply Factors'!$B$13,$O86-1,Z$14)*$L86+OFFSET('Gas Supply Factors'!$B$13,$K86-1,Z$14)*$H86</f>
        <v>0</v>
      </c>
      <c r="AA86" s="24"/>
      <c r="AB86" s="22">
        <f t="shared" ca="1" si="22"/>
        <v>0</v>
      </c>
      <c r="AC86" s="24"/>
      <c r="AD86" s="35" t="str">
        <f t="shared" ca="1" si="17"/>
        <v/>
      </c>
      <c r="AE86" s="24"/>
      <c r="AF86" s="24"/>
      <c r="AG86" s="24"/>
      <c r="AH86" s="24"/>
      <c r="AI86" s="24"/>
      <c r="AJ86" s="24"/>
      <c r="AK86" s="24"/>
    </row>
    <row r="87" spans="2:37" ht="13" x14ac:dyDescent="0.3">
      <c r="B87" s="163">
        <f t="shared" si="23"/>
        <v>52</v>
      </c>
      <c r="D87" s="97" t="s">
        <v>458</v>
      </c>
      <c r="F87" s="113">
        <f ca="1">+Function!P87</f>
        <v>0</v>
      </c>
      <c r="H87" s="113"/>
      <c r="L87" s="113">
        <f t="shared" ca="1" si="21"/>
        <v>0</v>
      </c>
      <c r="N87" s="91"/>
      <c r="O87" s="186">
        <f>_xlfn.IFNA(MATCH(N87,'Gas Supply Factors'!$B$13:$B$426,0),0)</f>
        <v>0</v>
      </c>
      <c r="P87" s="22">
        <f ca="1">OFFSET('Gas Supply Factors'!$B$13,$O87-1,P$14)*$L87+OFFSET('Gas Supply Factors'!$B$13,$K87-1,P$14)*$H87</f>
        <v>0</v>
      </c>
      <c r="Q87" s="24"/>
      <c r="R87" s="22">
        <f ca="1">OFFSET('Gas Supply Factors'!$B$13,$O87-1,R$14)*$L87+OFFSET('Gas Supply Factors'!$B$13,$K87-1,R$14)*$H87</f>
        <v>0</v>
      </c>
      <c r="S87" s="22"/>
      <c r="T87" s="22">
        <f ca="1">OFFSET('Gas Supply Factors'!$B$13,$O87-1,T$14)*$L87+OFFSET('Gas Supply Factors'!$B$13,$K87-1,T$14)*$H87</f>
        <v>0</v>
      </c>
      <c r="U87" s="22"/>
      <c r="V87" s="22">
        <f ca="1">OFFSET('Gas Supply Factors'!$B$13,$O87-1,V$14)*$L87+OFFSET('Gas Supply Factors'!$B$13,$K87-1,V$14)*$H87</f>
        <v>0</v>
      </c>
      <c r="W87" s="22"/>
      <c r="X87" s="22">
        <f ca="1">OFFSET('Gas Supply Factors'!$B$13,$O87-1,X$14)*$L87+OFFSET('Gas Supply Factors'!$B$13,$K87-1,X$14)*$H87</f>
        <v>0</v>
      </c>
      <c r="Z87" s="22">
        <f ca="1">OFFSET('Gas Supply Factors'!$B$13,$O87-1,Z$14)*$L87+OFFSET('Gas Supply Factors'!$B$13,$K87-1,Z$14)*$H87</f>
        <v>0</v>
      </c>
      <c r="AA87" s="24"/>
      <c r="AB87" s="22">
        <f t="shared" ca="1" si="22"/>
        <v>0</v>
      </c>
      <c r="AC87" s="24"/>
      <c r="AD87" s="35" t="str">
        <f t="shared" ca="1" si="17"/>
        <v/>
      </c>
      <c r="AE87" s="24"/>
      <c r="AF87" s="24"/>
      <c r="AG87" s="24"/>
      <c r="AH87" s="24"/>
      <c r="AI87" s="24"/>
      <c r="AJ87" s="24"/>
      <c r="AK87" s="24"/>
    </row>
    <row r="88" spans="2:37" ht="13" x14ac:dyDescent="0.3">
      <c r="B88" s="163">
        <f t="shared" si="23"/>
        <v>53</v>
      </c>
      <c r="D88" s="97" t="s">
        <v>459</v>
      </c>
      <c r="F88" s="113">
        <f ca="1">+Function!P88</f>
        <v>0</v>
      </c>
      <c r="H88" s="113"/>
      <c r="L88" s="113">
        <f t="shared" ca="1" si="21"/>
        <v>0</v>
      </c>
      <c r="O88" s="186">
        <f>_xlfn.IFNA(MATCH(N88,'Gas Supply Factors'!$B$13:$B$426,0),0)</f>
        <v>0</v>
      </c>
      <c r="P88" s="22">
        <f ca="1">OFFSET('Gas Supply Factors'!$B$13,$O88-1,P$14)*$L88+OFFSET('Gas Supply Factors'!$B$13,$K88-1,P$14)*$H88</f>
        <v>0</v>
      </c>
      <c r="Q88" s="24"/>
      <c r="R88" s="22">
        <f ca="1">OFFSET('Gas Supply Factors'!$B$13,$O88-1,R$14)*$L88+OFFSET('Gas Supply Factors'!$B$13,$K88-1,R$14)*$H88</f>
        <v>0</v>
      </c>
      <c r="S88" s="22"/>
      <c r="T88" s="22">
        <f ca="1">OFFSET('Gas Supply Factors'!$B$13,$O88-1,T$14)*$L88+OFFSET('Gas Supply Factors'!$B$13,$K88-1,T$14)*$H88</f>
        <v>0</v>
      </c>
      <c r="U88" s="22"/>
      <c r="V88" s="22">
        <f ca="1">OFFSET('Gas Supply Factors'!$B$13,$O88-1,V$14)*$L88+OFFSET('Gas Supply Factors'!$B$13,$K88-1,V$14)*$H88</f>
        <v>0</v>
      </c>
      <c r="W88" s="22"/>
      <c r="X88" s="22">
        <f ca="1">OFFSET('Gas Supply Factors'!$B$13,$O88-1,X$14)*$L88+OFFSET('Gas Supply Factors'!$B$13,$K88-1,X$14)*$H88</f>
        <v>0</v>
      </c>
      <c r="Z88" s="22">
        <f ca="1">OFFSET('Gas Supply Factors'!$B$13,$O88-1,Z$14)*$L88+OFFSET('Gas Supply Factors'!$B$13,$K88-1,Z$14)*$H88</f>
        <v>0</v>
      </c>
      <c r="AA88" s="24"/>
      <c r="AB88" s="22">
        <f t="shared" ca="1" si="22"/>
        <v>0</v>
      </c>
      <c r="AC88" s="24"/>
      <c r="AD88" s="35" t="str">
        <f t="shared" ca="1" si="17"/>
        <v/>
      </c>
      <c r="AE88" s="24"/>
      <c r="AF88" s="24"/>
      <c r="AG88" s="24"/>
      <c r="AH88" s="24"/>
      <c r="AI88" s="24"/>
      <c r="AJ88" s="24"/>
      <c r="AK88" s="24"/>
    </row>
    <row r="89" spans="2:37" ht="13" x14ac:dyDescent="0.3">
      <c r="B89" s="163">
        <f t="shared" si="23"/>
        <v>54</v>
      </c>
      <c r="D89" s="97" t="s">
        <v>479</v>
      </c>
      <c r="F89" s="79">
        <f ca="1">SUM(F82:F88)</f>
        <v>0</v>
      </c>
      <c r="H89" s="79">
        <f>SUM(H82:H88)</f>
        <v>0</v>
      </c>
      <c r="L89" s="79">
        <f ca="1">SUM(L82:L88)</f>
        <v>0</v>
      </c>
      <c r="O89" s="188"/>
      <c r="P89" s="48">
        <f ca="1">SUM(P82:P88)</f>
        <v>0</v>
      </c>
      <c r="Q89" s="32"/>
      <c r="R89" s="48">
        <f ca="1">SUM(R82:R88)</f>
        <v>0</v>
      </c>
      <c r="S89" s="32"/>
      <c r="T89" s="48">
        <f ca="1">SUM(T82:T88)</f>
        <v>0</v>
      </c>
      <c r="U89" s="32"/>
      <c r="V89" s="48">
        <f ca="1">SUM(V82:V88)</f>
        <v>0</v>
      </c>
      <c r="W89" s="32"/>
      <c r="X89" s="48">
        <f ca="1">SUM(X82:X88)</f>
        <v>0</v>
      </c>
      <c r="Y89" s="41"/>
      <c r="Z89" s="48">
        <f ca="1">SUM(Z82:Z88)</f>
        <v>0</v>
      </c>
      <c r="AA89" s="24"/>
      <c r="AB89" s="48">
        <f ca="1">SUM(AB82:AB88)</f>
        <v>0</v>
      </c>
      <c r="AC89" s="24"/>
      <c r="AD89" s="35" t="str">
        <f t="shared" ca="1" si="17"/>
        <v/>
      </c>
      <c r="AE89" s="24"/>
      <c r="AF89" s="24"/>
      <c r="AG89" s="24"/>
      <c r="AH89" s="24"/>
      <c r="AI89" s="24"/>
      <c r="AJ89" s="24"/>
      <c r="AK89" s="24"/>
    </row>
    <row r="90" spans="2:37" ht="13" x14ac:dyDescent="0.3">
      <c r="D90" s="97"/>
      <c r="O90" s="188"/>
      <c r="P90" s="24"/>
      <c r="Q90" s="24"/>
      <c r="R90" s="24"/>
      <c r="S90" s="97"/>
      <c r="T90" s="97"/>
      <c r="U90" s="24"/>
      <c r="V90" s="24"/>
      <c r="W90" s="24"/>
      <c r="X90" s="24"/>
      <c r="Y90" s="41"/>
      <c r="Z90" s="97"/>
      <c r="AA90" s="24"/>
      <c r="AB90" s="97"/>
      <c r="AC90" s="24"/>
      <c r="AD90" s="35" t="str">
        <f t="shared" si="17"/>
        <v/>
      </c>
      <c r="AE90" s="24"/>
      <c r="AF90" s="24"/>
      <c r="AG90" s="24"/>
      <c r="AH90" s="24"/>
      <c r="AI90" s="24"/>
      <c r="AJ90" s="24"/>
      <c r="AK90" s="24"/>
    </row>
    <row r="91" spans="2:37" ht="13" x14ac:dyDescent="0.3">
      <c r="O91" s="188"/>
      <c r="P91" s="24"/>
      <c r="Q91" s="24"/>
      <c r="R91" s="24"/>
      <c r="S91" s="97"/>
      <c r="T91" s="97"/>
      <c r="U91" s="24"/>
      <c r="V91" s="24"/>
      <c r="W91" s="24"/>
      <c r="X91" s="24"/>
      <c r="Y91" s="24"/>
      <c r="Z91" s="97"/>
      <c r="AA91" s="24"/>
      <c r="AB91" s="97"/>
      <c r="AC91" s="24"/>
      <c r="AD91" s="35" t="str">
        <f t="shared" si="17"/>
        <v/>
      </c>
      <c r="AE91" s="24"/>
      <c r="AF91" s="24"/>
      <c r="AG91" s="24"/>
      <c r="AH91" s="24"/>
      <c r="AI91" s="24"/>
      <c r="AJ91" s="24"/>
      <c r="AK91" s="24"/>
    </row>
    <row r="92" spans="2:37" ht="13" x14ac:dyDescent="0.3">
      <c r="B92" s="163">
        <f>B89+1</f>
        <v>55</v>
      </c>
      <c r="D92" s="97" t="s">
        <v>480</v>
      </c>
      <c r="F92" s="79">
        <f ca="1">F79+F89</f>
        <v>0</v>
      </c>
      <c r="H92" s="79">
        <f>H79+H89</f>
        <v>0</v>
      </c>
      <c r="L92" s="79">
        <f ca="1">L79+L89</f>
        <v>0</v>
      </c>
      <c r="O92" s="188"/>
      <c r="P92" s="46">
        <f ca="1">P79+P89</f>
        <v>0</v>
      </c>
      <c r="Q92" s="23"/>
      <c r="R92" s="45">
        <f ca="1">R79+R89</f>
        <v>0</v>
      </c>
      <c r="S92" s="31"/>
      <c r="T92" s="45">
        <f ca="1">T79+T89</f>
        <v>0</v>
      </c>
      <c r="U92" s="23"/>
      <c r="V92" s="45">
        <f ca="1">V79+V89</f>
        <v>0</v>
      </c>
      <c r="W92" s="23"/>
      <c r="X92" s="45">
        <f ca="1">X79+X89</f>
        <v>0</v>
      </c>
      <c r="Y92" s="31"/>
      <c r="Z92" s="45">
        <f ca="1">Z79+Z89</f>
        <v>0</v>
      </c>
      <c r="AA92" s="23"/>
      <c r="AB92" s="45">
        <f ca="1">AB79+AB89</f>
        <v>0</v>
      </c>
      <c r="AC92" s="24"/>
      <c r="AD92" s="35" t="str">
        <f t="shared" ca="1" si="17"/>
        <v/>
      </c>
      <c r="AE92" s="24"/>
      <c r="AF92" s="24"/>
      <c r="AG92" s="24"/>
      <c r="AH92" s="24"/>
      <c r="AI92" s="24"/>
      <c r="AJ92" s="24"/>
      <c r="AK92" s="24"/>
    </row>
    <row r="93" spans="2:37" ht="13" x14ac:dyDescent="0.3">
      <c r="O93" s="188"/>
      <c r="P93" s="24"/>
      <c r="Q93" s="24"/>
      <c r="R93" s="24"/>
      <c r="S93" s="97"/>
      <c r="T93" s="97"/>
      <c r="U93" s="24"/>
      <c r="V93" s="24"/>
      <c r="W93" s="24"/>
      <c r="X93" s="24"/>
      <c r="Y93" s="24"/>
      <c r="Z93" s="97"/>
      <c r="AA93" s="24"/>
      <c r="AB93" s="97"/>
      <c r="AC93" s="24"/>
      <c r="AD93" s="35" t="str">
        <f t="shared" si="17"/>
        <v/>
      </c>
      <c r="AE93" s="24"/>
      <c r="AF93" s="24"/>
      <c r="AG93" s="24"/>
      <c r="AH93" s="24"/>
      <c r="AI93" s="24"/>
      <c r="AJ93" s="24"/>
      <c r="AK93" s="24"/>
    </row>
    <row r="94" spans="2:37" ht="13" x14ac:dyDescent="0.3">
      <c r="O94" s="188"/>
      <c r="P94" s="24"/>
      <c r="Q94" s="24"/>
      <c r="R94" s="24"/>
      <c r="S94" s="97"/>
      <c r="T94" s="97"/>
      <c r="U94" s="24"/>
      <c r="V94" s="24"/>
      <c r="W94" s="24"/>
      <c r="X94" s="24"/>
      <c r="Y94" s="24"/>
      <c r="Z94" s="97"/>
      <c r="AA94" s="24"/>
      <c r="AB94" s="97"/>
      <c r="AC94" s="24"/>
      <c r="AD94" s="35" t="str">
        <f t="shared" si="17"/>
        <v/>
      </c>
      <c r="AE94" s="24"/>
      <c r="AF94" s="24"/>
      <c r="AG94" s="24"/>
      <c r="AH94" s="24"/>
      <c r="AI94" s="24"/>
      <c r="AJ94" s="24"/>
      <c r="AK94" s="24"/>
    </row>
    <row r="95" spans="2:37" ht="13" x14ac:dyDescent="0.3">
      <c r="B95" s="163">
        <f>B92+1</f>
        <v>56</v>
      </c>
      <c r="D95" s="99" t="s">
        <v>38</v>
      </c>
      <c r="F95" s="226">
        <f>Function!$F$95</f>
        <v>5.8701360377304071E-2</v>
      </c>
      <c r="H95" s="226">
        <f>Function!$F$95</f>
        <v>5.8701360377304071E-2</v>
      </c>
      <c r="L95" s="226">
        <f>Function!$F$95</f>
        <v>5.8701360377304071E-2</v>
      </c>
      <c r="O95" s="188"/>
      <c r="P95" s="34">
        <f>$F$95</f>
        <v>5.8701360377304071E-2</v>
      </c>
      <c r="Q95" s="24"/>
      <c r="R95" s="34">
        <f>$F$95</f>
        <v>5.8701360377304071E-2</v>
      </c>
      <c r="S95" s="34"/>
      <c r="T95" s="34">
        <f>$F$95</f>
        <v>5.8701360377304071E-2</v>
      </c>
      <c r="U95" s="24"/>
      <c r="V95" s="34">
        <f>$F$95</f>
        <v>5.8701360377304071E-2</v>
      </c>
      <c r="W95" s="24"/>
      <c r="X95" s="34">
        <f>$F$95</f>
        <v>5.8701360377304071E-2</v>
      </c>
      <c r="Y95" s="34"/>
      <c r="Z95" s="34">
        <f>$F$95</f>
        <v>5.8701360377304071E-2</v>
      </c>
      <c r="AA95" s="24"/>
      <c r="AB95" s="34">
        <f>F95</f>
        <v>5.8701360377304071E-2</v>
      </c>
      <c r="AC95" s="24"/>
      <c r="AD95" s="35" t="str">
        <f t="shared" si="17"/>
        <v/>
      </c>
      <c r="AE95" s="24"/>
      <c r="AF95" s="24"/>
      <c r="AG95" s="24"/>
      <c r="AH95" s="24"/>
      <c r="AI95" s="24"/>
      <c r="AJ95" s="24"/>
      <c r="AK95" s="24"/>
    </row>
    <row r="96" spans="2:37" ht="13" x14ac:dyDescent="0.3">
      <c r="O96" s="188"/>
      <c r="P96" s="24"/>
      <c r="Q96" s="24"/>
      <c r="R96" s="24"/>
      <c r="S96" s="97"/>
      <c r="T96" s="97"/>
      <c r="U96" s="24"/>
      <c r="V96" s="24"/>
      <c r="W96" s="24"/>
      <c r="X96" s="24"/>
      <c r="Y96" s="24"/>
      <c r="Z96" s="97"/>
      <c r="AA96" s="24"/>
      <c r="AB96" s="97"/>
      <c r="AC96" s="24"/>
      <c r="AD96" s="35" t="str">
        <f t="shared" si="17"/>
        <v/>
      </c>
      <c r="AE96" s="24"/>
      <c r="AF96" s="24"/>
      <c r="AG96" s="24"/>
      <c r="AH96" s="24"/>
      <c r="AI96" s="24"/>
      <c r="AJ96" s="24"/>
      <c r="AK96" s="24"/>
    </row>
    <row r="97" spans="1:37" ht="13" x14ac:dyDescent="0.3">
      <c r="B97" s="163">
        <f>B95+1</f>
        <v>57</v>
      </c>
      <c r="D97" s="99" t="s">
        <v>481</v>
      </c>
      <c r="F97" s="79">
        <f ca="1">F92*F95</f>
        <v>0</v>
      </c>
      <c r="H97" s="79">
        <f>H92*H95</f>
        <v>0</v>
      </c>
      <c r="L97" s="79">
        <f ca="1">L92*L95</f>
        <v>0</v>
      </c>
      <c r="O97" s="188"/>
      <c r="P97" s="45">
        <f ca="1">P92*P95</f>
        <v>0</v>
      </c>
      <c r="Q97" s="24"/>
      <c r="R97" s="45">
        <f ca="1">R92*R95</f>
        <v>0</v>
      </c>
      <c r="S97" s="23"/>
      <c r="T97" s="45">
        <f ca="1">T92*T95</f>
        <v>0</v>
      </c>
      <c r="U97" s="24"/>
      <c r="V97" s="45">
        <f ca="1">V92*V95</f>
        <v>0</v>
      </c>
      <c r="W97" s="24"/>
      <c r="X97" s="45">
        <f ca="1">X92*X95</f>
        <v>0</v>
      </c>
      <c r="Y97" s="24"/>
      <c r="Z97" s="45">
        <f ca="1">Z92*Z95</f>
        <v>0</v>
      </c>
      <c r="AA97" s="24"/>
      <c r="AB97" s="45">
        <f t="shared" ref="AB97" ca="1" si="24">P97+R97+V97+X97+Z97+T97</f>
        <v>0</v>
      </c>
      <c r="AC97" s="24"/>
      <c r="AD97" s="35" t="str">
        <f t="shared" ca="1" si="17"/>
        <v/>
      </c>
      <c r="AF97" s="24"/>
      <c r="AG97" s="24"/>
      <c r="AH97" s="24"/>
      <c r="AI97" s="24"/>
      <c r="AJ97" s="24"/>
      <c r="AK97" s="24"/>
    </row>
    <row r="98" spans="1:37" ht="13" x14ac:dyDescent="0.3">
      <c r="F98" s="113"/>
      <c r="H98" s="113"/>
      <c r="L98" s="113"/>
      <c r="Y98" s="24"/>
      <c r="AC98" s="24"/>
      <c r="AD98" s="35" t="str">
        <f t="shared" si="17"/>
        <v/>
      </c>
      <c r="AF98" s="24"/>
      <c r="AG98" s="24"/>
      <c r="AH98" s="24"/>
      <c r="AI98" s="24"/>
      <c r="AJ98" s="24"/>
      <c r="AK98" s="24"/>
    </row>
    <row r="99" spans="1:37" ht="13" x14ac:dyDescent="0.3">
      <c r="F99" s="113"/>
      <c r="H99" s="113"/>
      <c r="L99" s="113"/>
      <c r="Y99" s="24"/>
      <c r="AC99" s="24"/>
      <c r="AD99" s="35" t="str">
        <f t="shared" si="17"/>
        <v/>
      </c>
      <c r="AE99" s="24"/>
      <c r="AF99" s="24"/>
      <c r="AG99" s="24"/>
      <c r="AH99" s="24"/>
      <c r="AI99" s="24"/>
      <c r="AJ99" s="24"/>
      <c r="AK99" s="24"/>
    </row>
    <row r="100" spans="1:37" s="24" customFormat="1" ht="13" x14ac:dyDescent="0.3">
      <c r="A100" s="1"/>
      <c r="B100" s="163"/>
      <c r="C100" s="1"/>
      <c r="D100" s="6" t="s">
        <v>70</v>
      </c>
      <c r="F100" s="94"/>
      <c r="G100" s="94"/>
      <c r="H100" s="94"/>
      <c r="I100" s="94"/>
      <c r="J100" s="94"/>
      <c r="K100" s="94"/>
      <c r="L100" s="94"/>
      <c r="M100" s="94"/>
      <c r="N100" s="94"/>
      <c r="O100" s="188"/>
      <c r="S100" s="97"/>
      <c r="T100" s="97"/>
      <c r="AD100" s="35" t="str">
        <f t="shared" si="17"/>
        <v/>
      </c>
    </row>
    <row r="101" spans="1:37" s="24" customFormat="1" ht="13" x14ac:dyDescent="0.3">
      <c r="A101" s="1"/>
      <c r="B101" s="163"/>
      <c r="C101" s="1"/>
      <c r="D101" s="99"/>
      <c r="F101" s="94"/>
      <c r="G101" s="94"/>
      <c r="H101" s="94"/>
      <c r="I101" s="94"/>
      <c r="J101" s="94"/>
      <c r="K101" s="94"/>
      <c r="L101" s="94"/>
      <c r="M101" s="94"/>
      <c r="N101" s="94"/>
      <c r="O101" s="188"/>
      <c r="S101" s="97"/>
      <c r="T101" s="97"/>
      <c r="AD101" s="35" t="str">
        <f t="shared" si="17"/>
        <v/>
      </c>
    </row>
    <row r="102" spans="1:37" s="24" customFormat="1" ht="13" x14ac:dyDescent="0.3">
      <c r="A102" s="1"/>
      <c r="B102" s="163">
        <f>B97+1</f>
        <v>58</v>
      </c>
      <c r="C102" s="1"/>
      <c r="D102" s="99" t="s">
        <v>220</v>
      </c>
      <c r="F102" s="113">
        <f ca="1">Function!P102</f>
        <v>0</v>
      </c>
      <c r="G102" s="94"/>
      <c r="H102" s="113"/>
      <c r="I102" s="94"/>
      <c r="J102" s="94"/>
      <c r="K102" s="94"/>
      <c r="L102" s="113">
        <f t="shared" ref="L102:L103" ca="1" si="25">F102-H102</f>
        <v>0</v>
      </c>
      <c r="M102" s="94"/>
      <c r="N102" s="94"/>
      <c r="O102" s="186">
        <f>_xlfn.IFNA(MATCH(N102,'Gas Supply Factors'!$B$13:$B$426,0),0)</f>
        <v>0</v>
      </c>
      <c r="P102" s="22">
        <f ca="1">OFFSET('Gas Supply Factors'!$B$13,$O102-1,P$14)*$L102+OFFSET('Gas Supply Factors'!$B$13,$K102-1,P$14)*$H102</f>
        <v>0</v>
      </c>
      <c r="R102" s="22">
        <f ca="1">OFFSET('Gas Supply Factors'!$B$13,$O102-1,R$14)*$L102+OFFSET('Gas Supply Factors'!$B$13,$K102-1,R$14)*$H102</f>
        <v>0</v>
      </c>
      <c r="S102" s="22"/>
      <c r="T102" s="22">
        <f ca="1">OFFSET('Gas Supply Factors'!$B$13,$O102-1,T$14)*$L102+OFFSET('Gas Supply Factors'!$B$13,$K102-1,T$14)*$H102</f>
        <v>0</v>
      </c>
      <c r="U102" s="22"/>
      <c r="V102" s="22">
        <f ca="1">OFFSET('Gas Supply Factors'!$B$13,$O102-1,V$14)*$L102+OFFSET('Gas Supply Factors'!$B$13,$K102-1,V$14)*$H102</f>
        <v>0</v>
      </c>
      <c r="W102" s="22"/>
      <c r="X102" s="22">
        <f ca="1">OFFSET('Gas Supply Factors'!$B$13,$O102-1,X$14)*$L102+OFFSET('Gas Supply Factors'!$B$13,$K102-1,X$14)*$H102</f>
        <v>0</v>
      </c>
      <c r="Y102" s="1"/>
      <c r="Z102" s="22">
        <f ca="1">OFFSET('Gas Supply Factors'!$B$13,$O102-1,Z$14)*$L102+OFFSET('Gas Supply Factors'!$B$13,$K102-1,Z$14)*$H102</f>
        <v>0</v>
      </c>
      <c r="AB102" s="22">
        <f t="shared" ref="AB102:AB103" ca="1" si="26">P102+R102+V102+X102+Z102+T102</f>
        <v>0</v>
      </c>
      <c r="AD102" s="35" t="str">
        <f t="shared" ca="1" si="17"/>
        <v/>
      </c>
    </row>
    <row r="103" spans="1:37" s="24" customFormat="1" ht="13" x14ac:dyDescent="0.3">
      <c r="A103" s="1"/>
      <c r="B103" s="163">
        <f>B102+1</f>
        <v>59</v>
      </c>
      <c r="C103" s="1"/>
      <c r="D103" s="99" t="s">
        <v>221</v>
      </c>
      <c r="F103" s="113">
        <f ca="1">Function!P103</f>
        <v>0</v>
      </c>
      <c r="G103" s="94"/>
      <c r="H103" s="113"/>
      <c r="I103" s="94"/>
      <c r="J103" s="94"/>
      <c r="K103" s="94"/>
      <c r="L103" s="113">
        <f t="shared" ca="1" si="25"/>
        <v>0</v>
      </c>
      <c r="M103" s="94"/>
      <c r="N103" s="91"/>
      <c r="O103" s="186">
        <f>_xlfn.IFNA(MATCH(N103,'Gas Supply Factors'!$B$13:$B$426,0),0)</f>
        <v>0</v>
      </c>
      <c r="P103" s="22">
        <f ca="1">OFFSET('Gas Supply Factors'!$B$13,$O103-1,P$14)*$L103+OFFSET('Gas Supply Factors'!$B$13,$K103-1,P$14)*$H103</f>
        <v>0</v>
      </c>
      <c r="R103" s="22">
        <f ca="1">OFFSET('Gas Supply Factors'!$B$13,$O103-1,R$14)*$L103+OFFSET('Gas Supply Factors'!$B$13,$K103-1,R$14)*$H103</f>
        <v>0</v>
      </c>
      <c r="S103" s="22"/>
      <c r="T103" s="22">
        <f ca="1">OFFSET('Gas Supply Factors'!$B$13,$O103-1,T$14)*$L103+OFFSET('Gas Supply Factors'!$B$13,$K103-1,T$14)*$H103</f>
        <v>0</v>
      </c>
      <c r="U103" s="22"/>
      <c r="V103" s="22">
        <f ca="1">OFFSET('Gas Supply Factors'!$B$13,$O103-1,V$14)*$L103+OFFSET('Gas Supply Factors'!$B$13,$K103-1,V$14)*$H103</f>
        <v>0</v>
      </c>
      <c r="W103" s="22"/>
      <c r="X103" s="22">
        <f ca="1">OFFSET('Gas Supply Factors'!$B$13,$O103-1,X$14)*$L103+OFFSET('Gas Supply Factors'!$B$13,$K103-1,X$14)*$H103</f>
        <v>0</v>
      </c>
      <c r="Y103" s="1"/>
      <c r="Z103" s="22">
        <f ca="1">OFFSET('Gas Supply Factors'!$B$13,$O103-1,Z$14)*$L103+OFFSET('Gas Supply Factors'!$B$13,$K103-1,Z$14)*$H103</f>
        <v>0</v>
      </c>
      <c r="AB103" s="22">
        <f t="shared" ca="1" si="26"/>
        <v>0</v>
      </c>
      <c r="AD103" s="35" t="str">
        <f t="shared" ca="1" si="17"/>
        <v/>
      </c>
    </row>
    <row r="104" spans="1:37" s="24" customFormat="1" ht="13" x14ac:dyDescent="0.3">
      <c r="A104" s="1"/>
      <c r="B104" s="163">
        <f>B103+1</f>
        <v>60</v>
      </c>
      <c r="C104" s="1"/>
      <c r="D104" s="99" t="s">
        <v>222</v>
      </c>
      <c r="F104" s="79">
        <f ca="1">F102+F103</f>
        <v>0</v>
      </c>
      <c r="G104" s="94"/>
      <c r="H104" s="79">
        <f>H102+H103</f>
        <v>0</v>
      </c>
      <c r="I104" s="94"/>
      <c r="J104" s="94"/>
      <c r="K104" s="94"/>
      <c r="L104" s="79">
        <f ca="1">L102+L103</f>
        <v>0</v>
      </c>
      <c r="M104" s="94"/>
      <c r="N104" s="94"/>
      <c r="O104" s="188"/>
      <c r="P104" s="79">
        <f ca="1">P102+P103</f>
        <v>0</v>
      </c>
      <c r="R104" s="79">
        <f ca="1">R102+R103</f>
        <v>0</v>
      </c>
      <c r="S104" s="105"/>
      <c r="T104" s="79">
        <f ca="1">T102+T103</f>
        <v>0</v>
      </c>
      <c r="U104" s="22"/>
      <c r="V104" s="79">
        <f ca="1">V102+V103</f>
        <v>0</v>
      </c>
      <c r="W104" s="22"/>
      <c r="X104" s="79">
        <f ca="1">X102+X103</f>
        <v>0</v>
      </c>
      <c r="Z104" s="79">
        <f ca="1">Z102+Z103</f>
        <v>0</v>
      </c>
      <c r="AB104" s="79">
        <f ca="1">AB102+AB103</f>
        <v>0</v>
      </c>
      <c r="AD104" s="35" t="str">
        <f t="shared" ca="1" si="17"/>
        <v/>
      </c>
    </row>
    <row r="105" spans="1:37" s="24" customFormat="1" ht="13" x14ac:dyDescent="0.3">
      <c r="A105" s="1"/>
      <c r="B105" s="163"/>
      <c r="C105" s="1"/>
      <c r="D105" s="99"/>
      <c r="F105" s="94"/>
      <c r="G105" s="94"/>
      <c r="H105" s="94"/>
      <c r="I105" s="94"/>
      <c r="J105" s="94"/>
      <c r="K105" s="94"/>
      <c r="L105" s="94"/>
      <c r="M105" s="94"/>
      <c r="N105" s="94"/>
      <c r="O105" s="188"/>
      <c r="S105" s="97"/>
      <c r="T105" s="97"/>
      <c r="AD105" s="35" t="str">
        <f t="shared" si="17"/>
        <v/>
      </c>
    </row>
    <row r="106" spans="1:37" s="24" customFormat="1" ht="13" x14ac:dyDescent="0.3">
      <c r="B106" s="163"/>
      <c r="C106" s="1"/>
      <c r="D106" s="6" t="s">
        <v>69</v>
      </c>
      <c r="E106" s="1"/>
      <c r="F106" s="113"/>
      <c r="G106" s="94"/>
      <c r="H106" s="113"/>
      <c r="I106" s="94"/>
      <c r="J106" s="94"/>
      <c r="K106" s="94"/>
      <c r="L106" s="113"/>
      <c r="M106" s="94"/>
      <c r="N106" s="94"/>
      <c r="O106" s="187"/>
      <c r="P106" s="1"/>
      <c r="Q106" s="1"/>
      <c r="R106" s="1"/>
      <c r="S106" s="99"/>
      <c r="T106" s="99"/>
      <c r="U106" s="1"/>
      <c r="V106" s="1"/>
      <c r="W106" s="1"/>
      <c r="X106" s="1"/>
      <c r="Z106" s="1"/>
      <c r="AA106" s="1"/>
      <c r="AB106" s="1"/>
      <c r="AD106" s="35" t="str">
        <f t="shared" si="17"/>
        <v/>
      </c>
    </row>
    <row r="107" spans="1:37" s="24" customFormat="1" ht="13" x14ac:dyDescent="0.3">
      <c r="B107" s="163"/>
      <c r="C107" s="1"/>
      <c r="D107" s="99"/>
      <c r="E107" s="1"/>
      <c r="F107" s="113"/>
      <c r="G107" s="94"/>
      <c r="H107" s="113"/>
      <c r="I107" s="94"/>
      <c r="J107" s="94"/>
      <c r="K107" s="94"/>
      <c r="L107" s="113"/>
      <c r="M107" s="94"/>
      <c r="N107" s="94"/>
      <c r="O107" s="187"/>
      <c r="P107" s="1"/>
      <c r="Q107" s="1"/>
      <c r="R107" s="1"/>
      <c r="S107" s="99"/>
      <c r="T107" s="99"/>
      <c r="U107" s="1"/>
      <c r="V107" s="1"/>
      <c r="W107" s="1"/>
      <c r="X107" s="1"/>
      <c r="Y107" s="1"/>
      <c r="Z107" s="1"/>
      <c r="AA107" s="1"/>
      <c r="AB107" s="1"/>
      <c r="AD107" s="35" t="str">
        <f t="shared" si="17"/>
        <v/>
      </c>
    </row>
    <row r="108" spans="1:37" s="24" customFormat="1" ht="13" x14ac:dyDescent="0.3">
      <c r="A108" s="1"/>
      <c r="B108" s="163">
        <f>B104+1</f>
        <v>61</v>
      </c>
      <c r="C108" s="1"/>
      <c r="D108" s="99" t="s">
        <v>39</v>
      </c>
      <c r="F108" s="113">
        <f ca="1">Function!P108</f>
        <v>0</v>
      </c>
      <c r="G108" s="94"/>
      <c r="H108" s="113"/>
      <c r="I108" s="94"/>
      <c r="J108" s="94"/>
      <c r="K108" s="94"/>
      <c r="L108" s="113">
        <f t="shared" ref="L108:L109" ca="1" si="27">F108-H108</f>
        <v>0</v>
      </c>
      <c r="M108" s="94"/>
      <c r="N108" s="91"/>
      <c r="O108" s="186">
        <f>_xlfn.IFNA(MATCH(N108,'Gas Supply Factors'!$B$13:$B$426,0),0)</f>
        <v>0</v>
      </c>
      <c r="P108" s="22">
        <f ca="1">OFFSET('Gas Supply Factors'!$B$13,$O108-1,P$14)*$L108+OFFSET('Gas Supply Factors'!$B$13,$K108-1,P$14)*$H108</f>
        <v>0</v>
      </c>
      <c r="R108" s="22">
        <f ca="1">OFFSET('Gas Supply Factors'!$B$13,$O108-1,R$14)*$L108+OFFSET('Gas Supply Factors'!$B$13,$K108-1,R$14)*$H108</f>
        <v>0</v>
      </c>
      <c r="S108" s="22"/>
      <c r="T108" s="22">
        <f ca="1">OFFSET('Gas Supply Factors'!$B$13,$O108-1,T$14)*$L108+OFFSET('Gas Supply Factors'!$B$13,$K108-1,T$14)*$H108</f>
        <v>0</v>
      </c>
      <c r="U108" s="22"/>
      <c r="V108" s="22">
        <f ca="1">OFFSET('Gas Supply Factors'!$B$13,$O108-1,V$14)*$L108+OFFSET('Gas Supply Factors'!$B$13,$K108-1,V$14)*$H108</f>
        <v>0</v>
      </c>
      <c r="W108" s="22"/>
      <c r="X108" s="22">
        <f ca="1">OFFSET('Gas Supply Factors'!$B$13,$O108-1,X$14)*$L108+OFFSET('Gas Supply Factors'!$B$13,$K108-1,X$14)*$H108</f>
        <v>0</v>
      </c>
      <c r="Y108" s="1"/>
      <c r="Z108" s="22">
        <f ca="1">OFFSET('Gas Supply Factors'!$B$13,$O108-1,Z$14)*$L108+OFFSET('Gas Supply Factors'!$B$13,$K108-1,Z$14)*$H108</f>
        <v>0</v>
      </c>
      <c r="AB108" s="22">
        <f t="shared" ref="AB108:AB109" ca="1" si="28">P108+R108+V108+X108+Z108+T108</f>
        <v>0</v>
      </c>
      <c r="AD108" s="35" t="str">
        <f t="shared" ca="1" si="17"/>
        <v/>
      </c>
    </row>
    <row r="109" spans="1:37" s="24" customFormat="1" ht="13" x14ac:dyDescent="0.3">
      <c r="A109" s="1"/>
      <c r="B109" s="163">
        <f>B108+1</f>
        <v>62</v>
      </c>
      <c r="C109" s="1"/>
      <c r="D109" s="99" t="s">
        <v>40</v>
      </c>
      <c r="F109" s="113">
        <f ca="1">Function!P109</f>
        <v>0</v>
      </c>
      <c r="G109" s="94"/>
      <c r="H109" s="113"/>
      <c r="I109" s="94"/>
      <c r="J109" s="94"/>
      <c r="K109" s="94"/>
      <c r="L109" s="113">
        <f t="shared" ca="1" si="27"/>
        <v>0</v>
      </c>
      <c r="M109" s="94"/>
      <c r="N109" s="94"/>
      <c r="O109" s="186">
        <f>_xlfn.IFNA(MATCH(N109,'Gas Supply Factors'!$B$13:$B$426,0),0)</f>
        <v>0</v>
      </c>
      <c r="P109" s="22">
        <f ca="1">OFFSET('Gas Supply Factors'!$B$13,$O109-1,P$14)*$L109+OFFSET('Gas Supply Factors'!$B$13,$K109-1,P$14)*$H109</f>
        <v>0</v>
      </c>
      <c r="R109" s="22">
        <f ca="1">OFFSET('Gas Supply Factors'!$B$13,$O109-1,R$14)*$L109+OFFSET('Gas Supply Factors'!$B$13,$K109-1,R$14)*$H109</f>
        <v>0</v>
      </c>
      <c r="S109" s="22"/>
      <c r="T109" s="22">
        <f ca="1">OFFSET('Gas Supply Factors'!$B$13,$O109-1,T$14)*$L109+OFFSET('Gas Supply Factors'!$B$13,$K109-1,T$14)*$H109</f>
        <v>0</v>
      </c>
      <c r="U109" s="22"/>
      <c r="V109" s="22">
        <f ca="1">OFFSET('Gas Supply Factors'!$B$13,$O109-1,V$14)*$L109+OFFSET('Gas Supply Factors'!$B$13,$K109-1,V$14)*$H109</f>
        <v>0</v>
      </c>
      <c r="W109" s="22"/>
      <c r="X109" s="22">
        <f ca="1">OFFSET('Gas Supply Factors'!$B$13,$O109-1,X$14)*$L109+OFFSET('Gas Supply Factors'!$B$13,$K109-1,X$14)*$H109</f>
        <v>0</v>
      </c>
      <c r="Y109" s="1"/>
      <c r="Z109" s="22">
        <f ca="1">OFFSET('Gas Supply Factors'!$B$13,$O109-1,Z$14)*$L109+OFFSET('Gas Supply Factors'!$B$13,$K109-1,Z$14)*$H109</f>
        <v>0</v>
      </c>
      <c r="AB109" s="22">
        <f t="shared" ca="1" si="28"/>
        <v>0</v>
      </c>
      <c r="AD109" s="35" t="str">
        <f t="shared" ca="1" si="17"/>
        <v/>
      </c>
    </row>
    <row r="110" spans="1:37" s="24" customFormat="1" ht="13" x14ac:dyDescent="0.3">
      <c r="A110" s="1"/>
      <c r="B110" s="163">
        <f>B109+1</f>
        <v>63</v>
      </c>
      <c r="C110" s="1"/>
      <c r="D110" s="99" t="s">
        <v>328</v>
      </c>
      <c r="F110" s="79">
        <f ca="1">F108+F109</f>
        <v>0</v>
      </c>
      <c r="G110" s="94"/>
      <c r="H110" s="79">
        <f>H108+H109</f>
        <v>0</v>
      </c>
      <c r="I110" s="94"/>
      <c r="J110" s="94"/>
      <c r="K110" s="94"/>
      <c r="L110" s="79">
        <f ca="1">L108+L109</f>
        <v>0</v>
      </c>
      <c r="M110" s="94"/>
      <c r="N110" s="94"/>
      <c r="O110" s="188"/>
      <c r="P110" s="79">
        <f ca="1">P108+P109</f>
        <v>0</v>
      </c>
      <c r="Q110" s="97"/>
      <c r="R110" s="79">
        <f ca="1">R108+R109</f>
        <v>0</v>
      </c>
      <c r="S110" s="105"/>
      <c r="T110" s="79">
        <f ca="1">T108+T109</f>
        <v>0</v>
      </c>
      <c r="U110" s="22"/>
      <c r="V110" s="79">
        <f ca="1">V108+V109</f>
        <v>0</v>
      </c>
      <c r="W110" s="22"/>
      <c r="X110" s="79">
        <f ca="1">X108+X109</f>
        <v>0</v>
      </c>
      <c r="Y110" s="97"/>
      <c r="Z110" s="79">
        <f ca="1">Z108+Z109</f>
        <v>0</v>
      </c>
      <c r="AA110" s="97"/>
      <c r="AB110" s="79">
        <f ca="1">AB108+AB109</f>
        <v>0</v>
      </c>
      <c r="AD110" s="35" t="str">
        <f t="shared" ca="1" si="17"/>
        <v/>
      </c>
    </row>
    <row r="111" spans="1:37" s="24" customFormat="1" ht="13" x14ac:dyDescent="0.3">
      <c r="A111" s="1"/>
      <c r="B111" s="163"/>
      <c r="C111" s="1"/>
      <c r="D111" s="99"/>
      <c r="F111" s="94"/>
      <c r="G111" s="94"/>
      <c r="H111" s="94"/>
      <c r="I111" s="94"/>
      <c r="J111" s="94"/>
      <c r="K111" s="94"/>
      <c r="L111" s="94"/>
      <c r="M111" s="94"/>
      <c r="N111" s="94"/>
      <c r="O111" s="188"/>
      <c r="S111" s="97"/>
      <c r="T111" s="97"/>
      <c r="AD111" s="35" t="str">
        <f t="shared" si="17"/>
        <v/>
      </c>
    </row>
    <row r="112" spans="1:37" s="24" customFormat="1" ht="13" x14ac:dyDescent="0.3">
      <c r="A112" s="1"/>
      <c r="B112" s="163"/>
      <c r="C112" s="1"/>
      <c r="D112" s="99"/>
      <c r="F112" s="94"/>
      <c r="G112" s="94"/>
      <c r="H112" s="94"/>
      <c r="I112" s="94"/>
      <c r="J112" s="94"/>
      <c r="K112" s="94"/>
      <c r="L112" s="94"/>
      <c r="M112" s="94"/>
      <c r="N112" s="94"/>
      <c r="O112" s="188"/>
      <c r="S112" s="97"/>
      <c r="T112" s="97"/>
      <c r="AD112" s="35" t="str">
        <f t="shared" si="17"/>
        <v/>
      </c>
    </row>
    <row r="113" spans="1:30" s="24" customFormat="1" ht="13" x14ac:dyDescent="0.3">
      <c r="A113" s="1"/>
      <c r="B113" s="163"/>
      <c r="C113" s="1"/>
      <c r="D113" s="6" t="s">
        <v>74</v>
      </c>
      <c r="F113" s="94"/>
      <c r="G113" s="94"/>
      <c r="H113" s="94"/>
      <c r="I113" s="94"/>
      <c r="J113" s="94"/>
      <c r="K113" s="94"/>
      <c r="L113" s="94"/>
      <c r="M113" s="94"/>
      <c r="N113" s="94"/>
      <c r="O113" s="188"/>
      <c r="S113" s="97"/>
      <c r="T113" s="97"/>
      <c r="AD113" s="35" t="str">
        <f t="shared" si="17"/>
        <v/>
      </c>
    </row>
    <row r="114" spans="1:30" s="24" customFormat="1" ht="13" x14ac:dyDescent="0.3">
      <c r="A114" s="1"/>
      <c r="B114" s="163"/>
      <c r="C114" s="1"/>
      <c r="D114" s="99"/>
      <c r="F114" s="94"/>
      <c r="G114" s="94"/>
      <c r="H114" s="94"/>
      <c r="I114" s="94"/>
      <c r="J114" s="94"/>
      <c r="K114" s="94"/>
      <c r="L114" s="94"/>
      <c r="M114" s="94"/>
      <c r="N114" s="94"/>
      <c r="O114" s="188"/>
      <c r="S114" s="97"/>
      <c r="T114" s="97"/>
      <c r="AD114" s="35" t="str">
        <f t="shared" si="17"/>
        <v/>
      </c>
    </row>
    <row r="115" spans="1:30" ht="13" x14ac:dyDescent="0.3">
      <c r="D115" s="97" t="s">
        <v>7</v>
      </c>
      <c r="AD115" s="35" t="str">
        <f t="shared" si="17"/>
        <v/>
      </c>
    </row>
    <row r="116" spans="1:30" ht="13" x14ac:dyDescent="0.3">
      <c r="B116" s="28">
        <f>B110+1</f>
        <v>64</v>
      </c>
      <c r="D116" s="63" t="s">
        <v>352</v>
      </c>
      <c r="F116" s="113">
        <f ca="1">Function!P116</f>
        <v>3112816.4694699193</v>
      </c>
      <c r="H116" s="200"/>
      <c r="L116" s="113">
        <f t="shared" ref="L116:L160" ca="1" si="29">F116-H116</f>
        <v>3112816.4694699193</v>
      </c>
      <c r="N116" s="91" t="s">
        <v>404</v>
      </c>
      <c r="O116" s="186">
        <f>_xlfn.IFNA(MATCH(N116,'Gas Supply Factors'!$B$13:$B$426,0),0)</f>
        <v>4</v>
      </c>
      <c r="P116" s="22">
        <f ca="1">OFFSET('Gas Supply Factors'!$B$13,$O116-1,P$14)*$L116+OFFSET('Gas Supply Factors'!$B$13,$K116-1,P$14)*$H116</f>
        <v>2728040.5732561182</v>
      </c>
      <c r="Q116" s="24"/>
      <c r="R116" s="22">
        <f ca="1">OFFSET('Gas Supply Factors'!$B$13,$O116-1,R$14)*$L116+OFFSET('Gas Supply Factors'!$B$13,$K116-1,R$14)*$H116</f>
        <v>175236.13783085361</v>
      </c>
      <c r="S116" s="22"/>
      <c r="T116" s="22">
        <f ca="1">OFFSET('Gas Supply Factors'!$B$13,$O116-1,T$14)*$L116+OFFSET('Gas Supply Factors'!$B$13,$K116-1,T$14)*$H116</f>
        <v>23590.657623593441</v>
      </c>
      <c r="U116" s="22"/>
      <c r="V116" s="22">
        <f ca="1">OFFSET('Gas Supply Factors'!$B$13,$O116-1,V$14)*$L116+OFFSET('Gas Supply Factors'!$B$13,$K116-1,V$14)*$H116</f>
        <v>162050.40026244638</v>
      </c>
      <c r="W116" s="22"/>
      <c r="X116" s="22">
        <f ca="1">OFFSET('Gas Supply Factors'!$B$13,$O116-1,X$14)*$L116+OFFSET('Gas Supply Factors'!$B$13,$K116-1,X$14)*$H116</f>
        <v>23898.700496907863</v>
      </c>
      <c r="Z116" s="22">
        <f ca="1">OFFSET('Gas Supply Factors'!$B$13,$O116-1,Z$14)*$L116+OFFSET('Gas Supply Factors'!$B$13,$K116-1,Z$14)*$H116</f>
        <v>0</v>
      </c>
      <c r="AA116" s="24"/>
      <c r="AB116" s="22">
        <f t="shared" ref="AB116:AB131" ca="1" si="30">P116+R116+V116+X116+Z116+T116</f>
        <v>3112816.4694699189</v>
      </c>
      <c r="AD116" s="35" t="str">
        <f t="shared" ca="1" si="17"/>
        <v/>
      </c>
    </row>
    <row r="117" spans="1:30" ht="13" x14ac:dyDescent="0.3">
      <c r="B117" s="28">
        <f t="shared" ref="B117:B122" si="31">B116+1</f>
        <v>65</v>
      </c>
      <c r="D117" s="63" t="s">
        <v>128</v>
      </c>
      <c r="F117" s="113">
        <f ca="1">Function!P117</f>
        <v>0</v>
      </c>
      <c r="H117" s="200"/>
      <c r="L117" s="113">
        <f t="shared" ca="1" si="29"/>
        <v>0</v>
      </c>
      <c r="O117" s="186">
        <f>_xlfn.IFNA(MATCH(N117,'Gas Supply Factors'!$B$13:$B$426,0),0)</f>
        <v>0</v>
      </c>
      <c r="P117" s="22">
        <f ca="1">OFFSET('Gas Supply Factors'!$B$13,$O117-1,P$14)*$L117+OFFSET('Gas Supply Factors'!$B$13,$K117-1,P$14)*$H117</f>
        <v>0</v>
      </c>
      <c r="Q117" s="24"/>
      <c r="R117" s="22">
        <f ca="1">OFFSET('Gas Supply Factors'!$B$13,$O117-1,R$14)*$L117+OFFSET('Gas Supply Factors'!$B$13,$K117-1,R$14)*$H117</f>
        <v>0</v>
      </c>
      <c r="S117" s="22"/>
      <c r="T117" s="22">
        <f ca="1">OFFSET('Gas Supply Factors'!$B$13,$O117-1,T$14)*$L117+OFFSET('Gas Supply Factors'!$B$13,$K117-1,T$14)*$H117</f>
        <v>0</v>
      </c>
      <c r="U117" s="22"/>
      <c r="V117" s="22">
        <f ca="1">OFFSET('Gas Supply Factors'!$B$13,$O117-1,V$14)*$L117+OFFSET('Gas Supply Factors'!$B$13,$K117-1,V$14)*$H117</f>
        <v>0</v>
      </c>
      <c r="W117" s="22"/>
      <c r="X117" s="22">
        <f ca="1">OFFSET('Gas Supply Factors'!$B$13,$O117-1,X$14)*$L117+OFFSET('Gas Supply Factors'!$B$13,$K117-1,X$14)*$H117</f>
        <v>0</v>
      </c>
      <c r="Z117" s="22">
        <f ca="1">OFFSET('Gas Supply Factors'!$B$13,$O117-1,Z$14)*$L117+OFFSET('Gas Supply Factors'!$B$13,$K117-1,Z$14)*$H117</f>
        <v>0</v>
      </c>
      <c r="AA117" s="24"/>
      <c r="AB117" s="22">
        <f t="shared" ca="1" si="30"/>
        <v>0</v>
      </c>
      <c r="AD117" s="35" t="str">
        <f t="shared" ca="1" si="17"/>
        <v/>
      </c>
    </row>
    <row r="118" spans="1:30" ht="13" x14ac:dyDescent="0.3">
      <c r="B118" s="28">
        <f t="shared" si="31"/>
        <v>66</v>
      </c>
      <c r="D118" s="63" t="s">
        <v>129</v>
      </c>
      <c r="F118" s="113">
        <f ca="1">Function!P118</f>
        <v>0</v>
      </c>
      <c r="H118" s="200"/>
      <c r="L118" s="113">
        <f t="shared" ca="1" si="29"/>
        <v>0</v>
      </c>
      <c r="O118" s="186">
        <f>_xlfn.IFNA(MATCH(N118,'Gas Supply Factors'!$B$13:$B$426,0),0)</f>
        <v>0</v>
      </c>
      <c r="P118" s="22">
        <f ca="1">OFFSET('Gas Supply Factors'!$B$13,$O118-1,P$14)*$L118+OFFSET('Gas Supply Factors'!$B$13,$K118-1,P$14)*$H118</f>
        <v>0</v>
      </c>
      <c r="Q118" s="24"/>
      <c r="R118" s="22">
        <f ca="1">OFFSET('Gas Supply Factors'!$B$13,$O118-1,R$14)*$L118+OFFSET('Gas Supply Factors'!$B$13,$K118-1,R$14)*$H118</f>
        <v>0</v>
      </c>
      <c r="S118" s="22"/>
      <c r="T118" s="22">
        <f ca="1">OFFSET('Gas Supply Factors'!$B$13,$O118-1,T$14)*$L118+OFFSET('Gas Supply Factors'!$B$13,$K118-1,T$14)*$H118</f>
        <v>0</v>
      </c>
      <c r="U118" s="22"/>
      <c r="V118" s="22">
        <f ca="1">OFFSET('Gas Supply Factors'!$B$13,$O118-1,V$14)*$L118+OFFSET('Gas Supply Factors'!$B$13,$K118-1,V$14)*$H118</f>
        <v>0</v>
      </c>
      <c r="W118" s="22"/>
      <c r="X118" s="22">
        <f ca="1">OFFSET('Gas Supply Factors'!$B$13,$O118-1,X$14)*$L118+OFFSET('Gas Supply Factors'!$B$13,$K118-1,X$14)*$H118</f>
        <v>0</v>
      </c>
      <c r="Z118" s="22">
        <f ca="1">OFFSET('Gas Supply Factors'!$B$13,$O118-1,Z$14)*$L118+OFFSET('Gas Supply Factors'!$B$13,$K118-1,Z$14)*$H118</f>
        <v>0</v>
      </c>
      <c r="AA118" s="24"/>
      <c r="AB118" s="22">
        <f t="shared" ca="1" si="30"/>
        <v>0</v>
      </c>
      <c r="AD118" s="35" t="str">
        <f t="shared" ca="1" si="17"/>
        <v/>
      </c>
    </row>
    <row r="119" spans="1:30" ht="13" x14ac:dyDescent="0.3">
      <c r="B119" s="28">
        <f t="shared" si="31"/>
        <v>67</v>
      </c>
      <c r="D119" s="63" t="s">
        <v>253</v>
      </c>
      <c r="F119" s="113">
        <f ca="1">Function!P119</f>
        <v>0</v>
      </c>
      <c r="H119" s="200"/>
      <c r="L119" s="113">
        <f t="shared" ca="1" si="29"/>
        <v>0</v>
      </c>
      <c r="N119" s="91"/>
      <c r="O119" s="186">
        <f>_xlfn.IFNA(MATCH(N119,'Gas Supply Factors'!$B$13:$B$426,0),0)</f>
        <v>0</v>
      </c>
      <c r="P119" s="22">
        <f ca="1">OFFSET('Gas Supply Factors'!$B$13,$O119-1,P$14)*$L119+OFFSET('Gas Supply Factors'!$B$13,$K119-1,P$14)*$H119</f>
        <v>0</v>
      </c>
      <c r="Q119" s="24"/>
      <c r="R119" s="22">
        <f ca="1">OFFSET('Gas Supply Factors'!$B$13,$O119-1,R$14)*$L119+OFFSET('Gas Supply Factors'!$B$13,$K119-1,R$14)*$H119</f>
        <v>0</v>
      </c>
      <c r="S119" s="22"/>
      <c r="T119" s="22">
        <f ca="1">OFFSET('Gas Supply Factors'!$B$13,$O119-1,T$14)*$L119+OFFSET('Gas Supply Factors'!$B$13,$K119-1,T$14)*$H119</f>
        <v>0</v>
      </c>
      <c r="U119" s="22"/>
      <c r="V119" s="22">
        <f ca="1">OFFSET('Gas Supply Factors'!$B$13,$O119-1,V$14)*$L119+OFFSET('Gas Supply Factors'!$B$13,$K119-1,V$14)*$H119</f>
        <v>0</v>
      </c>
      <c r="W119" s="22"/>
      <c r="X119" s="22">
        <f ca="1">OFFSET('Gas Supply Factors'!$B$13,$O119-1,X$14)*$L119+OFFSET('Gas Supply Factors'!$B$13,$K119-1,X$14)*$H119</f>
        <v>0</v>
      </c>
      <c r="Z119" s="22">
        <f ca="1">OFFSET('Gas Supply Factors'!$B$13,$O119-1,Z$14)*$L119+OFFSET('Gas Supply Factors'!$B$13,$K119-1,Z$14)*$H119</f>
        <v>0</v>
      </c>
      <c r="AA119" s="24"/>
      <c r="AB119" s="22">
        <f t="shared" ca="1" si="30"/>
        <v>0</v>
      </c>
      <c r="AD119" s="35" t="str">
        <f t="shared" ca="1" si="17"/>
        <v/>
      </c>
    </row>
    <row r="120" spans="1:30" ht="13" x14ac:dyDescent="0.3">
      <c r="B120" s="28">
        <f t="shared" si="31"/>
        <v>68</v>
      </c>
      <c r="D120" s="63" t="s">
        <v>382</v>
      </c>
      <c r="F120" s="113">
        <f ca="1">Function!P120</f>
        <v>0</v>
      </c>
      <c r="H120" s="200"/>
      <c r="L120" s="113">
        <f t="shared" ca="1" si="29"/>
        <v>0</v>
      </c>
      <c r="N120" s="94" t="s">
        <v>254</v>
      </c>
      <c r="O120" s="186">
        <f>_xlfn.IFNA(MATCH(N120,'Gas Supply Factors'!$B$13:$B$426,0),0)</f>
        <v>0</v>
      </c>
      <c r="P120" s="22">
        <f ca="1">OFFSET('Gas Supply Factors'!$B$13,$O120-1,P$14)*$L120+OFFSET('Gas Supply Factors'!$B$13,$K120-1,P$14)*$H120</f>
        <v>0</v>
      </c>
      <c r="Q120" s="24"/>
      <c r="R120" s="22">
        <f ca="1">OFFSET('Gas Supply Factors'!$B$13,$O120-1,R$14)*$L120+OFFSET('Gas Supply Factors'!$B$13,$K120-1,R$14)*$H120</f>
        <v>0</v>
      </c>
      <c r="S120" s="22"/>
      <c r="T120" s="22">
        <f ca="1">OFFSET('Gas Supply Factors'!$B$13,$O120-1,T$14)*$L120+OFFSET('Gas Supply Factors'!$B$13,$K120-1,T$14)*$H120</f>
        <v>0</v>
      </c>
      <c r="U120" s="22"/>
      <c r="V120" s="22">
        <f ca="1">OFFSET('Gas Supply Factors'!$B$13,$O120-1,V$14)*$L120+OFFSET('Gas Supply Factors'!$B$13,$K120-1,V$14)*$H120</f>
        <v>0</v>
      </c>
      <c r="W120" s="22"/>
      <c r="X120" s="22">
        <f ca="1">OFFSET('Gas Supply Factors'!$B$13,$O120-1,X$14)*$L120+OFFSET('Gas Supply Factors'!$B$13,$K120-1,X$14)*$H120</f>
        <v>0</v>
      </c>
      <c r="Z120" s="22">
        <f ca="1">OFFSET('Gas Supply Factors'!$B$13,$O120-1,Z$14)*$L120+OFFSET('Gas Supply Factors'!$B$13,$K120-1,Z$14)*$H120</f>
        <v>0</v>
      </c>
      <c r="AA120" s="24"/>
      <c r="AB120" s="22">
        <f t="shared" ca="1" si="30"/>
        <v>0</v>
      </c>
      <c r="AD120" s="35" t="str">
        <f t="shared" ca="1" si="17"/>
        <v/>
      </c>
    </row>
    <row r="121" spans="1:30" ht="13" x14ac:dyDescent="0.3">
      <c r="B121" s="28">
        <f t="shared" si="31"/>
        <v>69</v>
      </c>
      <c r="D121" s="63" t="s">
        <v>228</v>
      </c>
      <c r="F121" s="113">
        <f ca="1">Function!P121</f>
        <v>0</v>
      </c>
      <c r="H121" s="200"/>
      <c r="L121" s="113">
        <f t="shared" ca="1" si="29"/>
        <v>0</v>
      </c>
      <c r="O121" s="186">
        <f>_xlfn.IFNA(MATCH(N121,'Gas Supply Factors'!$B$13:$B$426,0),0)</f>
        <v>0</v>
      </c>
      <c r="P121" s="22">
        <f ca="1">OFFSET('Gas Supply Factors'!$B$13,$O121-1,P$14)*$L121+OFFSET('Gas Supply Factors'!$B$13,$K121-1,P$14)*$H121</f>
        <v>0</v>
      </c>
      <c r="Q121" s="24"/>
      <c r="R121" s="22">
        <f ca="1">OFFSET('Gas Supply Factors'!$B$13,$O121-1,R$14)*$L121+OFFSET('Gas Supply Factors'!$B$13,$K121-1,R$14)*$H121</f>
        <v>0</v>
      </c>
      <c r="S121" s="22"/>
      <c r="T121" s="22">
        <f ca="1">OFFSET('Gas Supply Factors'!$B$13,$O121-1,T$14)*$L121+OFFSET('Gas Supply Factors'!$B$13,$K121-1,T$14)*$H121</f>
        <v>0</v>
      </c>
      <c r="U121" s="22"/>
      <c r="V121" s="22">
        <f ca="1">OFFSET('Gas Supply Factors'!$B$13,$O121-1,V$14)*$L121+OFFSET('Gas Supply Factors'!$B$13,$K121-1,V$14)*$H121</f>
        <v>0</v>
      </c>
      <c r="W121" s="22"/>
      <c r="X121" s="22">
        <f ca="1">OFFSET('Gas Supply Factors'!$B$13,$O121-1,X$14)*$L121+OFFSET('Gas Supply Factors'!$B$13,$K121-1,X$14)*$H121</f>
        <v>0</v>
      </c>
      <c r="Z121" s="22">
        <f ca="1">OFFSET('Gas Supply Factors'!$B$13,$O121-1,Z$14)*$L121+OFFSET('Gas Supply Factors'!$B$13,$K121-1,Z$14)*$H121</f>
        <v>0</v>
      </c>
      <c r="AA121" s="24"/>
      <c r="AB121" s="22">
        <f t="shared" ca="1" si="30"/>
        <v>0</v>
      </c>
      <c r="AD121" s="35" t="str">
        <f t="shared" ca="1" si="17"/>
        <v/>
      </c>
    </row>
    <row r="122" spans="1:30" ht="13" x14ac:dyDescent="0.3">
      <c r="B122" s="28">
        <f t="shared" si="31"/>
        <v>70</v>
      </c>
      <c r="D122" s="63" t="s">
        <v>140</v>
      </c>
      <c r="F122" s="113">
        <f ca="1">Function!P122</f>
        <v>0</v>
      </c>
      <c r="H122" s="200"/>
      <c r="L122" s="113">
        <f t="shared" ca="1" si="29"/>
        <v>0</v>
      </c>
      <c r="O122" s="186">
        <f>_xlfn.IFNA(MATCH(N122,'Gas Supply Factors'!$B$13:$B$426,0),0)</f>
        <v>0</v>
      </c>
      <c r="P122" s="22">
        <f ca="1">OFFSET('Gas Supply Factors'!$B$13,$O122-1,P$14)*$L122+OFFSET('Gas Supply Factors'!$B$13,$K122-1,P$14)*$H122</f>
        <v>0</v>
      </c>
      <c r="Q122" s="24"/>
      <c r="R122" s="22">
        <f ca="1">OFFSET('Gas Supply Factors'!$B$13,$O122-1,R$14)*$L122+OFFSET('Gas Supply Factors'!$B$13,$K122-1,R$14)*$H122</f>
        <v>0</v>
      </c>
      <c r="S122" s="22"/>
      <c r="T122" s="22">
        <f ca="1">OFFSET('Gas Supply Factors'!$B$13,$O122-1,T$14)*$L122+OFFSET('Gas Supply Factors'!$B$13,$K122-1,T$14)*$H122</f>
        <v>0</v>
      </c>
      <c r="U122" s="22"/>
      <c r="V122" s="22">
        <f ca="1">OFFSET('Gas Supply Factors'!$B$13,$O122-1,V$14)*$L122+OFFSET('Gas Supply Factors'!$B$13,$K122-1,V$14)*$H122</f>
        <v>0</v>
      </c>
      <c r="W122" s="22"/>
      <c r="X122" s="22">
        <f ca="1">OFFSET('Gas Supply Factors'!$B$13,$O122-1,X$14)*$L122+OFFSET('Gas Supply Factors'!$B$13,$K122-1,X$14)*$H122</f>
        <v>0</v>
      </c>
      <c r="Z122" s="22">
        <f ca="1">OFFSET('Gas Supply Factors'!$B$13,$O122-1,Z$14)*$L122+OFFSET('Gas Supply Factors'!$B$13,$K122-1,Z$14)*$H122</f>
        <v>0</v>
      </c>
      <c r="AA122" s="24"/>
      <c r="AB122" s="22">
        <f t="shared" ca="1" si="30"/>
        <v>0</v>
      </c>
      <c r="AD122" s="35" t="str">
        <f t="shared" ca="1" si="17"/>
        <v/>
      </c>
    </row>
    <row r="123" spans="1:30" ht="13" x14ac:dyDescent="0.3">
      <c r="B123" s="28"/>
      <c r="D123" s="97" t="s">
        <v>8</v>
      </c>
      <c r="T123" s="22">
        <f ca="1">OFFSET('Gas Supply Factors'!$B$13,$O123-1,T$14)*$L123+OFFSET('Gas Supply Factors'!$B$13,$K123-1,T$14)*$H123</f>
        <v>0</v>
      </c>
      <c r="AD123" s="35" t="str">
        <f t="shared" si="17"/>
        <v/>
      </c>
    </row>
    <row r="124" spans="1:30" ht="13" x14ac:dyDescent="0.3">
      <c r="B124" s="28">
        <f>B122+1</f>
        <v>71</v>
      </c>
      <c r="D124" s="63" t="s">
        <v>71</v>
      </c>
      <c r="F124" s="113">
        <f ca="1">Function!P124</f>
        <v>0</v>
      </c>
      <c r="H124" s="200"/>
      <c r="L124" s="113">
        <f t="shared" ca="1" si="29"/>
        <v>0</v>
      </c>
      <c r="O124" s="186">
        <f>_xlfn.IFNA(MATCH(N124,'Gas Supply Factors'!$B$13:$B$426,0),0)</f>
        <v>0</v>
      </c>
      <c r="P124" s="22">
        <f ca="1">OFFSET('Gas Supply Factors'!$B$13,$O124-1,P$14)*$L124+OFFSET('Gas Supply Factors'!$B$13,$K124-1,P$14)*$H124</f>
        <v>0</v>
      </c>
      <c r="Q124" s="24"/>
      <c r="R124" s="22">
        <f ca="1">OFFSET('Gas Supply Factors'!$B$13,$O124-1,R$14)*$L124+OFFSET('Gas Supply Factors'!$B$13,$K124-1,R$14)*$H124</f>
        <v>0</v>
      </c>
      <c r="S124" s="22"/>
      <c r="T124" s="22">
        <f ca="1">OFFSET('Gas Supply Factors'!$B$13,$O124-1,T$14)*$L124+OFFSET('Gas Supply Factors'!$B$13,$K124-1,T$14)*$H124</f>
        <v>0</v>
      </c>
      <c r="U124" s="22"/>
      <c r="V124" s="22">
        <f ca="1">OFFSET('Gas Supply Factors'!$B$13,$O124-1,V$14)*$L124+OFFSET('Gas Supply Factors'!$B$13,$K124-1,V$14)*$H124</f>
        <v>0</v>
      </c>
      <c r="W124" s="22"/>
      <c r="X124" s="22">
        <f ca="1">OFFSET('Gas Supply Factors'!$B$13,$O124-1,X$14)*$L124+OFFSET('Gas Supply Factors'!$B$13,$K124-1,X$14)*$H124</f>
        <v>0</v>
      </c>
      <c r="Z124" s="22">
        <f ca="1">OFFSET('Gas Supply Factors'!$B$13,$O124-1,Z$14)*$L124+OFFSET('Gas Supply Factors'!$B$13,$K124-1,Z$14)*$H124</f>
        <v>0</v>
      </c>
      <c r="AA124" s="24"/>
      <c r="AB124" s="22">
        <f t="shared" ca="1" si="30"/>
        <v>0</v>
      </c>
      <c r="AD124" s="35" t="str">
        <f t="shared" ca="1" si="17"/>
        <v/>
      </c>
    </row>
    <row r="125" spans="1:30" ht="13" x14ac:dyDescent="0.3">
      <c r="B125" s="28">
        <f t="shared" ref="B125:B131" si="32">B124+1</f>
        <v>72</v>
      </c>
      <c r="D125" s="63" t="s">
        <v>196</v>
      </c>
      <c r="F125" s="113">
        <f ca="1">Function!P125</f>
        <v>0</v>
      </c>
      <c r="H125" s="200"/>
      <c r="L125" s="113">
        <f t="shared" ca="1" si="29"/>
        <v>0</v>
      </c>
      <c r="O125" s="186">
        <f>_xlfn.IFNA(MATCH(N125,'Gas Supply Factors'!$B$13:$B$426,0),0)</f>
        <v>0</v>
      </c>
      <c r="P125" s="22">
        <f ca="1">OFFSET('Gas Supply Factors'!$B$13,$O125-1,P$14)*$L125+OFFSET('Gas Supply Factors'!$B$13,$K125-1,P$14)*$H125</f>
        <v>0</v>
      </c>
      <c r="Q125" s="24"/>
      <c r="R125" s="22">
        <f ca="1">OFFSET('Gas Supply Factors'!$B$13,$O125-1,R$14)*$L125+OFFSET('Gas Supply Factors'!$B$13,$K125-1,R$14)*$H125</f>
        <v>0</v>
      </c>
      <c r="S125" s="22"/>
      <c r="T125" s="22">
        <f ca="1">OFFSET('Gas Supply Factors'!$B$13,$O125-1,T$14)*$L125+OFFSET('Gas Supply Factors'!$B$13,$K125-1,T$14)*$H125</f>
        <v>0</v>
      </c>
      <c r="U125" s="22"/>
      <c r="V125" s="22">
        <f ca="1">OFFSET('Gas Supply Factors'!$B$13,$O125-1,V$14)*$L125+OFFSET('Gas Supply Factors'!$B$13,$K125-1,V$14)*$H125</f>
        <v>0</v>
      </c>
      <c r="W125" s="22"/>
      <c r="X125" s="22">
        <f ca="1">OFFSET('Gas Supply Factors'!$B$13,$O125-1,X$14)*$L125+OFFSET('Gas Supply Factors'!$B$13,$K125-1,X$14)*$H125</f>
        <v>0</v>
      </c>
      <c r="Z125" s="22">
        <f ca="1">OFFSET('Gas Supply Factors'!$B$13,$O125-1,Z$14)*$L125+OFFSET('Gas Supply Factors'!$B$13,$K125-1,Z$14)*$H125</f>
        <v>0</v>
      </c>
      <c r="AA125" s="24"/>
      <c r="AB125" s="22">
        <f t="shared" ca="1" si="30"/>
        <v>0</v>
      </c>
      <c r="AD125" s="35" t="str">
        <f t="shared" ca="1" si="17"/>
        <v/>
      </c>
    </row>
    <row r="126" spans="1:30" ht="13" x14ac:dyDescent="0.3">
      <c r="B126" s="28">
        <f t="shared" si="32"/>
        <v>73</v>
      </c>
      <c r="D126" s="63" t="s">
        <v>204</v>
      </c>
      <c r="F126" s="113">
        <f ca="1">Function!P126</f>
        <v>0</v>
      </c>
      <c r="H126" s="200"/>
      <c r="L126" s="113">
        <f t="shared" ca="1" si="29"/>
        <v>0</v>
      </c>
      <c r="O126" s="186">
        <f>_xlfn.IFNA(MATCH(N126,'Gas Supply Factors'!$B$13:$B$426,0),0)</f>
        <v>0</v>
      </c>
      <c r="P126" s="22">
        <f ca="1">OFFSET('Gas Supply Factors'!$B$13,$O126-1,P$14)*$L126+OFFSET('Gas Supply Factors'!$B$13,$K126-1,P$14)*$H126</f>
        <v>0</v>
      </c>
      <c r="Q126" s="24"/>
      <c r="R126" s="22">
        <f ca="1">OFFSET('Gas Supply Factors'!$B$13,$O126-1,R$14)*$L126+OFFSET('Gas Supply Factors'!$B$13,$K126-1,R$14)*$H126</f>
        <v>0</v>
      </c>
      <c r="S126" s="22"/>
      <c r="T126" s="22">
        <f ca="1">OFFSET('Gas Supply Factors'!$B$13,$O126-1,T$14)*$L126+OFFSET('Gas Supply Factors'!$B$13,$K126-1,T$14)*$H126</f>
        <v>0</v>
      </c>
      <c r="U126" s="22"/>
      <c r="V126" s="22">
        <f ca="1">OFFSET('Gas Supply Factors'!$B$13,$O126-1,V$14)*$L126+OFFSET('Gas Supply Factors'!$B$13,$K126-1,V$14)*$H126</f>
        <v>0</v>
      </c>
      <c r="W126" s="22"/>
      <c r="X126" s="22">
        <f ca="1">OFFSET('Gas Supply Factors'!$B$13,$O126-1,X$14)*$L126+OFFSET('Gas Supply Factors'!$B$13,$K126-1,X$14)*$H126</f>
        <v>0</v>
      </c>
      <c r="Z126" s="22">
        <f ca="1">OFFSET('Gas Supply Factors'!$B$13,$O126-1,Z$14)*$L126+OFFSET('Gas Supply Factors'!$B$13,$K126-1,Z$14)*$H126</f>
        <v>0</v>
      </c>
      <c r="AA126" s="24"/>
      <c r="AB126" s="22">
        <f t="shared" ca="1" si="30"/>
        <v>0</v>
      </c>
      <c r="AD126" s="35" t="str">
        <f t="shared" ca="1" si="17"/>
        <v/>
      </c>
    </row>
    <row r="127" spans="1:30" ht="13" x14ac:dyDescent="0.3">
      <c r="B127" s="28">
        <f t="shared" si="32"/>
        <v>74</v>
      </c>
      <c r="D127" s="63" t="s">
        <v>224</v>
      </c>
      <c r="F127" s="113">
        <f ca="1">Function!P127</f>
        <v>0</v>
      </c>
      <c r="H127" s="200"/>
      <c r="L127" s="113">
        <f t="shared" ca="1" si="29"/>
        <v>0</v>
      </c>
      <c r="O127" s="186">
        <f>_xlfn.IFNA(MATCH(N127,'Gas Supply Factors'!$B$13:$B$426,0),0)</f>
        <v>0</v>
      </c>
      <c r="P127" s="22">
        <f ca="1">OFFSET('Gas Supply Factors'!$B$13,$O127-1,P$14)*$L127+OFFSET('Gas Supply Factors'!$B$13,$K127-1,P$14)*$H127</f>
        <v>0</v>
      </c>
      <c r="Q127" s="24"/>
      <c r="R127" s="22">
        <f ca="1">OFFSET('Gas Supply Factors'!$B$13,$O127-1,R$14)*$L127+OFFSET('Gas Supply Factors'!$B$13,$K127-1,R$14)*$H127</f>
        <v>0</v>
      </c>
      <c r="S127" s="22"/>
      <c r="T127" s="22">
        <f ca="1">OFFSET('Gas Supply Factors'!$B$13,$O127-1,T$14)*$L127+OFFSET('Gas Supply Factors'!$B$13,$K127-1,T$14)*$H127</f>
        <v>0</v>
      </c>
      <c r="U127" s="22"/>
      <c r="V127" s="22">
        <f ca="1">OFFSET('Gas Supply Factors'!$B$13,$O127-1,V$14)*$L127+OFFSET('Gas Supply Factors'!$B$13,$K127-1,V$14)*$H127</f>
        <v>0</v>
      </c>
      <c r="W127" s="22"/>
      <c r="X127" s="22">
        <f ca="1">OFFSET('Gas Supply Factors'!$B$13,$O127-1,X$14)*$L127+OFFSET('Gas Supply Factors'!$B$13,$K127-1,X$14)*$H127</f>
        <v>0</v>
      </c>
      <c r="Z127" s="22">
        <f ca="1">OFFSET('Gas Supply Factors'!$B$13,$O127-1,Z$14)*$L127+OFFSET('Gas Supply Factors'!$B$13,$K127-1,Z$14)*$H127</f>
        <v>0</v>
      </c>
      <c r="AA127" s="24"/>
      <c r="AB127" s="22">
        <f t="shared" ca="1" si="30"/>
        <v>0</v>
      </c>
      <c r="AD127" s="35" t="str">
        <f t="shared" ca="1" si="17"/>
        <v/>
      </c>
    </row>
    <row r="128" spans="1:30" ht="13" x14ac:dyDescent="0.3">
      <c r="B128" s="28">
        <f t="shared" si="32"/>
        <v>75</v>
      </c>
      <c r="D128" s="63" t="s">
        <v>21</v>
      </c>
      <c r="F128" s="113">
        <f ca="1">Function!P128</f>
        <v>0</v>
      </c>
      <c r="H128" s="200"/>
      <c r="L128" s="113">
        <f t="shared" ca="1" si="29"/>
        <v>0</v>
      </c>
      <c r="O128" s="186">
        <f>_xlfn.IFNA(MATCH(N128,'Gas Supply Factors'!$B$13:$B$426,0),0)</f>
        <v>0</v>
      </c>
      <c r="P128" s="22">
        <f ca="1">OFFSET('Gas Supply Factors'!$B$13,$O128-1,P$14)*$L128+OFFSET('Gas Supply Factors'!$B$13,$K128-1,P$14)*$H128</f>
        <v>0</v>
      </c>
      <c r="Q128" s="24"/>
      <c r="R128" s="22">
        <f ca="1">OFFSET('Gas Supply Factors'!$B$13,$O128-1,R$14)*$L128+OFFSET('Gas Supply Factors'!$B$13,$K128-1,R$14)*$H128</f>
        <v>0</v>
      </c>
      <c r="S128" s="22"/>
      <c r="T128" s="22">
        <f ca="1">OFFSET('Gas Supply Factors'!$B$13,$O128-1,T$14)*$L128+OFFSET('Gas Supply Factors'!$B$13,$K128-1,T$14)*$H128</f>
        <v>0</v>
      </c>
      <c r="U128" s="22"/>
      <c r="V128" s="22">
        <f ca="1">OFFSET('Gas Supply Factors'!$B$13,$O128-1,V$14)*$L128+OFFSET('Gas Supply Factors'!$B$13,$K128-1,V$14)*$H128</f>
        <v>0</v>
      </c>
      <c r="W128" s="22"/>
      <c r="X128" s="22">
        <f ca="1">OFFSET('Gas Supply Factors'!$B$13,$O128-1,X$14)*$L128+OFFSET('Gas Supply Factors'!$B$13,$K128-1,X$14)*$H128</f>
        <v>0</v>
      </c>
      <c r="Z128" s="22">
        <f ca="1">OFFSET('Gas Supply Factors'!$B$13,$O128-1,Z$14)*$L128+OFFSET('Gas Supply Factors'!$B$13,$K128-1,Z$14)*$H128</f>
        <v>0</v>
      </c>
      <c r="AA128" s="24"/>
      <c r="AB128" s="22">
        <f t="shared" ca="1" si="30"/>
        <v>0</v>
      </c>
      <c r="AD128" s="35" t="str">
        <f t="shared" ca="1" si="17"/>
        <v/>
      </c>
    </row>
    <row r="129" spans="2:30" ht="13" x14ac:dyDescent="0.3">
      <c r="B129" s="28">
        <f t="shared" si="32"/>
        <v>76</v>
      </c>
      <c r="D129" s="63" t="s">
        <v>225</v>
      </c>
      <c r="F129" s="113">
        <f ca="1">Function!P129</f>
        <v>0</v>
      </c>
      <c r="H129" s="200"/>
      <c r="L129" s="113">
        <f t="shared" ca="1" si="29"/>
        <v>0</v>
      </c>
      <c r="O129" s="186">
        <f>_xlfn.IFNA(MATCH(N129,'Gas Supply Factors'!$B$13:$B$426,0),0)</f>
        <v>0</v>
      </c>
      <c r="P129" s="22">
        <f ca="1">OFFSET('Gas Supply Factors'!$B$13,$O129-1,P$14)*$L129+OFFSET('Gas Supply Factors'!$B$13,$K129-1,P$14)*$H129</f>
        <v>0</v>
      </c>
      <c r="Q129" s="24"/>
      <c r="R129" s="22">
        <f ca="1">OFFSET('Gas Supply Factors'!$B$13,$O129-1,R$14)*$L129+OFFSET('Gas Supply Factors'!$B$13,$K129-1,R$14)*$H129</f>
        <v>0</v>
      </c>
      <c r="S129" s="22"/>
      <c r="T129" s="22">
        <f ca="1">OFFSET('Gas Supply Factors'!$B$13,$O129-1,T$14)*$L129+OFFSET('Gas Supply Factors'!$B$13,$K129-1,T$14)*$H129</f>
        <v>0</v>
      </c>
      <c r="U129" s="22"/>
      <c r="V129" s="22">
        <f ca="1">OFFSET('Gas Supply Factors'!$B$13,$O129-1,V$14)*$L129+OFFSET('Gas Supply Factors'!$B$13,$K129-1,V$14)*$H129</f>
        <v>0</v>
      </c>
      <c r="W129" s="22"/>
      <c r="X129" s="22">
        <f ca="1">OFFSET('Gas Supply Factors'!$B$13,$O129-1,X$14)*$L129+OFFSET('Gas Supply Factors'!$B$13,$K129-1,X$14)*$H129</f>
        <v>0</v>
      </c>
      <c r="Z129" s="22">
        <f ca="1">OFFSET('Gas Supply Factors'!$B$13,$O129-1,Z$14)*$L129+OFFSET('Gas Supply Factors'!$B$13,$K129-1,Z$14)*$H129</f>
        <v>0</v>
      </c>
      <c r="AA129" s="24"/>
      <c r="AB129" s="22">
        <f t="shared" ca="1" si="30"/>
        <v>0</v>
      </c>
      <c r="AD129" s="35" t="str">
        <f t="shared" ca="1" si="17"/>
        <v/>
      </c>
    </row>
    <row r="130" spans="2:30" ht="13" x14ac:dyDescent="0.3">
      <c r="B130" s="28">
        <f t="shared" si="32"/>
        <v>77</v>
      </c>
      <c r="D130" s="63" t="s">
        <v>205</v>
      </c>
      <c r="F130" s="113">
        <f ca="1">Function!P130</f>
        <v>0</v>
      </c>
      <c r="H130" s="200"/>
      <c r="L130" s="113">
        <f t="shared" ca="1" si="29"/>
        <v>0</v>
      </c>
      <c r="O130" s="186">
        <f>_xlfn.IFNA(MATCH(N130,'Gas Supply Factors'!$B$13:$B$426,0),0)</f>
        <v>0</v>
      </c>
      <c r="P130" s="22">
        <f ca="1">OFFSET('Gas Supply Factors'!$B$13,$O130-1,P$14)*$L130+OFFSET('Gas Supply Factors'!$B$13,$K130-1,P$14)*$H130</f>
        <v>0</v>
      </c>
      <c r="Q130" s="24"/>
      <c r="R130" s="22">
        <f ca="1">OFFSET('Gas Supply Factors'!$B$13,$O130-1,R$14)*$L130+OFFSET('Gas Supply Factors'!$B$13,$K130-1,R$14)*$H130</f>
        <v>0</v>
      </c>
      <c r="S130" s="22"/>
      <c r="T130" s="22">
        <f ca="1">OFFSET('Gas Supply Factors'!$B$13,$O130-1,T$14)*$L130+OFFSET('Gas Supply Factors'!$B$13,$K130-1,T$14)*$H130</f>
        <v>0</v>
      </c>
      <c r="U130" s="22"/>
      <c r="V130" s="22">
        <f ca="1">OFFSET('Gas Supply Factors'!$B$13,$O130-1,V$14)*$L130+OFFSET('Gas Supply Factors'!$B$13,$K130-1,V$14)*$H130</f>
        <v>0</v>
      </c>
      <c r="W130" s="22"/>
      <c r="X130" s="22">
        <f ca="1">OFFSET('Gas Supply Factors'!$B$13,$O130-1,X$14)*$L130+OFFSET('Gas Supply Factors'!$B$13,$K130-1,X$14)*$H130</f>
        <v>0</v>
      </c>
      <c r="Z130" s="22">
        <f ca="1">OFFSET('Gas Supply Factors'!$B$13,$O130-1,Z$14)*$L130+OFFSET('Gas Supply Factors'!$B$13,$K130-1,Z$14)*$H130</f>
        <v>0</v>
      </c>
      <c r="AA130" s="24"/>
      <c r="AB130" s="22">
        <f t="shared" ca="1" si="30"/>
        <v>0</v>
      </c>
      <c r="AD130" s="35" t="str">
        <f t="shared" ca="1" si="17"/>
        <v/>
      </c>
    </row>
    <row r="131" spans="2:30" ht="13" x14ac:dyDescent="0.3">
      <c r="B131" s="28">
        <f t="shared" si="32"/>
        <v>78</v>
      </c>
      <c r="D131" s="63" t="s">
        <v>226</v>
      </c>
      <c r="F131" s="113">
        <f ca="1">Function!P131</f>
        <v>0</v>
      </c>
      <c r="H131" s="200"/>
      <c r="L131" s="113">
        <f t="shared" ca="1" si="29"/>
        <v>0</v>
      </c>
      <c r="O131" s="186">
        <f>_xlfn.IFNA(MATCH(N131,'Gas Supply Factors'!$B$13:$B$426,0),0)</f>
        <v>0</v>
      </c>
      <c r="P131" s="22">
        <f ca="1">OFFSET('Gas Supply Factors'!$B$13,$O131-1,P$14)*$L131+OFFSET('Gas Supply Factors'!$B$13,$K131-1,P$14)*$H131</f>
        <v>0</v>
      </c>
      <c r="Q131" s="24"/>
      <c r="R131" s="22">
        <f ca="1">OFFSET('Gas Supply Factors'!$B$13,$O131-1,R$14)*$L131+OFFSET('Gas Supply Factors'!$B$13,$K131-1,R$14)*$H131</f>
        <v>0</v>
      </c>
      <c r="S131" s="22"/>
      <c r="T131" s="22">
        <f ca="1">OFFSET('Gas Supply Factors'!$B$13,$O131-1,T$14)*$L131+OFFSET('Gas Supply Factors'!$B$13,$K131-1,T$14)*$H131</f>
        <v>0</v>
      </c>
      <c r="U131" s="22"/>
      <c r="V131" s="22">
        <f ca="1">OFFSET('Gas Supply Factors'!$B$13,$O131-1,V$14)*$L131+OFFSET('Gas Supply Factors'!$B$13,$K131-1,V$14)*$H131</f>
        <v>0</v>
      </c>
      <c r="W131" s="22"/>
      <c r="X131" s="22">
        <f ca="1">OFFSET('Gas Supply Factors'!$B$13,$O131-1,X$14)*$L131+OFFSET('Gas Supply Factors'!$B$13,$K131-1,X$14)*$H131</f>
        <v>0</v>
      </c>
      <c r="Z131" s="22">
        <f ca="1">OFFSET('Gas Supply Factors'!$B$13,$O131-1,Z$14)*$L131+OFFSET('Gas Supply Factors'!$B$13,$K131-1,Z$14)*$H131</f>
        <v>0</v>
      </c>
      <c r="AA131" s="24"/>
      <c r="AB131" s="22">
        <f t="shared" ca="1" si="30"/>
        <v>0</v>
      </c>
      <c r="AD131" s="35" t="str">
        <f t="shared" ca="1" si="17"/>
        <v/>
      </c>
    </row>
    <row r="132" spans="2:30" ht="13" x14ac:dyDescent="0.3">
      <c r="B132" s="28"/>
      <c r="D132" s="97" t="s">
        <v>9</v>
      </c>
      <c r="T132" s="22"/>
      <c r="AD132" s="35" t="str">
        <f t="shared" si="17"/>
        <v/>
      </c>
    </row>
    <row r="133" spans="2:30" ht="13" x14ac:dyDescent="0.3">
      <c r="B133" s="28">
        <f>B131+1</f>
        <v>79</v>
      </c>
      <c r="D133" s="97" t="s">
        <v>239</v>
      </c>
      <c r="F133" s="113">
        <f ca="1">Function!P133</f>
        <v>0</v>
      </c>
      <c r="L133" s="113">
        <f t="shared" ca="1" si="29"/>
        <v>0</v>
      </c>
      <c r="T133" s="22">
        <f ca="1">OFFSET('Gas Supply Factors'!$B$13,$O133-1,T$14)*$L133+OFFSET('Gas Supply Factors'!$B$13,$K133-1,T$14)*$H133</f>
        <v>0</v>
      </c>
      <c r="AD133" s="35" t="str">
        <f t="shared" ca="1" si="17"/>
        <v/>
      </c>
    </row>
    <row r="134" spans="2:30" ht="13" x14ac:dyDescent="0.3">
      <c r="B134" s="28">
        <f>B133+1</f>
        <v>80</v>
      </c>
      <c r="D134" s="63" t="s">
        <v>227</v>
      </c>
      <c r="F134" s="113">
        <f ca="1">Function!P134</f>
        <v>0</v>
      </c>
      <c r="H134" s="200"/>
      <c r="L134" s="113">
        <f t="shared" ca="1" si="29"/>
        <v>0</v>
      </c>
      <c r="O134" s="186">
        <f>_xlfn.IFNA(MATCH(N134,'Gas Supply Factors'!$B$13:$B$426,0),0)</f>
        <v>0</v>
      </c>
      <c r="P134" s="22">
        <f ca="1">OFFSET('Gas Supply Factors'!$B$13,$O134-1,P$14)*$L134+OFFSET('Gas Supply Factors'!$B$13,$K134-1,P$14)*$H134</f>
        <v>0</v>
      </c>
      <c r="Q134" s="24"/>
      <c r="R134" s="22">
        <f ca="1">OFFSET('Gas Supply Factors'!$B$13,$O134-1,R$14)*$L134+OFFSET('Gas Supply Factors'!$B$13,$K134-1,R$14)*$H134</f>
        <v>0</v>
      </c>
      <c r="S134" s="22"/>
      <c r="T134" s="22">
        <f ca="1">OFFSET('Gas Supply Factors'!$B$13,$O134-1,T$14)*$L134+OFFSET('Gas Supply Factors'!$B$13,$K134-1,T$14)*$H134</f>
        <v>0</v>
      </c>
      <c r="U134" s="22"/>
      <c r="V134" s="22">
        <f ca="1">OFFSET('Gas Supply Factors'!$B$13,$O134-1,V$14)*$L134+OFFSET('Gas Supply Factors'!$B$13,$K134-1,V$14)*$H134</f>
        <v>0</v>
      </c>
      <c r="W134" s="22"/>
      <c r="X134" s="22">
        <f ca="1">OFFSET('Gas Supply Factors'!$B$13,$O134-1,X$14)*$L134+OFFSET('Gas Supply Factors'!$B$13,$K134-1,X$14)*$H134</f>
        <v>0</v>
      </c>
      <c r="Z134" s="22">
        <f ca="1">OFFSET('Gas Supply Factors'!$B$13,$O134-1,Z$14)*$L134+OFFSET('Gas Supply Factors'!$B$13,$K134-1,Z$14)*$H134</f>
        <v>0</v>
      </c>
      <c r="AA134" s="24"/>
      <c r="AB134" s="22">
        <f t="shared" ref="AB134:AB136" ca="1" si="33">P134+R134+V134+X134+Z134+T134</f>
        <v>0</v>
      </c>
      <c r="AD134" s="35" t="str">
        <f t="shared" ca="1" si="17"/>
        <v/>
      </c>
    </row>
    <row r="135" spans="2:30" ht="13" x14ac:dyDescent="0.3">
      <c r="B135" s="28">
        <f t="shared" ref="B135:B136" si="34">B134+1</f>
        <v>81</v>
      </c>
      <c r="D135" s="63" t="s">
        <v>224</v>
      </c>
      <c r="F135" s="113">
        <f ca="1">Function!P135</f>
        <v>0</v>
      </c>
      <c r="H135" s="200"/>
      <c r="L135" s="113">
        <f t="shared" ca="1" si="29"/>
        <v>0</v>
      </c>
      <c r="O135" s="186">
        <f>_xlfn.IFNA(MATCH(N135,'Gas Supply Factors'!$B$13:$B$426,0),0)</f>
        <v>0</v>
      </c>
      <c r="P135" s="22">
        <f ca="1">OFFSET('Gas Supply Factors'!$B$13,$O135-1,P$14)*$L135+OFFSET('Gas Supply Factors'!$B$13,$K135-1,P$14)*$H135</f>
        <v>0</v>
      </c>
      <c r="Q135" s="24"/>
      <c r="R135" s="22">
        <f ca="1">OFFSET('Gas Supply Factors'!$B$13,$O135-1,R$14)*$L135+OFFSET('Gas Supply Factors'!$B$13,$K135-1,R$14)*$H135</f>
        <v>0</v>
      </c>
      <c r="S135" s="22"/>
      <c r="T135" s="22">
        <f ca="1">OFFSET('Gas Supply Factors'!$B$13,$O135-1,T$14)*$L135+OFFSET('Gas Supply Factors'!$B$13,$K135-1,T$14)*$H135</f>
        <v>0</v>
      </c>
      <c r="U135" s="22"/>
      <c r="V135" s="22">
        <f ca="1">OFFSET('Gas Supply Factors'!$B$13,$O135-1,V$14)*$L135+OFFSET('Gas Supply Factors'!$B$13,$K135-1,V$14)*$H135</f>
        <v>0</v>
      </c>
      <c r="W135" s="22"/>
      <c r="X135" s="22">
        <f ca="1">OFFSET('Gas Supply Factors'!$B$13,$O135-1,X$14)*$L135+OFFSET('Gas Supply Factors'!$B$13,$K135-1,X$14)*$H135</f>
        <v>0</v>
      </c>
      <c r="Z135" s="22">
        <f ca="1">OFFSET('Gas Supply Factors'!$B$13,$O135-1,Z$14)*$L135+OFFSET('Gas Supply Factors'!$B$13,$K135-1,Z$14)*$H135</f>
        <v>0</v>
      </c>
      <c r="AA135" s="24"/>
      <c r="AB135" s="22">
        <f t="shared" ca="1" si="33"/>
        <v>0</v>
      </c>
      <c r="AD135" s="35" t="str">
        <f t="shared" ca="1" si="17"/>
        <v/>
      </c>
    </row>
    <row r="136" spans="2:30" ht="13" x14ac:dyDescent="0.3">
      <c r="B136" s="28">
        <f t="shared" si="34"/>
        <v>82</v>
      </c>
      <c r="D136" s="63" t="s">
        <v>21</v>
      </c>
      <c r="F136" s="113">
        <f ca="1">Function!P136</f>
        <v>0</v>
      </c>
      <c r="H136" s="200"/>
      <c r="L136" s="113">
        <f t="shared" ca="1" si="29"/>
        <v>0</v>
      </c>
      <c r="O136" s="186">
        <f>_xlfn.IFNA(MATCH(N136,'Gas Supply Factors'!$B$13:$B$426,0),0)</f>
        <v>0</v>
      </c>
      <c r="P136" s="22">
        <f ca="1">OFFSET('Gas Supply Factors'!$B$13,$O136-1,P$14)*$L136+OFFSET('Gas Supply Factors'!$B$13,$K136-1,P$14)*$H136</f>
        <v>0</v>
      </c>
      <c r="Q136" s="24"/>
      <c r="R136" s="22">
        <f ca="1">OFFSET('Gas Supply Factors'!$B$13,$O136-1,R$14)*$L136+OFFSET('Gas Supply Factors'!$B$13,$K136-1,R$14)*$H136</f>
        <v>0</v>
      </c>
      <c r="S136" s="22"/>
      <c r="T136" s="22">
        <f ca="1">OFFSET('Gas Supply Factors'!$B$13,$O136-1,T$14)*$L136+OFFSET('Gas Supply Factors'!$B$13,$K136-1,T$14)*$H136</f>
        <v>0</v>
      </c>
      <c r="U136" s="22"/>
      <c r="V136" s="22">
        <f ca="1">OFFSET('Gas Supply Factors'!$B$13,$O136-1,V$14)*$L136+OFFSET('Gas Supply Factors'!$B$13,$K136-1,V$14)*$H136</f>
        <v>0</v>
      </c>
      <c r="W136" s="22"/>
      <c r="X136" s="22">
        <f ca="1">OFFSET('Gas Supply Factors'!$B$13,$O136-1,X$14)*$L136+OFFSET('Gas Supply Factors'!$B$13,$K136-1,X$14)*$H136</f>
        <v>0</v>
      </c>
      <c r="Z136" s="22">
        <f ca="1">OFFSET('Gas Supply Factors'!$B$13,$O136-1,Z$14)*$L136+OFFSET('Gas Supply Factors'!$B$13,$K136-1,Z$14)*$H136</f>
        <v>0</v>
      </c>
      <c r="AA136" s="24"/>
      <c r="AB136" s="22">
        <f t="shared" ca="1" si="33"/>
        <v>0</v>
      </c>
      <c r="AD136" s="35" t="str">
        <f t="shared" ca="1" si="17"/>
        <v/>
      </c>
    </row>
    <row r="137" spans="2:30" ht="13" x14ac:dyDescent="0.3">
      <c r="B137" s="28"/>
      <c r="D137" s="97" t="s">
        <v>10</v>
      </c>
      <c r="T137" s="22">
        <f ca="1">OFFSET('Gas Supply Factors'!$B$13,$O137-1,T$14)*$L137+OFFSET('Gas Supply Factors'!$B$13,$K137-1,T$14)*$H137</f>
        <v>0</v>
      </c>
      <c r="AD137" s="35" t="str">
        <f t="shared" si="17"/>
        <v/>
      </c>
    </row>
    <row r="138" spans="2:30" ht="13" x14ac:dyDescent="0.3">
      <c r="B138" s="28">
        <f>B136+1</f>
        <v>83</v>
      </c>
      <c r="D138" s="97" t="s">
        <v>243</v>
      </c>
      <c r="F138" s="113">
        <f ca="1">Function!P138</f>
        <v>0</v>
      </c>
      <c r="L138" s="113">
        <f t="shared" ca="1" si="29"/>
        <v>0</v>
      </c>
      <c r="O138" s="186"/>
      <c r="P138" s="22"/>
      <c r="Q138" s="24"/>
      <c r="R138" s="22"/>
      <c r="S138" s="22"/>
      <c r="T138" s="22">
        <f ca="1">OFFSET('Gas Supply Factors'!$B$13,$O138-1,T$14)*$L138+OFFSET('Gas Supply Factors'!$B$13,$K138-1,T$14)*$H138</f>
        <v>0</v>
      </c>
      <c r="U138" s="22"/>
      <c r="V138" s="22"/>
      <c r="W138" s="22"/>
      <c r="X138" s="22"/>
      <c r="Z138" s="22"/>
      <c r="AD138" s="35" t="str">
        <f t="shared" ca="1" si="17"/>
        <v/>
      </c>
    </row>
    <row r="139" spans="2:30" ht="13" x14ac:dyDescent="0.3">
      <c r="B139" s="28">
        <f>B138+1</f>
        <v>84</v>
      </c>
      <c r="D139" s="63" t="s">
        <v>229</v>
      </c>
      <c r="F139" s="113">
        <f ca="1">Function!P139</f>
        <v>0</v>
      </c>
      <c r="H139" s="200"/>
      <c r="L139" s="113">
        <f t="shared" ca="1" si="29"/>
        <v>0</v>
      </c>
      <c r="O139" s="186">
        <f>_xlfn.IFNA(MATCH(N139,'Gas Supply Factors'!$B$13:$B$426,0),0)</f>
        <v>0</v>
      </c>
      <c r="P139" s="22">
        <f ca="1">OFFSET('Gas Supply Factors'!$B$13,$O139-1,P$14)*$L139+OFFSET('Gas Supply Factors'!$B$13,$K139-1,P$14)*$H139</f>
        <v>0</v>
      </c>
      <c r="Q139" s="24"/>
      <c r="R139" s="22">
        <f ca="1">OFFSET('Gas Supply Factors'!$B$13,$O139-1,R$14)*$L139+OFFSET('Gas Supply Factors'!$B$13,$K139-1,R$14)*$H139</f>
        <v>0</v>
      </c>
      <c r="S139" s="22"/>
      <c r="T139" s="22">
        <f ca="1">OFFSET('Gas Supply Factors'!$B$13,$O139-1,T$14)*$L139+OFFSET('Gas Supply Factors'!$B$13,$K139-1,T$14)*$H139</f>
        <v>0</v>
      </c>
      <c r="U139" s="22"/>
      <c r="V139" s="22">
        <f ca="1">OFFSET('Gas Supply Factors'!$B$13,$O139-1,V$14)*$L139+OFFSET('Gas Supply Factors'!$B$13,$K139-1,V$14)*$H139</f>
        <v>0</v>
      </c>
      <c r="W139" s="22"/>
      <c r="X139" s="22">
        <f ca="1">OFFSET('Gas Supply Factors'!$B$13,$O139-1,X$14)*$L139+OFFSET('Gas Supply Factors'!$B$13,$K139-1,X$14)*$H139</f>
        <v>0</v>
      </c>
      <c r="Z139" s="22">
        <f ca="1">OFFSET('Gas Supply Factors'!$B$13,$O139-1,Z$14)*$L139+OFFSET('Gas Supply Factors'!$B$13,$K139-1,Z$14)*$H139</f>
        <v>0</v>
      </c>
      <c r="AA139" s="24"/>
      <c r="AB139" s="22">
        <f t="shared" ref="AB139:AB143" ca="1" si="35">P139+R139+V139+X139+Z139+T139</f>
        <v>0</v>
      </c>
      <c r="AD139" s="35" t="str">
        <f t="shared" ca="1" si="17"/>
        <v/>
      </c>
    </row>
    <row r="140" spans="2:30" ht="13" x14ac:dyDescent="0.3">
      <c r="B140" s="28">
        <f t="shared" ref="B140:B143" si="36">B139+1</f>
        <v>85</v>
      </c>
      <c r="D140" s="63" t="s">
        <v>203</v>
      </c>
      <c r="F140" s="113">
        <f ca="1">Function!P140</f>
        <v>0</v>
      </c>
      <c r="H140" s="200"/>
      <c r="L140" s="113">
        <f t="shared" ca="1" si="29"/>
        <v>0</v>
      </c>
      <c r="O140" s="186">
        <f>_xlfn.IFNA(MATCH(N140,'Gas Supply Factors'!$B$13:$B$426,0),0)</f>
        <v>0</v>
      </c>
      <c r="P140" s="22">
        <f ca="1">OFFSET('Gas Supply Factors'!$B$13,$O140-1,P$14)*$L140+OFFSET('Gas Supply Factors'!$B$13,$K140-1,P$14)*$H140</f>
        <v>0</v>
      </c>
      <c r="Q140" s="24"/>
      <c r="R140" s="22">
        <f ca="1">OFFSET('Gas Supply Factors'!$B$13,$O140-1,R$14)*$L140+OFFSET('Gas Supply Factors'!$B$13,$K140-1,R$14)*$H140</f>
        <v>0</v>
      </c>
      <c r="S140" s="22"/>
      <c r="T140" s="22">
        <f ca="1">OFFSET('Gas Supply Factors'!$B$13,$O140-1,T$14)*$L140+OFFSET('Gas Supply Factors'!$B$13,$K140-1,T$14)*$H140</f>
        <v>0</v>
      </c>
      <c r="U140" s="22"/>
      <c r="V140" s="22">
        <f ca="1">OFFSET('Gas Supply Factors'!$B$13,$O140-1,V$14)*$L140+OFFSET('Gas Supply Factors'!$B$13,$K140-1,V$14)*$H140</f>
        <v>0</v>
      </c>
      <c r="W140" s="22"/>
      <c r="X140" s="22">
        <f ca="1">OFFSET('Gas Supply Factors'!$B$13,$O140-1,X$14)*$L140+OFFSET('Gas Supply Factors'!$B$13,$K140-1,X$14)*$H140</f>
        <v>0</v>
      </c>
      <c r="Z140" s="22">
        <f ca="1">OFFSET('Gas Supply Factors'!$B$13,$O140-1,Z$14)*$L140+OFFSET('Gas Supply Factors'!$B$13,$K140-1,Z$14)*$H140</f>
        <v>0</v>
      </c>
      <c r="AA140" s="24"/>
      <c r="AB140" s="22">
        <f t="shared" ca="1" si="35"/>
        <v>0</v>
      </c>
      <c r="AD140" s="35" t="str">
        <f t="shared" ca="1" si="17"/>
        <v/>
      </c>
    </row>
    <row r="141" spans="2:30" ht="13" x14ac:dyDescent="0.3">
      <c r="B141" s="28">
        <f t="shared" si="36"/>
        <v>86</v>
      </c>
      <c r="D141" s="63" t="s">
        <v>230</v>
      </c>
      <c r="F141" s="113">
        <f ca="1">Function!P141</f>
        <v>0</v>
      </c>
      <c r="H141" s="200"/>
      <c r="L141" s="113">
        <f t="shared" ca="1" si="29"/>
        <v>0</v>
      </c>
      <c r="O141" s="186">
        <f>_xlfn.IFNA(MATCH(N141,'Gas Supply Factors'!$B$13:$B$426,0),0)</f>
        <v>0</v>
      </c>
      <c r="P141" s="22">
        <f ca="1">OFFSET('Gas Supply Factors'!$B$13,$O141-1,P$14)*$L141+OFFSET('Gas Supply Factors'!$B$13,$K141-1,P$14)*$H141</f>
        <v>0</v>
      </c>
      <c r="Q141" s="24"/>
      <c r="R141" s="22">
        <f ca="1">OFFSET('Gas Supply Factors'!$B$13,$O141-1,R$14)*$L141+OFFSET('Gas Supply Factors'!$B$13,$K141-1,R$14)*$H141</f>
        <v>0</v>
      </c>
      <c r="S141" s="22"/>
      <c r="T141" s="22">
        <f ca="1">OFFSET('Gas Supply Factors'!$B$13,$O141-1,T$14)*$L141+OFFSET('Gas Supply Factors'!$B$13,$K141-1,T$14)*$H141</f>
        <v>0</v>
      </c>
      <c r="U141" s="22"/>
      <c r="V141" s="22">
        <f ca="1">OFFSET('Gas Supply Factors'!$B$13,$O141-1,V$14)*$L141+OFFSET('Gas Supply Factors'!$B$13,$K141-1,V$14)*$H141</f>
        <v>0</v>
      </c>
      <c r="W141" s="22"/>
      <c r="X141" s="22">
        <f ca="1">OFFSET('Gas Supply Factors'!$B$13,$O141-1,X$14)*$L141+OFFSET('Gas Supply Factors'!$B$13,$K141-1,X$14)*$H141</f>
        <v>0</v>
      </c>
      <c r="Z141" s="22">
        <f ca="1">OFFSET('Gas Supply Factors'!$B$13,$O141-1,Z$14)*$L141+OFFSET('Gas Supply Factors'!$B$13,$K141-1,Z$14)*$H141</f>
        <v>0</v>
      </c>
      <c r="AA141" s="24"/>
      <c r="AB141" s="22">
        <f t="shared" ca="1" si="35"/>
        <v>0</v>
      </c>
      <c r="AD141" s="35" t="str">
        <f t="shared" ca="1" si="17"/>
        <v/>
      </c>
    </row>
    <row r="142" spans="2:30" ht="13" x14ac:dyDescent="0.3">
      <c r="B142" s="28">
        <f t="shared" si="36"/>
        <v>87</v>
      </c>
      <c r="D142" s="63" t="s">
        <v>21</v>
      </c>
      <c r="F142" s="113">
        <f ca="1">Function!P142</f>
        <v>0</v>
      </c>
      <c r="H142" s="200"/>
      <c r="L142" s="113">
        <f t="shared" ca="1" si="29"/>
        <v>0</v>
      </c>
      <c r="O142" s="186">
        <f>_xlfn.IFNA(MATCH(N142,'Gas Supply Factors'!$B$13:$B$426,0),0)</f>
        <v>0</v>
      </c>
      <c r="P142" s="22">
        <f ca="1">OFFSET('Gas Supply Factors'!$B$13,$O142-1,P$14)*$L142+OFFSET('Gas Supply Factors'!$B$13,$K142-1,P$14)*$H142</f>
        <v>0</v>
      </c>
      <c r="Q142" s="24"/>
      <c r="R142" s="22">
        <f ca="1">OFFSET('Gas Supply Factors'!$B$13,$O142-1,R$14)*$L142+OFFSET('Gas Supply Factors'!$B$13,$K142-1,R$14)*$H142</f>
        <v>0</v>
      </c>
      <c r="S142" s="22"/>
      <c r="T142" s="22">
        <f ca="1">OFFSET('Gas Supply Factors'!$B$13,$O142-1,T$14)*$L142+OFFSET('Gas Supply Factors'!$B$13,$K142-1,T$14)*$H142</f>
        <v>0</v>
      </c>
      <c r="U142" s="22"/>
      <c r="V142" s="22">
        <f ca="1">OFFSET('Gas Supply Factors'!$B$13,$O142-1,V$14)*$L142+OFFSET('Gas Supply Factors'!$B$13,$K142-1,V$14)*$H142</f>
        <v>0</v>
      </c>
      <c r="W142" s="22"/>
      <c r="X142" s="22">
        <f ca="1">OFFSET('Gas Supply Factors'!$B$13,$O142-1,X$14)*$L142+OFFSET('Gas Supply Factors'!$B$13,$K142-1,X$14)*$H142</f>
        <v>0</v>
      </c>
      <c r="Z142" s="22">
        <f ca="1">OFFSET('Gas Supply Factors'!$B$13,$O142-1,Z$14)*$L142+OFFSET('Gas Supply Factors'!$B$13,$K142-1,Z$14)*$H142</f>
        <v>0</v>
      </c>
      <c r="AA142" s="24"/>
      <c r="AB142" s="22">
        <f t="shared" ca="1" si="35"/>
        <v>0</v>
      </c>
      <c r="AD142" s="35" t="str">
        <f t="shared" ca="1" si="17"/>
        <v/>
      </c>
    </row>
    <row r="143" spans="2:30" ht="13" x14ac:dyDescent="0.3">
      <c r="B143" s="28">
        <f t="shared" si="36"/>
        <v>88</v>
      </c>
      <c r="D143" s="63" t="s">
        <v>231</v>
      </c>
      <c r="F143" s="113">
        <f ca="1">Function!P143</f>
        <v>0</v>
      </c>
      <c r="H143" s="200"/>
      <c r="L143" s="113">
        <f t="shared" ca="1" si="29"/>
        <v>0</v>
      </c>
      <c r="O143" s="186">
        <f>_xlfn.IFNA(MATCH(N143,'Gas Supply Factors'!$B$13:$B$426,0),0)</f>
        <v>0</v>
      </c>
      <c r="P143" s="22">
        <f ca="1">OFFSET('Gas Supply Factors'!$B$13,$O143-1,P$14)*$L143+OFFSET('Gas Supply Factors'!$B$13,$K143-1,P$14)*$H143</f>
        <v>0</v>
      </c>
      <c r="Q143" s="24"/>
      <c r="R143" s="22">
        <f ca="1">OFFSET('Gas Supply Factors'!$B$13,$O143-1,R$14)*$L143+OFFSET('Gas Supply Factors'!$B$13,$K143-1,R$14)*$H143</f>
        <v>0</v>
      </c>
      <c r="S143" s="22"/>
      <c r="T143" s="22">
        <f ca="1">OFFSET('Gas Supply Factors'!$B$13,$O143-1,T$14)*$L143+OFFSET('Gas Supply Factors'!$B$13,$K143-1,T$14)*$H143</f>
        <v>0</v>
      </c>
      <c r="U143" s="22"/>
      <c r="V143" s="22">
        <f ca="1">OFFSET('Gas Supply Factors'!$B$13,$O143-1,V$14)*$L143+OFFSET('Gas Supply Factors'!$B$13,$K143-1,V$14)*$H143</f>
        <v>0</v>
      </c>
      <c r="W143" s="22"/>
      <c r="X143" s="22">
        <f ca="1">OFFSET('Gas Supply Factors'!$B$13,$O143-1,X$14)*$L143+OFFSET('Gas Supply Factors'!$B$13,$K143-1,X$14)*$H143</f>
        <v>0</v>
      </c>
      <c r="Z143" s="22">
        <f ca="1">OFFSET('Gas Supply Factors'!$B$13,$O143-1,Z$14)*$L143+OFFSET('Gas Supply Factors'!$B$13,$K143-1,Z$14)*$H143</f>
        <v>0</v>
      </c>
      <c r="AA143" s="24"/>
      <c r="AB143" s="22">
        <f t="shared" ca="1" si="35"/>
        <v>0</v>
      </c>
      <c r="AD143" s="35" t="str">
        <f t="shared" ca="1" si="17"/>
        <v/>
      </c>
    </row>
    <row r="144" spans="2:30" ht="13" x14ac:dyDescent="0.3">
      <c r="B144" s="28"/>
      <c r="D144" s="97" t="s">
        <v>232</v>
      </c>
      <c r="T144" s="22">
        <f ca="1">OFFSET('Gas Supply Factors'!$B$13,$O144-1,T$14)*$L144+OFFSET('Gas Supply Factors'!$B$13,$K144-1,T$14)*$H144</f>
        <v>0</v>
      </c>
      <c r="AD144" s="35" t="str">
        <f t="shared" si="17"/>
        <v/>
      </c>
    </row>
    <row r="145" spans="2:30" ht="13" x14ac:dyDescent="0.3">
      <c r="B145" s="28">
        <f>B143+1</f>
        <v>89</v>
      </c>
      <c r="D145" s="63" t="s">
        <v>233</v>
      </c>
      <c r="F145" s="113">
        <f ca="1">Function!P145</f>
        <v>2546.4739944630078</v>
      </c>
      <c r="H145" s="200"/>
      <c r="L145" s="113">
        <f t="shared" ca="1" si="29"/>
        <v>2546.4739944630078</v>
      </c>
      <c r="N145" s="91" t="s">
        <v>159</v>
      </c>
      <c r="O145" s="186">
        <f>_xlfn.IFNA(MATCH(N145,'Gas Supply Factors'!$B$13:$B$426,0),0)</f>
        <v>1</v>
      </c>
      <c r="P145" s="22">
        <f ca="1">OFFSET('Gas Supply Factors'!$B$13,$O145-1,P$14)*$L145+OFFSET('Gas Supply Factors'!$B$13,$K145-1,P$14)*$H145</f>
        <v>0</v>
      </c>
      <c r="Q145" s="24"/>
      <c r="R145" s="22">
        <f ca="1">OFFSET('Gas Supply Factors'!$B$13,$O145-1,R$14)*$L145+OFFSET('Gas Supply Factors'!$B$13,$K145-1,R$14)*$H145</f>
        <v>0</v>
      </c>
      <c r="S145" s="22"/>
      <c r="T145" s="22">
        <f ca="1">OFFSET('Gas Supply Factors'!$B$13,$O145-1,T$14)*$L145+OFFSET('Gas Supply Factors'!$B$13,$K145-1,T$14)*$H145</f>
        <v>0</v>
      </c>
      <c r="U145" s="22"/>
      <c r="V145" s="22">
        <f ca="1">OFFSET('Gas Supply Factors'!$B$13,$O145-1,V$14)*$L145+OFFSET('Gas Supply Factors'!$B$13,$K145-1,V$14)*$H145</f>
        <v>0</v>
      </c>
      <c r="W145" s="22"/>
      <c r="X145" s="22">
        <f ca="1">OFFSET('Gas Supply Factors'!$B$13,$O145-1,X$14)*$L145+OFFSET('Gas Supply Factors'!$B$13,$K145-1,X$14)*$H145</f>
        <v>0</v>
      </c>
      <c r="Z145" s="22">
        <f ca="1">OFFSET('Gas Supply Factors'!$B$13,$O145-1,Z$14)*$L145+OFFSET('Gas Supply Factors'!$B$13,$K145-1,Z$14)*$H145</f>
        <v>2546.4739944630078</v>
      </c>
      <c r="AA145" s="24"/>
      <c r="AB145" s="22">
        <f t="shared" ref="AB145" ca="1" si="37">P145+R145+V145+X145+Z145+T145</f>
        <v>2546.4739944630078</v>
      </c>
      <c r="AD145" s="35" t="str">
        <f t="shared" ca="1" si="17"/>
        <v/>
      </c>
    </row>
    <row r="146" spans="2:30" ht="13" x14ac:dyDescent="0.3">
      <c r="B146" s="28"/>
      <c r="D146" s="97" t="s">
        <v>234</v>
      </c>
      <c r="T146" s="22">
        <f ca="1">OFFSET('Gas Supply Factors'!$B$13,$O146-1,T$14)*$L146+OFFSET('Gas Supply Factors'!$B$13,$K146-1,T$14)*$H146</f>
        <v>0</v>
      </c>
      <c r="AD146" s="35" t="str">
        <f t="shared" si="17"/>
        <v/>
      </c>
    </row>
    <row r="147" spans="2:30" ht="13" x14ac:dyDescent="0.3">
      <c r="B147" s="28">
        <f>B145+1</f>
        <v>90</v>
      </c>
      <c r="D147" s="63" t="s">
        <v>202</v>
      </c>
      <c r="F147" s="113">
        <f ca="1">Function!P147</f>
        <v>0</v>
      </c>
      <c r="H147" s="200"/>
      <c r="L147" s="113">
        <f t="shared" ca="1" si="29"/>
        <v>0</v>
      </c>
      <c r="O147" s="186">
        <f>_xlfn.IFNA(MATCH(N147,'Gas Supply Factors'!$B$13:$B$426,0),0)</f>
        <v>0</v>
      </c>
      <c r="P147" s="22">
        <f ca="1">OFFSET('Gas Supply Factors'!$B$13,$O147-1,P$14)*$L147+OFFSET('Gas Supply Factors'!$B$13,$K147-1,P$14)*$H147</f>
        <v>0</v>
      </c>
      <c r="Q147" s="24"/>
      <c r="R147" s="22">
        <f ca="1">OFFSET('Gas Supply Factors'!$B$13,$O147-1,R$14)*$L147+OFFSET('Gas Supply Factors'!$B$13,$K147-1,R$14)*$H147</f>
        <v>0</v>
      </c>
      <c r="S147" s="22"/>
      <c r="T147" s="22">
        <f ca="1">OFFSET('Gas Supply Factors'!$B$13,$O147-1,T$14)*$L147+OFFSET('Gas Supply Factors'!$B$13,$K147-1,T$14)*$H147</f>
        <v>0</v>
      </c>
      <c r="U147" s="22"/>
      <c r="V147" s="22">
        <f ca="1">OFFSET('Gas Supply Factors'!$B$13,$O147-1,V$14)*$L147+OFFSET('Gas Supply Factors'!$B$13,$K147-1,V$14)*$H147</f>
        <v>0</v>
      </c>
      <c r="W147" s="22"/>
      <c r="X147" s="22">
        <f ca="1">OFFSET('Gas Supply Factors'!$B$13,$O147-1,X$14)*$L147+OFFSET('Gas Supply Factors'!$B$13,$K147-1,X$14)*$H147</f>
        <v>0</v>
      </c>
      <c r="Z147" s="22">
        <f ca="1">OFFSET('Gas Supply Factors'!$B$13,$O147-1,Z$14)*$L147+OFFSET('Gas Supply Factors'!$B$13,$K147-1,Z$14)*$H147</f>
        <v>0</v>
      </c>
      <c r="AA147" s="24"/>
      <c r="AB147" s="22">
        <f t="shared" ref="AB147:AB149" ca="1" si="38">P147+R147+V147+X147+Z147+T147</f>
        <v>0</v>
      </c>
      <c r="AD147" s="35" t="str">
        <f t="shared" ca="1" si="17"/>
        <v/>
      </c>
    </row>
    <row r="148" spans="2:30" ht="13" x14ac:dyDescent="0.3">
      <c r="B148" s="28">
        <f>B147+1</f>
        <v>91</v>
      </c>
      <c r="D148" s="63" t="s">
        <v>145</v>
      </c>
      <c r="F148" s="113">
        <f ca="1">Function!P148</f>
        <v>0</v>
      </c>
      <c r="H148" s="200"/>
      <c r="L148" s="113">
        <f t="shared" ca="1" si="29"/>
        <v>0</v>
      </c>
      <c r="O148" s="186">
        <f>_xlfn.IFNA(MATCH(N148,'Gas Supply Factors'!$B$13:$B$426,0),0)</f>
        <v>0</v>
      </c>
      <c r="P148" s="22">
        <f ca="1">OFFSET('Gas Supply Factors'!$B$13,$O148-1,P$14)*$L148+OFFSET('Gas Supply Factors'!$B$13,$K148-1,P$14)*$H148</f>
        <v>0</v>
      </c>
      <c r="Q148" s="24"/>
      <c r="R148" s="22">
        <f ca="1">OFFSET('Gas Supply Factors'!$B$13,$O148-1,R$14)*$L148+OFFSET('Gas Supply Factors'!$B$13,$K148-1,R$14)*$H148</f>
        <v>0</v>
      </c>
      <c r="S148" s="22"/>
      <c r="T148" s="22">
        <f ca="1">OFFSET('Gas Supply Factors'!$B$13,$O148-1,T$14)*$L148+OFFSET('Gas Supply Factors'!$B$13,$K148-1,T$14)*$H148</f>
        <v>0</v>
      </c>
      <c r="U148" s="22"/>
      <c r="V148" s="22">
        <f ca="1">OFFSET('Gas Supply Factors'!$B$13,$O148-1,V$14)*$L148+OFFSET('Gas Supply Factors'!$B$13,$K148-1,V$14)*$H148</f>
        <v>0</v>
      </c>
      <c r="W148" s="22"/>
      <c r="X148" s="22">
        <f ca="1">OFFSET('Gas Supply Factors'!$B$13,$O148-1,X$14)*$L148+OFFSET('Gas Supply Factors'!$B$13,$K148-1,X$14)*$H148</f>
        <v>0</v>
      </c>
      <c r="Z148" s="22">
        <f ca="1">OFFSET('Gas Supply Factors'!$B$13,$O148-1,Z$14)*$L148+OFFSET('Gas Supply Factors'!$B$13,$K148-1,Z$14)*$H148</f>
        <v>0</v>
      </c>
      <c r="AA148" s="24"/>
      <c r="AB148" s="22">
        <f t="shared" ca="1" si="38"/>
        <v>0</v>
      </c>
      <c r="AD148" s="35" t="str">
        <f t="shared" ca="1" si="17"/>
        <v/>
      </c>
    </row>
    <row r="149" spans="2:30" ht="13" x14ac:dyDescent="0.3">
      <c r="B149" s="28">
        <f t="shared" ref="B149" si="39">B148+1</f>
        <v>92</v>
      </c>
      <c r="D149" s="63" t="s">
        <v>235</v>
      </c>
      <c r="F149" s="113">
        <f ca="1">Function!P149</f>
        <v>0</v>
      </c>
      <c r="H149" s="200"/>
      <c r="L149" s="113">
        <f t="shared" ca="1" si="29"/>
        <v>0</v>
      </c>
      <c r="O149" s="186">
        <f>_xlfn.IFNA(MATCH(N149,'Gas Supply Factors'!$B$13:$B$426,0),0)</f>
        <v>0</v>
      </c>
      <c r="P149" s="22">
        <f ca="1">OFFSET('Gas Supply Factors'!$B$13,$O149-1,P$14)*$L149+OFFSET('Gas Supply Factors'!$B$13,$K149-1,P$14)*$H149</f>
        <v>0</v>
      </c>
      <c r="Q149" s="24"/>
      <c r="R149" s="22">
        <f ca="1">OFFSET('Gas Supply Factors'!$B$13,$O149-1,R$14)*$L149+OFFSET('Gas Supply Factors'!$B$13,$K149-1,R$14)*$H149</f>
        <v>0</v>
      </c>
      <c r="S149" s="22"/>
      <c r="T149" s="22">
        <f ca="1">OFFSET('Gas Supply Factors'!$B$13,$O149-1,T$14)*$L149+OFFSET('Gas Supply Factors'!$B$13,$K149-1,T$14)*$H149</f>
        <v>0</v>
      </c>
      <c r="U149" s="22"/>
      <c r="V149" s="22">
        <f ca="1">OFFSET('Gas Supply Factors'!$B$13,$O149-1,V$14)*$L149+OFFSET('Gas Supply Factors'!$B$13,$K149-1,V$14)*$H149</f>
        <v>0</v>
      </c>
      <c r="W149" s="22"/>
      <c r="X149" s="22">
        <f ca="1">OFFSET('Gas Supply Factors'!$B$13,$O149-1,X$14)*$L149+OFFSET('Gas Supply Factors'!$B$13,$K149-1,X$14)*$H149</f>
        <v>0</v>
      </c>
      <c r="Z149" s="22">
        <f ca="1">OFFSET('Gas Supply Factors'!$B$13,$O149-1,Z$14)*$L149+OFFSET('Gas Supply Factors'!$B$13,$K149-1,Z$14)*$H149</f>
        <v>0</v>
      </c>
      <c r="AA149" s="24"/>
      <c r="AB149" s="22">
        <f t="shared" ca="1" si="38"/>
        <v>0</v>
      </c>
      <c r="AD149" s="35" t="str">
        <f t="shared" ca="1" si="17"/>
        <v/>
      </c>
    </row>
    <row r="150" spans="2:30" ht="13" x14ac:dyDescent="0.3">
      <c r="B150" s="28"/>
      <c r="D150" s="97" t="s">
        <v>72</v>
      </c>
      <c r="T150" s="22">
        <f ca="1">OFFSET('Gas Supply Factors'!$B$13,$O150-1,T$14)*$L150+OFFSET('Gas Supply Factors'!$B$13,$K150-1,T$14)*$H150</f>
        <v>0</v>
      </c>
      <c r="AD150" s="35" t="str">
        <f t="shared" si="17"/>
        <v/>
      </c>
    </row>
    <row r="151" spans="2:30" ht="13" x14ac:dyDescent="0.3">
      <c r="B151" s="28">
        <f>B149+1</f>
        <v>93</v>
      </c>
      <c r="D151" s="63" t="s">
        <v>196</v>
      </c>
      <c r="F151" s="113">
        <f ca="1">Function!P151</f>
        <v>1295.4715209674002</v>
      </c>
      <c r="H151" s="200"/>
      <c r="L151" s="113">
        <f t="shared" ca="1" si="29"/>
        <v>1295.4715209674002</v>
      </c>
      <c r="N151" s="91" t="s">
        <v>159</v>
      </c>
      <c r="O151" s="186">
        <f>_xlfn.IFNA(MATCH(N151,'Gas Supply Factors'!$B$13:$B$459,0),0)</f>
        <v>1</v>
      </c>
      <c r="P151" s="22">
        <f ca="1">OFFSET('Gas Supply Factors'!$B$13,$O151-1,P$14)*$L151+OFFSET('Gas Supply Factors'!$B$13,$K151-1,P$14)*$H151</f>
        <v>0</v>
      </c>
      <c r="Q151" s="24"/>
      <c r="R151" s="22">
        <f ca="1">OFFSET('Gas Supply Factors'!$B$13,$O151-1,R$14)*$L151+OFFSET('Gas Supply Factors'!$B$13,$K151-1,R$14)*$H151</f>
        <v>0</v>
      </c>
      <c r="S151" s="22"/>
      <c r="T151" s="22">
        <f ca="1">OFFSET('Gas Supply Factors'!$B$13,$O151-1,T$14)*$L151+OFFSET('Gas Supply Factors'!$B$13,$K151-1,T$14)*$H151</f>
        <v>0</v>
      </c>
      <c r="U151" s="22"/>
      <c r="V151" s="22">
        <f ca="1">OFFSET('Gas Supply Factors'!$B$13,$O151-1,V$14)*$L151+OFFSET('Gas Supply Factors'!$B$13,$K151-1,V$14)*$H151</f>
        <v>0</v>
      </c>
      <c r="W151" s="22"/>
      <c r="X151" s="22">
        <f ca="1">OFFSET('Gas Supply Factors'!$B$13,$O151-1,X$14)*$L151+OFFSET('Gas Supply Factors'!$B$13,$K151-1,X$14)*$H151</f>
        <v>0</v>
      </c>
      <c r="Z151" s="22">
        <f ca="1">OFFSET('Gas Supply Factors'!$B$13,$O151-1,Z$14)*$L151+OFFSET('Gas Supply Factors'!$B$13,$K151-1,Z$14)*$H151</f>
        <v>1295.4715209674002</v>
      </c>
      <c r="AA151" s="24"/>
      <c r="AB151" s="22">
        <f t="shared" ref="AB151:AB157" ca="1" si="40">P151+R151+V151+X151+Z151+T151</f>
        <v>1295.4715209674002</v>
      </c>
      <c r="AD151" s="35" t="str">
        <f t="shared" ca="1" si="17"/>
        <v/>
      </c>
    </row>
    <row r="152" spans="2:30" ht="13" x14ac:dyDescent="0.3">
      <c r="B152" s="28">
        <f>B151+1</f>
        <v>94</v>
      </c>
      <c r="D152" s="63" t="s">
        <v>236</v>
      </c>
      <c r="F152" s="113">
        <f ca="1">Function!P152</f>
        <v>0</v>
      </c>
      <c r="H152" s="200"/>
      <c r="L152" s="113">
        <f t="shared" ca="1" si="29"/>
        <v>0</v>
      </c>
      <c r="O152" s="186">
        <f>_xlfn.IFNA(MATCH(N152,'Gas Supply Factors'!$B$13:$B$459,0),0)</f>
        <v>0</v>
      </c>
      <c r="P152" s="22">
        <f ca="1">OFFSET('Gas Supply Factors'!$B$13,$O152-1,P$14)*$L152+OFFSET('Gas Supply Factors'!$B$13,$K152-1,P$14)*$H152</f>
        <v>0</v>
      </c>
      <c r="Q152" s="24"/>
      <c r="R152" s="22">
        <f ca="1">OFFSET('Gas Supply Factors'!$B$13,$O152-1,R$14)*$L152+OFFSET('Gas Supply Factors'!$B$13,$K152-1,R$14)*$H152</f>
        <v>0</v>
      </c>
      <c r="S152" s="22"/>
      <c r="T152" s="22">
        <f ca="1">OFFSET('Gas Supply Factors'!$B$13,$O152-1,T$14)*$L152+OFFSET('Gas Supply Factors'!$B$13,$K152-1,T$14)*$H152</f>
        <v>0</v>
      </c>
      <c r="U152" s="22"/>
      <c r="V152" s="22">
        <f ca="1">OFFSET('Gas Supply Factors'!$B$13,$O152-1,V$14)*$L152+OFFSET('Gas Supply Factors'!$B$13,$K152-1,V$14)*$H152</f>
        <v>0</v>
      </c>
      <c r="W152" s="22"/>
      <c r="X152" s="22">
        <f ca="1">OFFSET('Gas Supply Factors'!$B$13,$O152-1,X$14)*$L152+OFFSET('Gas Supply Factors'!$B$13,$K152-1,X$14)*$H152</f>
        <v>0</v>
      </c>
      <c r="Z152" s="22">
        <f ca="1">OFFSET('Gas Supply Factors'!$B$13,$O152-1,Z$14)*$L152+OFFSET('Gas Supply Factors'!$B$13,$K152-1,Z$14)*$H152</f>
        <v>0</v>
      </c>
      <c r="AA152" s="24"/>
      <c r="AB152" s="22">
        <f t="shared" ca="1" si="40"/>
        <v>0</v>
      </c>
      <c r="AD152" s="35" t="str">
        <f t="shared" ca="1" si="17"/>
        <v/>
      </c>
    </row>
    <row r="153" spans="2:30" ht="13" x14ac:dyDescent="0.3">
      <c r="B153" s="28">
        <f>B152+1</f>
        <v>95</v>
      </c>
      <c r="D153" s="63" t="s">
        <v>197</v>
      </c>
      <c r="F153" s="113">
        <f ca="1">Function!P153</f>
        <v>0</v>
      </c>
      <c r="H153" s="200"/>
      <c r="L153" s="113">
        <f t="shared" ca="1" si="29"/>
        <v>0</v>
      </c>
      <c r="O153" s="186">
        <f>_xlfn.IFNA(MATCH(N153,'Gas Supply Factors'!$B$13:$B$459,0),0)</f>
        <v>0</v>
      </c>
      <c r="P153" s="22">
        <f ca="1">OFFSET('Gas Supply Factors'!$B$13,$O153-1,P$14)*$L153+OFFSET('Gas Supply Factors'!$B$13,$K153-1,P$14)*$H153</f>
        <v>0</v>
      </c>
      <c r="Q153" s="24"/>
      <c r="R153" s="22">
        <f ca="1">OFFSET('Gas Supply Factors'!$B$13,$O153-1,R$14)*$L153+OFFSET('Gas Supply Factors'!$B$13,$K153-1,R$14)*$H153</f>
        <v>0</v>
      </c>
      <c r="S153" s="22"/>
      <c r="T153" s="22">
        <f ca="1">OFFSET('Gas Supply Factors'!$B$13,$O153-1,T$14)*$L153+OFFSET('Gas Supply Factors'!$B$13,$K153-1,T$14)*$H153</f>
        <v>0</v>
      </c>
      <c r="U153" s="22"/>
      <c r="V153" s="22">
        <f ca="1">OFFSET('Gas Supply Factors'!$B$13,$O153-1,V$14)*$L153+OFFSET('Gas Supply Factors'!$B$13,$K153-1,V$14)*$H153</f>
        <v>0</v>
      </c>
      <c r="W153" s="22"/>
      <c r="X153" s="22">
        <f ca="1">OFFSET('Gas Supply Factors'!$B$13,$O153-1,X$14)*$L153+OFFSET('Gas Supply Factors'!$B$13,$K153-1,X$14)*$H153</f>
        <v>0</v>
      </c>
      <c r="Z153" s="22">
        <f ca="1">OFFSET('Gas Supply Factors'!$B$13,$O153-1,Z$14)*$L153+OFFSET('Gas Supply Factors'!$B$13,$K153-1,Z$14)*$H153</f>
        <v>0</v>
      </c>
      <c r="AA153" s="24"/>
      <c r="AB153" s="22">
        <f t="shared" ca="1" si="40"/>
        <v>0</v>
      </c>
      <c r="AD153" s="35" t="str">
        <f t="shared" ref="AD153:AD158" ca="1" si="41">IF(ROUND(F153,4)=ROUND(AB153,4), "", "check")</f>
        <v/>
      </c>
    </row>
    <row r="154" spans="2:30" ht="13" x14ac:dyDescent="0.3">
      <c r="B154" s="28">
        <f t="shared" ref="B154:B157" si="42">B153+1</f>
        <v>96</v>
      </c>
      <c r="D154" s="63" t="s">
        <v>198</v>
      </c>
      <c r="F154" s="113">
        <f ca="1">Function!P154</f>
        <v>0</v>
      </c>
      <c r="H154" s="200"/>
      <c r="L154" s="113">
        <f t="shared" ca="1" si="29"/>
        <v>0</v>
      </c>
      <c r="O154" s="186">
        <f>_xlfn.IFNA(MATCH(N154,'Gas Supply Factors'!$B$13:$B$459,0),0)</f>
        <v>0</v>
      </c>
      <c r="P154" s="22">
        <f ca="1">OFFSET('Gas Supply Factors'!$B$13,$O154-1,P$14)*$L154+OFFSET('Gas Supply Factors'!$B$13,$K154-1,P$14)*$H154</f>
        <v>0</v>
      </c>
      <c r="Q154" s="24"/>
      <c r="R154" s="22">
        <f ca="1">OFFSET('Gas Supply Factors'!$B$13,$O154-1,R$14)*$L154+OFFSET('Gas Supply Factors'!$B$13,$K154-1,R$14)*$H154</f>
        <v>0</v>
      </c>
      <c r="S154" s="22"/>
      <c r="T154" s="22">
        <f ca="1">OFFSET('Gas Supply Factors'!$B$13,$O154-1,T$14)*$L154+OFFSET('Gas Supply Factors'!$B$13,$K154-1,T$14)*$H154</f>
        <v>0</v>
      </c>
      <c r="U154" s="22"/>
      <c r="V154" s="22">
        <f ca="1">OFFSET('Gas Supply Factors'!$B$13,$O154-1,V$14)*$L154+OFFSET('Gas Supply Factors'!$B$13,$K154-1,V$14)*$H154</f>
        <v>0</v>
      </c>
      <c r="W154" s="22"/>
      <c r="X154" s="22">
        <f ca="1">OFFSET('Gas Supply Factors'!$B$13,$O154-1,X$14)*$L154+OFFSET('Gas Supply Factors'!$B$13,$K154-1,X$14)*$H154</f>
        <v>0</v>
      </c>
      <c r="Z154" s="22">
        <f ca="1">OFFSET('Gas Supply Factors'!$B$13,$O154-1,Z$14)*$L154+OFFSET('Gas Supply Factors'!$B$13,$K154-1,Z$14)*$H154</f>
        <v>0</v>
      </c>
      <c r="AA154" s="24"/>
      <c r="AB154" s="22">
        <f t="shared" ca="1" si="40"/>
        <v>0</v>
      </c>
      <c r="AD154" s="35" t="str">
        <f t="shared" ca="1" si="41"/>
        <v/>
      </c>
    </row>
    <row r="155" spans="2:30" ht="13" x14ac:dyDescent="0.3">
      <c r="B155" s="28">
        <f t="shared" si="42"/>
        <v>97</v>
      </c>
      <c r="D155" s="63" t="s">
        <v>199</v>
      </c>
      <c r="F155" s="113">
        <f ca="1">Function!P155</f>
        <v>0</v>
      </c>
      <c r="H155" s="200"/>
      <c r="L155" s="113">
        <f t="shared" ca="1" si="29"/>
        <v>0</v>
      </c>
      <c r="O155" s="186">
        <f>_xlfn.IFNA(MATCH(N155,'Gas Supply Factors'!$B$13:$B$459,0),0)</f>
        <v>0</v>
      </c>
      <c r="P155" s="22">
        <f ca="1">OFFSET('Gas Supply Factors'!$B$13,$O155-1,P$14)*$L155+OFFSET('Gas Supply Factors'!$B$13,$K155-1,P$14)*$H155</f>
        <v>0</v>
      </c>
      <c r="Q155" s="24"/>
      <c r="R155" s="22">
        <f ca="1">OFFSET('Gas Supply Factors'!$B$13,$O155-1,R$14)*$L155+OFFSET('Gas Supply Factors'!$B$13,$K155-1,R$14)*$H155</f>
        <v>0</v>
      </c>
      <c r="S155" s="22"/>
      <c r="T155" s="22">
        <f ca="1">OFFSET('Gas Supply Factors'!$B$13,$O155-1,T$14)*$L155+OFFSET('Gas Supply Factors'!$B$13,$K155-1,T$14)*$H155</f>
        <v>0</v>
      </c>
      <c r="U155" s="22"/>
      <c r="V155" s="22">
        <f ca="1">OFFSET('Gas Supply Factors'!$B$13,$O155-1,V$14)*$L155+OFFSET('Gas Supply Factors'!$B$13,$K155-1,V$14)*$H155</f>
        <v>0</v>
      </c>
      <c r="W155" s="22"/>
      <c r="X155" s="22">
        <f ca="1">OFFSET('Gas Supply Factors'!$B$13,$O155-1,X$14)*$L155+OFFSET('Gas Supply Factors'!$B$13,$K155-1,X$14)*$H155</f>
        <v>0</v>
      </c>
      <c r="Z155" s="22">
        <f ca="1">OFFSET('Gas Supply Factors'!$B$13,$O155-1,Z$14)*$L155+OFFSET('Gas Supply Factors'!$B$13,$K155-1,Z$14)*$H155</f>
        <v>0</v>
      </c>
      <c r="AA155" s="24"/>
      <c r="AB155" s="22">
        <f t="shared" ca="1" si="40"/>
        <v>0</v>
      </c>
      <c r="AD155" s="35" t="str">
        <f t="shared" ca="1" si="41"/>
        <v/>
      </c>
    </row>
    <row r="156" spans="2:30" ht="13" x14ac:dyDescent="0.3">
      <c r="B156" s="28">
        <f t="shared" si="42"/>
        <v>98</v>
      </c>
      <c r="D156" s="63" t="s">
        <v>200</v>
      </c>
      <c r="F156" s="113">
        <f ca="1">Function!P156</f>
        <v>0</v>
      </c>
      <c r="H156" s="200"/>
      <c r="L156" s="113">
        <f t="shared" ca="1" si="29"/>
        <v>0</v>
      </c>
      <c r="O156" s="186">
        <f>_xlfn.IFNA(MATCH(N156,'Gas Supply Factors'!$B$13:$B$459,0),0)</f>
        <v>0</v>
      </c>
      <c r="P156" s="22">
        <f ca="1">OFFSET('Gas Supply Factors'!$B$13,$O156-1,P$14)*$L156+OFFSET('Gas Supply Factors'!$B$13,$K156-1,P$14)*$H156</f>
        <v>0</v>
      </c>
      <c r="Q156" s="24"/>
      <c r="R156" s="22">
        <f ca="1">OFFSET('Gas Supply Factors'!$B$13,$O156-1,R$14)*$L156+OFFSET('Gas Supply Factors'!$B$13,$K156-1,R$14)*$H156</f>
        <v>0</v>
      </c>
      <c r="S156" s="22"/>
      <c r="T156" s="22">
        <f ca="1">OFFSET('Gas Supply Factors'!$B$13,$O156-1,T$14)*$L156+OFFSET('Gas Supply Factors'!$B$13,$K156-1,T$14)*$H156</f>
        <v>0</v>
      </c>
      <c r="U156" s="22"/>
      <c r="V156" s="22">
        <f ca="1">OFFSET('Gas Supply Factors'!$B$13,$O156-1,V$14)*$L156+OFFSET('Gas Supply Factors'!$B$13,$K156-1,V$14)*$H156</f>
        <v>0</v>
      </c>
      <c r="W156" s="22"/>
      <c r="X156" s="22">
        <f ca="1">OFFSET('Gas Supply Factors'!$B$13,$O156-1,X$14)*$L156+OFFSET('Gas Supply Factors'!$B$13,$K156-1,X$14)*$H156</f>
        <v>0</v>
      </c>
      <c r="Z156" s="22">
        <f ca="1">OFFSET('Gas Supply Factors'!$B$13,$O156-1,Z$14)*$L156+OFFSET('Gas Supply Factors'!$B$13,$K156-1,Z$14)*$H156</f>
        <v>0</v>
      </c>
      <c r="AA156" s="24"/>
      <c r="AB156" s="22">
        <f t="shared" ca="1" si="40"/>
        <v>0</v>
      </c>
      <c r="AD156" s="35" t="str">
        <f t="shared" ca="1" si="41"/>
        <v/>
      </c>
    </row>
    <row r="157" spans="2:30" ht="13" x14ac:dyDescent="0.3">
      <c r="B157" s="28">
        <f t="shared" si="42"/>
        <v>99</v>
      </c>
      <c r="D157" s="63" t="s">
        <v>201</v>
      </c>
      <c r="F157" s="113">
        <f ca="1">Function!P157</f>
        <v>10151.221525209376</v>
      </c>
      <c r="H157" s="200"/>
      <c r="L157" s="113">
        <f t="shared" ca="1" si="29"/>
        <v>10151.221525209376</v>
      </c>
      <c r="N157" s="91" t="s">
        <v>159</v>
      </c>
      <c r="O157" s="186">
        <f>_xlfn.IFNA(MATCH(N157,'Gas Supply Factors'!$B$13:$B$459,0),0)</f>
        <v>1</v>
      </c>
      <c r="P157" s="22">
        <f ca="1">OFFSET('Gas Supply Factors'!$B$13,$O157-1,P$14)*$L157+OFFSET('Gas Supply Factors'!$B$13,$K157-1,P$14)*$H157</f>
        <v>0</v>
      </c>
      <c r="Q157" s="24"/>
      <c r="R157" s="22">
        <f ca="1">OFFSET('Gas Supply Factors'!$B$13,$O157-1,R$14)*$L157+OFFSET('Gas Supply Factors'!$B$13,$K157-1,R$14)*$H157</f>
        <v>0</v>
      </c>
      <c r="S157" s="22"/>
      <c r="T157" s="22">
        <f ca="1">OFFSET('Gas Supply Factors'!$B$13,$O157-1,T$14)*$L157+OFFSET('Gas Supply Factors'!$B$13,$K157-1,T$14)*$H157</f>
        <v>0</v>
      </c>
      <c r="U157" s="22"/>
      <c r="V157" s="22">
        <f ca="1">OFFSET('Gas Supply Factors'!$B$13,$O157-1,V$14)*$L157+OFFSET('Gas Supply Factors'!$B$13,$K157-1,V$14)*$H157</f>
        <v>0</v>
      </c>
      <c r="W157" s="22"/>
      <c r="X157" s="22">
        <f ca="1">OFFSET('Gas Supply Factors'!$B$13,$O157-1,X$14)*$L157+OFFSET('Gas Supply Factors'!$B$13,$K157-1,X$14)*$H157</f>
        <v>0</v>
      </c>
      <c r="Z157" s="22">
        <f ca="1">OFFSET('Gas Supply Factors'!$B$13,$O157-1,Z$14)*$L157+OFFSET('Gas Supply Factors'!$B$13,$K157-1,Z$14)*$H157</f>
        <v>10151.221525209376</v>
      </c>
      <c r="AA157" s="24"/>
      <c r="AB157" s="22">
        <f t="shared" ca="1" si="40"/>
        <v>10151.221525209376</v>
      </c>
      <c r="AD157" s="35" t="str">
        <f t="shared" ca="1" si="41"/>
        <v/>
      </c>
    </row>
    <row r="158" spans="2:30" ht="13" x14ac:dyDescent="0.3">
      <c r="B158" s="28"/>
      <c r="D158" s="97" t="s">
        <v>237</v>
      </c>
      <c r="T158" s="22">
        <f ca="1">OFFSET('Gas Supply Factors'!$B$13,$O158-1,T$14)*$L158+OFFSET('Gas Supply Factors'!$B$13,$K158-1,T$14)*$H158</f>
        <v>0</v>
      </c>
      <c r="AD158" s="35" t="str">
        <f t="shared" si="41"/>
        <v/>
      </c>
    </row>
    <row r="159" spans="2:30" ht="13" x14ac:dyDescent="0.3">
      <c r="B159" s="28">
        <f>B157+1</f>
        <v>100</v>
      </c>
      <c r="D159" s="63" t="s">
        <v>110</v>
      </c>
      <c r="F159" s="113">
        <f ca="1">Function!P159</f>
        <v>2104.1517941099964</v>
      </c>
      <c r="H159" s="200"/>
      <c r="L159" s="113">
        <f t="shared" ca="1" si="29"/>
        <v>2104.1517941099964</v>
      </c>
      <c r="N159" s="91" t="s">
        <v>159</v>
      </c>
      <c r="O159" s="186">
        <f>_xlfn.IFNA(MATCH(N159,'Gas Supply Factors'!$B$13:$B$426,0),0)</f>
        <v>1</v>
      </c>
      <c r="P159" s="22">
        <f ca="1">OFFSET('Gas Supply Factors'!$B$13,$O159-1,P$14)*$L159+OFFSET('Gas Supply Factors'!$B$13,$K159-1,P$14)*$H159</f>
        <v>0</v>
      </c>
      <c r="Q159" s="24"/>
      <c r="R159" s="22">
        <f ca="1">OFFSET('Gas Supply Factors'!$B$13,$O159-1,R$14)*$L159+OFFSET('Gas Supply Factors'!$B$13,$K159-1,R$14)*$H159</f>
        <v>0</v>
      </c>
      <c r="S159" s="22"/>
      <c r="T159" s="22">
        <f ca="1">OFFSET('Gas Supply Factors'!$B$13,$O159-1,T$14)*$L159+OFFSET('Gas Supply Factors'!$B$13,$K159-1,T$14)*$H159</f>
        <v>0</v>
      </c>
      <c r="U159" s="22"/>
      <c r="V159" s="22">
        <f ca="1">OFFSET('Gas Supply Factors'!$B$13,$O159-1,V$14)*$L159+OFFSET('Gas Supply Factors'!$B$13,$K159-1,V$14)*$H159</f>
        <v>0</v>
      </c>
      <c r="W159" s="22"/>
      <c r="X159" s="22">
        <f ca="1">OFFSET('Gas Supply Factors'!$B$13,$O159-1,X$14)*$L159+OFFSET('Gas Supply Factors'!$B$13,$K159-1,X$14)*$H159</f>
        <v>0</v>
      </c>
      <c r="Z159" s="22">
        <f ca="1">OFFSET('Gas Supply Factors'!$B$13,$O159-1,Z$14)*$L159+OFFSET('Gas Supply Factors'!$B$13,$K159-1,Z$14)*$H159</f>
        <v>2104.1517941099964</v>
      </c>
      <c r="AA159" s="24"/>
      <c r="AB159" s="22">
        <f t="shared" ref="AB159:AB160" ca="1" si="43">P159+R159+V159+X159+Z159+T159</f>
        <v>2104.1517941099964</v>
      </c>
      <c r="AD159" s="35" t="str">
        <f t="shared" ref="AD159:AD180" ca="1" si="44">IF(ROUND(F159,4)=ROUND(AB159,4), "", "check")</f>
        <v/>
      </c>
    </row>
    <row r="160" spans="2:30" ht="13" x14ac:dyDescent="0.3">
      <c r="B160" s="28">
        <f>B159+1</f>
        <v>101</v>
      </c>
      <c r="D160" s="63" t="s">
        <v>238</v>
      </c>
      <c r="F160" s="105">
        <f ca="1">Function!P160</f>
        <v>4758.6044086021757</v>
      </c>
      <c r="G160" s="170"/>
      <c r="H160" s="66"/>
      <c r="I160" s="170"/>
      <c r="J160" s="170"/>
      <c r="K160" s="170"/>
      <c r="L160" s="105">
        <f t="shared" ca="1" si="29"/>
        <v>4758.6044086021757</v>
      </c>
      <c r="M160" s="170"/>
      <c r="N160" s="42" t="s">
        <v>159</v>
      </c>
      <c r="O160" s="189">
        <f>_xlfn.IFNA(MATCH(N160,'Gas Supply Factors'!$B$13:$B$426,0),0)</f>
        <v>1</v>
      </c>
      <c r="P160" s="30">
        <f ca="1">OFFSET('Gas Supply Factors'!$B$13,$O160-1,P$14)*$L160+OFFSET('Gas Supply Factors'!$B$13,$K160-1,P$14)*$H160</f>
        <v>0</v>
      </c>
      <c r="Q160" s="109"/>
      <c r="R160" s="30">
        <f ca="1">OFFSET('Gas Supply Factors'!$B$13,$O160-1,R$14)*$L160+OFFSET('Gas Supply Factors'!$B$13,$K160-1,R$14)*$H160</f>
        <v>0</v>
      </c>
      <c r="S160" s="30"/>
      <c r="T160" s="30">
        <f ca="1">OFFSET('Gas Supply Factors'!$B$13,$O160-1,T$14)*$L160+OFFSET('Gas Supply Factors'!$B$13,$K160-1,T$14)*$H160</f>
        <v>0</v>
      </c>
      <c r="U160" s="30"/>
      <c r="V160" s="30">
        <f ca="1">OFFSET('Gas Supply Factors'!$B$13,$O160-1,V$14)*$L160+OFFSET('Gas Supply Factors'!$B$13,$K160-1,V$14)*$H160</f>
        <v>0</v>
      </c>
      <c r="W160" s="30"/>
      <c r="X160" s="30">
        <f ca="1">OFFSET('Gas Supply Factors'!$B$13,$O160-1,X$14)*$L160+OFFSET('Gas Supply Factors'!$B$13,$K160-1,X$14)*$H160</f>
        <v>0</v>
      </c>
      <c r="Z160" s="30">
        <f ca="1">OFFSET('Gas Supply Factors'!$B$13,$O160-1,Z$14)*$L160+OFFSET('Gas Supply Factors'!$B$13,$K160-1,Z$14)*$H160</f>
        <v>4758.6044086021757</v>
      </c>
      <c r="AA160" s="109"/>
      <c r="AB160" s="30">
        <f t="shared" ca="1" si="43"/>
        <v>4758.6044086021757</v>
      </c>
      <c r="AD160" s="35" t="str">
        <f t="shared" ca="1" si="44"/>
        <v/>
      </c>
    </row>
    <row r="161" spans="2:30" ht="13" x14ac:dyDescent="0.3">
      <c r="B161" s="28"/>
      <c r="F161" s="170"/>
      <c r="H161" s="170"/>
      <c r="L161" s="170"/>
      <c r="P161" s="84"/>
      <c r="Q161" s="24"/>
      <c r="R161" s="84"/>
      <c r="S161" s="84"/>
      <c r="T161" s="84"/>
      <c r="U161" s="22"/>
      <c r="V161" s="84"/>
      <c r="W161" s="22"/>
      <c r="X161" s="84"/>
      <c r="Z161" s="84"/>
      <c r="AA161" s="24"/>
      <c r="AB161" s="84"/>
      <c r="AD161" s="35" t="str">
        <f t="shared" si="44"/>
        <v/>
      </c>
    </row>
    <row r="162" spans="2:30" ht="13" x14ac:dyDescent="0.3">
      <c r="B162" s="28">
        <f>B160+1</f>
        <v>102</v>
      </c>
      <c r="D162" s="97" t="s">
        <v>482</v>
      </c>
      <c r="F162" s="204">
        <f ca="1">SUM(F115:F160)</f>
        <v>3133672.3927132715</v>
      </c>
      <c r="H162" s="204">
        <f>SUM(H115:H160)</f>
        <v>0</v>
      </c>
      <c r="L162" s="204">
        <f ca="1">SUM(L115:L160)</f>
        <v>3133672.3927132715</v>
      </c>
      <c r="P162" s="11">
        <f ca="1">SUM(P115:P160)</f>
        <v>2728040.5732561182</v>
      </c>
      <c r="Q162" s="24"/>
      <c r="R162" s="11">
        <f ca="1">SUM(R115:R160)</f>
        <v>175236.13783085361</v>
      </c>
      <c r="S162" s="13"/>
      <c r="T162" s="11">
        <f ca="1">SUM(T115:T160)</f>
        <v>23590.657623593441</v>
      </c>
      <c r="U162" s="22"/>
      <c r="V162" s="11">
        <f ca="1">SUM(V115:V160)</f>
        <v>162050.40026244638</v>
      </c>
      <c r="W162" s="22"/>
      <c r="X162" s="11">
        <f ca="1">SUM(X115:X160)</f>
        <v>23898.700496907863</v>
      </c>
      <c r="Z162" s="11">
        <f ca="1">SUM(Z115:Z160)</f>
        <v>20855.923243351954</v>
      </c>
      <c r="AA162" s="24"/>
      <c r="AB162" s="11">
        <f ca="1">SUM(AB115:AB160)</f>
        <v>3133672.3927132711</v>
      </c>
      <c r="AD162" s="35" t="str">
        <f t="shared" ca="1" si="44"/>
        <v/>
      </c>
    </row>
    <row r="163" spans="2:30" ht="13" x14ac:dyDescent="0.3">
      <c r="B163" s="28"/>
      <c r="Q163" s="24"/>
      <c r="U163" s="22"/>
      <c r="W163" s="22"/>
      <c r="Z163" s="99"/>
      <c r="AA163" s="24"/>
      <c r="AB163" s="99"/>
      <c r="AD163" s="35" t="str">
        <f t="shared" si="44"/>
        <v/>
      </c>
    </row>
    <row r="164" spans="2:30" ht="13.5" thickBot="1" x14ac:dyDescent="0.35">
      <c r="B164" s="28">
        <f>B162+1</f>
        <v>103</v>
      </c>
      <c r="D164" s="97" t="s">
        <v>483</v>
      </c>
      <c r="F164" s="207">
        <f ca="1">F162+F104+F109+F108+F97</f>
        <v>3133672.3927132715</v>
      </c>
      <c r="H164" s="207">
        <f>H162+H104+H109+H108+H97</f>
        <v>0</v>
      </c>
      <c r="L164" s="207">
        <f ca="1">L162+L104+L109+L108+L97</f>
        <v>3133672.3927132715</v>
      </c>
      <c r="P164" s="60">
        <f ca="1">P162+P104+P109+P108+P97</f>
        <v>2728040.5732561182</v>
      </c>
      <c r="Q164" s="24"/>
      <c r="R164" s="60">
        <f ca="1">R162+R104+R109+R108+R97</f>
        <v>175236.13783085361</v>
      </c>
      <c r="S164" s="61"/>
      <c r="T164" s="60">
        <f ca="1">T162+T104+T109+T108+T97</f>
        <v>23590.657623593441</v>
      </c>
      <c r="U164" s="22"/>
      <c r="V164" s="60">
        <f ca="1">V162+V104+V109+V108+V97</f>
        <v>162050.40026244638</v>
      </c>
      <c r="W164" s="22"/>
      <c r="X164" s="60">
        <f ca="1">X162+X104+X109+X108+X97</f>
        <v>23898.700496907863</v>
      </c>
      <c r="Z164" s="60">
        <f ca="1">Z162+Z104+Z109+Z108+Z97</f>
        <v>20855.923243351954</v>
      </c>
      <c r="AA164" s="24"/>
      <c r="AB164" s="60">
        <f ca="1">AB162+AB104+AB109+AB108+AB97</f>
        <v>3133672.3927132711</v>
      </c>
      <c r="AD164" s="35" t="str">
        <f t="shared" ca="1" si="44"/>
        <v/>
      </c>
    </row>
    <row r="165" spans="2:30" ht="13.5" thickTop="1" x14ac:dyDescent="0.3">
      <c r="B165" s="28"/>
      <c r="F165" s="105"/>
      <c r="H165" s="105"/>
      <c r="L165" s="105"/>
      <c r="P165" s="26"/>
      <c r="Q165" s="24"/>
      <c r="R165" s="26"/>
      <c r="S165" s="84"/>
      <c r="T165" s="26"/>
      <c r="U165" s="22"/>
      <c r="V165" s="26"/>
      <c r="W165" s="22"/>
      <c r="X165" s="26"/>
      <c r="Z165" s="26"/>
      <c r="AA165" s="24"/>
      <c r="AB165" s="26"/>
      <c r="AD165" s="35" t="str">
        <f t="shared" si="44"/>
        <v/>
      </c>
    </row>
    <row r="166" spans="2:30" ht="13" x14ac:dyDescent="0.3">
      <c r="B166" s="28"/>
      <c r="F166" s="105">
        <f ca="1">F164-Function!P164</f>
        <v>0</v>
      </c>
      <c r="H166" s="105"/>
      <c r="L166" s="105"/>
      <c r="Q166" s="24"/>
      <c r="U166" s="22"/>
      <c r="W166" s="22"/>
      <c r="Z166" s="99"/>
      <c r="AA166" s="24"/>
      <c r="AB166" s="99"/>
      <c r="AD166" s="35" t="str">
        <f t="shared" ca="1" si="44"/>
        <v/>
      </c>
    </row>
    <row r="167" spans="2:30" ht="13" x14ac:dyDescent="0.3">
      <c r="B167" s="28"/>
      <c r="F167" s="105"/>
      <c r="H167" s="105"/>
      <c r="L167" s="105"/>
      <c r="Q167" s="24"/>
      <c r="U167" s="22"/>
      <c r="W167" s="22"/>
      <c r="Z167" s="99"/>
      <c r="AA167" s="24"/>
      <c r="AB167" s="99"/>
      <c r="AD167" s="35" t="str">
        <f t="shared" si="44"/>
        <v/>
      </c>
    </row>
    <row r="168" spans="2:30" ht="13" x14ac:dyDescent="0.3">
      <c r="B168" s="28"/>
      <c r="D168" s="6" t="s">
        <v>132</v>
      </c>
      <c r="Q168" s="24"/>
      <c r="U168" s="22"/>
      <c r="W168" s="22"/>
      <c r="Z168" s="99"/>
      <c r="AA168" s="24"/>
      <c r="AB168" s="99"/>
      <c r="AD168" s="35" t="str">
        <f t="shared" si="44"/>
        <v/>
      </c>
    </row>
    <row r="169" spans="2:30" ht="13" x14ac:dyDescent="0.3">
      <c r="B169" s="28"/>
      <c r="D169" s="6"/>
      <c r="F169" s="113"/>
      <c r="H169" s="200"/>
      <c r="L169" s="113"/>
      <c r="N169" s="91"/>
      <c r="O169" s="192"/>
      <c r="P169" s="22"/>
      <c r="Q169" s="24"/>
      <c r="R169" s="22"/>
      <c r="S169" s="22"/>
      <c r="T169" s="22"/>
      <c r="U169" s="22"/>
      <c r="V169" s="22"/>
      <c r="W169" s="22"/>
      <c r="X169" s="22"/>
      <c r="Z169" s="22"/>
      <c r="AA169" s="24"/>
      <c r="AB169" s="22"/>
      <c r="AD169" s="35" t="str">
        <f t="shared" si="44"/>
        <v/>
      </c>
    </row>
    <row r="170" spans="2:30" ht="13" x14ac:dyDescent="0.3">
      <c r="B170" s="28">
        <f>B164+1</f>
        <v>104</v>
      </c>
      <c r="D170" s="99" t="s">
        <v>146</v>
      </c>
      <c r="F170" s="113">
        <f ca="1">Function!P170</f>
        <v>2942.6114096800702</v>
      </c>
      <c r="H170" s="200"/>
      <c r="L170" s="113">
        <f t="shared" ref="L170:L176" ca="1" si="45">F170-H170</f>
        <v>2942.6114096800702</v>
      </c>
      <c r="N170" s="91" t="s">
        <v>159</v>
      </c>
      <c r="O170" s="186">
        <f>_xlfn.IFNA(MATCH(N170,'Gas Supply Factors'!$B$13:$B$426,0),0)</f>
        <v>1</v>
      </c>
      <c r="P170" s="22">
        <f ca="1">OFFSET('Gas Supply Factors'!$B$13,$O170-1,P$14)*$L170+OFFSET('Gas Supply Factors'!$B$13,$K170-1,P$14)*$H170</f>
        <v>0</v>
      </c>
      <c r="Q170" s="24"/>
      <c r="R170" s="22">
        <f ca="1">OFFSET('Gas Supply Factors'!$B$13,$O170-1,R$14)*$L170+OFFSET('Gas Supply Factors'!$B$13,$K170-1,R$14)*$H170</f>
        <v>0</v>
      </c>
      <c r="S170" s="22"/>
      <c r="T170" s="22">
        <f ca="1">OFFSET('Gas Supply Factors'!$B$13,$O170-1,T$14)*$L170+OFFSET('Gas Supply Factors'!$B$13,$K170-1,T$14)*$H170</f>
        <v>0</v>
      </c>
      <c r="U170" s="22"/>
      <c r="V170" s="22">
        <f ca="1">OFFSET('Gas Supply Factors'!$B$13,$O170-1,V$14)*$L170+OFFSET('Gas Supply Factors'!$B$13,$K170-1,V$14)*$H170</f>
        <v>0</v>
      </c>
      <c r="W170" s="22"/>
      <c r="X170" s="22">
        <f ca="1">OFFSET('Gas Supply Factors'!$B$13,$O170-1,X$14)*$L170+OFFSET('Gas Supply Factors'!$B$13,$K170-1,X$14)*$H170</f>
        <v>0</v>
      </c>
      <c r="Z170" s="22">
        <f ca="1">OFFSET('Gas Supply Factors'!$B$13,$O170-1,Z$14)*$L170+OFFSET('Gas Supply Factors'!$B$13,$K170-1,Z$14)*$H170</f>
        <v>2942.6114096800702</v>
      </c>
      <c r="AA170" s="24"/>
      <c r="AB170" s="22">
        <f t="shared" ref="AB170:AB176" ca="1" si="46">P170+R170+V170+X170+Z170+T170</f>
        <v>2942.6114096800702</v>
      </c>
      <c r="AD170" s="35" t="str">
        <f t="shared" ca="1" si="44"/>
        <v/>
      </c>
    </row>
    <row r="171" spans="2:30" ht="13" x14ac:dyDescent="0.3">
      <c r="B171" s="28">
        <f t="shared" ref="B171:B176" si="47">B170+1</f>
        <v>105</v>
      </c>
      <c r="D171" s="99" t="s">
        <v>157</v>
      </c>
      <c r="F171" s="113">
        <f ca="1">Function!P171</f>
        <v>2421.6385455058507</v>
      </c>
      <c r="H171" s="200"/>
      <c r="J171" s="91"/>
      <c r="L171" s="113">
        <f t="shared" ca="1" si="45"/>
        <v>2421.6385455058507</v>
      </c>
      <c r="N171" s="91" t="s">
        <v>159</v>
      </c>
      <c r="O171" s="186">
        <f>_xlfn.IFNA(MATCH(N171,'Gas Supply Factors'!$B$13:$B$426,0),0)</f>
        <v>1</v>
      </c>
      <c r="P171" s="22">
        <f ca="1">OFFSET('Gas Supply Factors'!$B$13,$O171-1,P$14)*$L171+OFFSET('Gas Supply Factors'!$B$13,$K171-1,P$14)*$H171</f>
        <v>0</v>
      </c>
      <c r="Q171" s="24"/>
      <c r="R171" s="22">
        <f ca="1">OFFSET('Gas Supply Factors'!$B$13,$O171-1,R$14)*$L171+OFFSET('Gas Supply Factors'!$B$13,$K171-1,R$14)*$H171</f>
        <v>0</v>
      </c>
      <c r="S171" s="22"/>
      <c r="T171" s="22">
        <f ca="1">OFFSET('Gas Supply Factors'!$B$13,$O171-1,T$14)*$L171+OFFSET('Gas Supply Factors'!$B$13,$K171-1,T$14)*$H171</f>
        <v>0</v>
      </c>
      <c r="U171" s="22"/>
      <c r="V171" s="22">
        <f ca="1">OFFSET('Gas Supply Factors'!$B$13,$O171-1,V$14)*$L171+OFFSET('Gas Supply Factors'!$B$13,$K171-1,V$14)*$H171</f>
        <v>0</v>
      </c>
      <c r="W171" s="22"/>
      <c r="X171" s="22">
        <f ca="1">OFFSET('Gas Supply Factors'!$B$13,$O171-1,X$14)*$L171+OFFSET('Gas Supply Factors'!$B$13,$K171-1,X$14)*$H171</f>
        <v>0</v>
      </c>
      <c r="Z171" s="22">
        <f ca="1">OFFSET('Gas Supply Factors'!$B$13,$O171-1,Z$14)*$L171+OFFSET('Gas Supply Factors'!$B$13,$K171-1,Z$14)*$H171</f>
        <v>2421.6385455058507</v>
      </c>
      <c r="AA171" s="24"/>
      <c r="AB171" s="22">
        <f t="shared" ca="1" si="46"/>
        <v>2421.6385455058507</v>
      </c>
      <c r="AD171" s="35" t="str">
        <f t="shared" ca="1" si="44"/>
        <v/>
      </c>
    </row>
    <row r="172" spans="2:30" ht="13" x14ac:dyDescent="0.3">
      <c r="B172" s="28">
        <f t="shared" si="47"/>
        <v>106</v>
      </c>
      <c r="D172" s="99" t="s">
        <v>133</v>
      </c>
      <c r="F172" s="113">
        <f ca="1">Function!P172</f>
        <v>15336.5926054518</v>
      </c>
      <c r="H172" s="200"/>
      <c r="J172" s="91"/>
      <c r="L172" s="113">
        <f t="shared" ca="1" si="45"/>
        <v>15336.5926054518</v>
      </c>
      <c r="N172" s="91" t="s">
        <v>279</v>
      </c>
      <c r="O172" s="186">
        <f>_xlfn.IFNA(MATCH(N172,'Gas Supply Factors'!$B$13:$B$426,0),0)</f>
        <v>7</v>
      </c>
      <c r="P172" s="22">
        <f ca="1">OFFSET('Gas Supply Factors'!$B$13,$O172-1,P$14)*$L172+OFFSET('Gas Supply Factors'!$B$13,$K172-1,P$14)*$H172</f>
        <v>0</v>
      </c>
      <c r="Q172" s="24"/>
      <c r="R172" s="22">
        <f ca="1">OFFSET('Gas Supply Factors'!$B$13,$O172-1,R$14)*$L172+OFFSET('Gas Supply Factors'!$B$13,$K172-1,R$14)*$H172</f>
        <v>7968.0774419795571</v>
      </c>
      <c r="S172" s="22"/>
      <c r="T172" s="22">
        <f ca="1">OFFSET('Gas Supply Factors'!$B$13,$O172-1,T$14)*$L172+OFFSET('Gas Supply Factors'!$B$13,$K172-1,T$14)*$H172</f>
        <v>0</v>
      </c>
      <c r="U172" s="22"/>
      <c r="V172" s="22">
        <f ca="1">OFFSET('Gas Supply Factors'!$B$13,$O172-1,V$14)*$L172+OFFSET('Gas Supply Factors'!$B$13,$K172-1,V$14)*$H172</f>
        <v>7368.5151634722451</v>
      </c>
      <c r="W172" s="22"/>
      <c r="X172" s="22">
        <f ca="1">OFFSET('Gas Supply Factors'!$B$13,$O172-1,X$14)*$L172+OFFSET('Gas Supply Factors'!$B$13,$K172-1,X$14)*$H172</f>
        <v>0</v>
      </c>
      <c r="Z172" s="22">
        <f ca="1">OFFSET('Gas Supply Factors'!$B$13,$O172-1,Z$14)*$L172+OFFSET('Gas Supply Factors'!$B$13,$K172-1,Z$14)*$H172</f>
        <v>0</v>
      </c>
      <c r="AA172" s="24"/>
      <c r="AB172" s="22">
        <f t="shared" ca="1" si="46"/>
        <v>15336.592605451802</v>
      </c>
      <c r="AD172" s="35" t="str">
        <f t="shared" ca="1" si="44"/>
        <v/>
      </c>
    </row>
    <row r="173" spans="2:30" ht="13" x14ac:dyDescent="0.3">
      <c r="B173" s="28">
        <f t="shared" si="47"/>
        <v>107</v>
      </c>
      <c r="D173" s="99" t="s">
        <v>148</v>
      </c>
      <c r="F173" s="113">
        <f ca="1">Function!P173</f>
        <v>0</v>
      </c>
      <c r="H173" s="200"/>
      <c r="J173" s="91"/>
      <c r="L173" s="113">
        <f t="shared" ca="1" si="45"/>
        <v>0</v>
      </c>
      <c r="O173" s="186">
        <f>_xlfn.IFNA(MATCH(N173,'Gas Supply Factors'!$B$13:$B$426,0),0)</f>
        <v>0</v>
      </c>
      <c r="P173" s="22">
        <f ca="1">OFFSET('Gas Supply Factors'!$B$13,$O173-1,P$14)*$L173+OFFSET('Gas Supply Factors'!$B$13,$K173-1,P$14)*$H173</f>
        <v>0</v>
      </c>
      <c r="Q173" s="24"/>
      <c r="R173" s="22">
        <f ca="1">OFFSET('Gas Supply Factors'!$B$13,$O173-1,R$14)*$L173+OFFSET('Gas Supply Factors'!$B$13,$K173-1,R$14)*$H173</f>
        <v>0</v>
      </c>
      <c r="S173" s="22"/>
      <c r="T173" s="22">
        <f ca="1">OFFSET('Gas Supply Factors'!$B$13,$O173-1,T$14)*$L173+OFFSET('Gas Supply Factors'!$B$13,$K173-1,T$14)*$H173</f>
        <v>0</v>
      </c>
      <c r="U173" s="22"/>
      <c r="V173" s="22">
        <f ca="1">OFFSET('Gas Supply Factors'!$B$13,$O173-1,V$14)*$L173+OFFSET('Gas Supply Factors'!$B$13,$K173-1,V$14)*$H173</f>
        <v>0</v>
      </c>
      <c r="W173" s="22"/>
      <c r="X173" s="22">
        <f ca="1">OFFSET('Gas Supply Factors'!$B$13,$O173-1,X$14)*$L173+OFFSET('Gas Supply Factors'!$B$13,$K173-1,X$14)*$H173</f>
        <v>0</v>
      </c>
      <c r="Z173" s="22">
        <f ca="1">OFFSET('Gas Supply Factors'!$B$13,$O173-1,Z$14)*$L173+OFFSET('Gas Supply Factors'!$B$13,$K173-1,Z$14)*$H173</f>
        <v>0</v>
      </c>
      <c r="AA173" s="24"/>
      <c r="AB173" s="22">
        <f t="shared" ca="1" si="46"/>
        <v>0</v>
      </c>
      <c r="AD173" s="35" t="str">
        <f t="shared" ca="1" si="44"/>
        <v/>
      </c>
    </row>
    <row r="174" spans="2:30" ht="13" x14ac:dyDescent="0.3">
      <c r="B174" s="28">
        <f t="shared" si="47"/>
        <v>108</v>
      </c>
      <c r="D174" s="99" t="s">
        <v>149</v>
      </c>
      <c r="F174" s="113">
        <f ca="1">Function!P174</f>
        <v>0</v>
      </c>
      <c r="H174" s="200"/>
      <c r="J174" s="91"/>
      <c r="L174" s="113">
        <f t="shared" ca="1" si="45"/>
        <v>0</v>
      </c>
      <c r="O174" s="186">
        <f>_xlfn.IFNA(MATCH(N174,'Gas Supply Factors'!$B$13:$B$426,0),0)</f>
        <v>0</v>
      </c>
      <c r="P174" s="22">
        <f ca="1">OFFSET('Gas Supply Factors'!$B$13,$O174-1,P$14)*$L174+OFFSET('Gas Supply Factors'!$B$13,$K174-1,P$14)*$H174</f>
        <v>0</v>
      </c>
      <c r="Q174" s="24"/>
      <c r="R174" s="22">
        <f ca="1">OFFSET('Gas Supply Factors'!$B$13,$O174-1,R$14)*$L174+OFFSET('Gas Supply Factors'!$B$13,$K174-1,R$14)*$H174</f>
        <v>0</v>
      </c>
      <c r="S174" s="22"/>
      <c r="T174" s="22">
        <f ca="1">OFFSET('Gas Supply Factors'!$B$13,$O174-1,T$14)*$L174+OFFSET('Gas Supply Factors'!$B$13,$K174-1,T$14)*$H174</f>
        <v>0</v>
      </c>
      <c r="U174" s="22"/>
      <c r="V174" s="22">
        <f ca="1">OFFSET('Gas Supply Factors'!$B$13,$O174-1,V$14)*$L174+OFFSET('Gas Supply Factors'!$B$13,$K174-1,V$14)*$H174</f>
        <v>0</v>
      </c>
      <c r="W174" s="22"/>
      <c r="X174" s="22">
        <f ca="1">OFFSET('Gas Supply Factors'!$B$13,$O174-1,X$14)*$L174+OFFSET('Gas Supply Factors'!$B$13,$K174-1,X$14)*$H174</f>
        <v>0</v>
      </c>
      <c r="Z174" s="22">
        <f ca="1">OFFSET('Gas Supply Factors'!$B$13,$O174-1,Z$14)*$L174+OFFSET('Gas Supply Factors'!$B$13,$K174-1,Z$14)*$H174</f>
        <v>0</v>
      </c>
      <c r="AA174" s="24"/>
      <c r="AB174" s="22">
        <f t="shared" ca="1" si="46"/>
        <v>0</v>
      </c>
      <c r="AD174" s="35" t="str">
        <f t="shared" ca="1" si="44"/>
        <v/>
      </c>
    </row>
    <row r="175" spans="2:30" ht="13" x14ac:dyDescent="0.3">
      <c r="B175" s="28">
        <f t="shared" si="47"/>
        <v>109</v>
      </c>
      <c r="D175" s="99" t="s">
        <v>150</v>
      </c>
      <c r="F175" s="113">
        <f ca="1">Function!P175</f>
        <v>0</v>
      </c>
      <c r="H175" s="200"/>
      <c r="J175" s="91"/>
      <c r="L175" s="113">
        <f t="shared" ca="1" si="45"/>
        <v>0</v>
      </c>
      <c r="O175" s="186">
        <f>_xlfn.IFNA(MATCH(N175,'Gas Supply Factors'!$B$13:$B$426,0),0)</f>
        <v>0</v>
      </c>
      <c r="P175" s="22">
        <f ca="1">OFFSET('Gas Supply Factors'!$B$13,$O175-1,P$14)*$L175+OFFSET('Gas Supply Factors'!$B$13,$K175-1,P$14)*$H175</f>
        <v>0</v>
      </c>
      <c r="Q175" s="24"/>
      <c r="R175" s="22">
        <f ca="1">OFFSET('Gas Supply Factors'!$B$13,$O175-1,R$14)*$L175+OFFSET('Gas Supply Factors'!$B$13,$K175-1,R$14)*$H175</f>
        <v>0</v>
      </c>
      <c r="S175" s="22"/>
      <c r="T175" s="22">
        <f ca="1">OFFSET('Gas Supply Factors'!$B$13,$O175-1,T$14)*$L175+OFFSET('Gas Supply Factors'!$B$13,$K175-1,T$14)*$H175</f>
        <v>0</v>
      </c>
      <c r="U175" s="22"/>
      <c r="V175" s="22">
        <f ca="1">OFFSET('Gas Supply Factors'!$B$13,$O175-1,V$14)*$L175+OFFSET('Gas Supply Factors'!$B$13,$K175-1,V$14)*$H175</f>
        <v>0</v>
      </c>
      <c r="W175" s="22"/>
      <c r="X175" s="22">
        <f ca="1">OFFSET('Gas Supply Factors'!$B$13,$O175-1,X$14)*$L175+OFFSET('Gas Supply Factors'!$B$13,$K175-1,X$14)*$H175</f>
        <v>0</v>
      </c>
      <c r="Z175" s="22">
        <f ca="1">OFFSET('Gas Supply Factors'!$B$13,$O175-1,Z$14)*$L175+OFFSET('Gas Supply Factors'!$B$13,$K175-1,Z$14)*$H175</f>
        <v>0</v>
      </c>
      <c r="AA175" s="24"/>
      <c r="AB175" s="22">
        <f t="shared" ca="1" si="46"/>
        <v>0</v>
      </c>
      <c r="AD175" s="35" t="str">
        <f t="shared" ca="1" si="44"/>
        <v/>
      </c>
    </row>
    <row r="176" spans="2:30" ht="13" x14ac:dyDescent="0.3">
      <c r="B176" s="28">
        <f t="shared" si="47"/>
        <v>110</v>
      </c>
      <c r="D176" s="99" t="s">
        <v>465</v>
      </c>
      <c r="F176" s="113">
        <f ca="1">Function!P176</f>
        <v>0</v>
      </c>
      <c r="H176" s="200"/>
      <c r="J176" s="91"/>
      <c r="L176" s="113">
        <f t="shared" ca="1" si="45"/>
        <v>0</v>
      </c>
      <c r="O176" s="186">
        <f>_xlfn.IFNA(MATCH(N176,'Gas Supply Factors'!$B$13:$B$426,0),0)</f>
        <v>0</v>
      </c>
      <c r="P176" s="22">
        <f ca="1">OFFSET('Gas Supply Factors'!$B$13,$O176-1,P$14)*$L176+OFFSET('Gas Supply Factors'!$B$13,$K176-1,P$14)*$H176</f>
        <v>0</v>
      </c>
      <c r="Q176" s="24"/>
      <c r="R176" s="22">
        <f ca="1">OFFSET('Gas Supply Factors'!$B$13,$O176-1,R$14)*$L176+OFFSET('Gas Supply Factors'!$B$13,$K176-1,R$14)*$H176</f>
        <v>0</v>
      </c>
      <c r="S176" s="22"/>
      <c r="T176" s="22">
        <f ca="1">OFFSET('Gas Supply Factors'!$B$13,$O176-1,T$14)*$L176+OFFSET('Gas Supply Factors'!$B$13,$K176-1,T$14)*$H176</f>
        <v>0</v>
      </c>
      <c r="U176" s="22"/>
      <c r="V176" s="22">
        <f ca="1">OFFSET('Gas Supply Factors'!$B$13,$O176-1,V$14)*$L176+OFFSET('Gas Supply Factors'!$B$13,$K176-1,V$14)*$H176</f>
        <v>0</v>
      </c>
      <c r="W176" s="22"/>
      <c r="X176" s="22">
        <f ca="1">OFFSET('Gas Supply Factors'!$B$13,$O176-1,X$14)*$L176+OFFSET('Gas Supply Factors'!$B$13,$K176-1,X$14)*$H176</f>
        <v>0</v>
      </c>
      <c r="Z176" s="22">
        <f ca="1">OFFSET('Gas Supply Factors'!$B$13,$O176-1,Z$14)*$L176+OFFSET('Gas Supply Factors'!$B$13,$K176-1,Z$14)*$H176</f>
        <v>0</v>
      </c>
      <c r="AA176" s="24"/>
      <c r="AB176" s="22">
        <f t="shared" ca="1" si="46"/>
        <v>0</v>
      </c>
      <c r="AD176" s="35" t="str">
        <f t="shared" ca="1" si="44"/>
        <v/>
      </c>
    </row>
    <row r="177" spans="2:30" ht="13" x14ac:dyDescent="0.3">
      <c r="B177" s="28"/>
      <c r="Q177" s="24"/>
      <c r="T177" s="22"/>
      <c r="U177" s="22"/>
      <c r="W177" s="22"/>
      <c r="Z177" s="99"/>
      <c r="AA177" s="24"/>
      <c r="AB177" s="99"/>
      <c r="AD177" s="35" t="str">
        <f t="shared" si="44"/>
        <v/>
      </c>
    </row>
    <row r="178" spans="2:30" ht="13" x14ac:dyDescent="0.3">
      <c r="B178" s="28">
        <f>B176+1</f>
        <v>111</v>
      </c>
      <c r="D178" s="99" t="s">
        <v>484</v>
      </c>
      <c r="F178" s="79">
        <f ca="1">SUM(F170:F176)</f>
        <v>20700.84256063772</v>
      </c>
      <c r="H178" s="79">
        <f>SUM(H170:H176)</f>
        <v>0</v>
      </c>
      <c r="J178" s="91"/>
      <c r="L178" s="79">
        <f ca="1">SUM(L170:L176)</f>
        <v>20700.84256063772</v>
      </c>
      <c r="P178" s="10">
        <f ca="1">SUM(P170:P176)</f>
        <v>0</v>
      </c>
      <c r="Q178" s="24"/>
      <c r="R178" s="10">
        <f ca="1">SUM(R170:R176)</f>
        <v>7968.0774419795571</v>
      </c>
      <c r="S178" s="61"/>
      <c r="T178" s="10">
        <f ca="1">SUM(T170:T176)</f>
        <v>0</v>
      </c>
      <c r="U178" s="22"/>
      <c r="V178" s="10">
        <f ca="1">SUM(V170:V176)</f>
        <v>7368.5151634722451</v>
      </c>
      <c r="W178" s="22"/>
      <c r="X178" s="10">
        <f ca="1">SUM(X170:X176)</f>
        <v>0</v>
      </c>
      <c r="Z178" s="10">
        <f ca="1">SUM(Z170:Z176)</f>
        <v>5364.249955185921</v>
      </c>
      <c r="AA178" s="24"/>
      <c r="AB178" s="10">
        <f ca="1">SUM(AB170:AB176)</f>
        <v>20700.842560637724</v>
      </c>
      <c r="AD178" s="35" t="str">
        <f t="shared" ca="1" si="44"/>
        <v/>
      </c>
    </row>
    <row r="179" spans="2:30" ht="13" x14ac:dyDescent="0.3">
      <c r="B179" s="28"/>
      <c r="Q179" s="24"/>
      <c r="U179" s="22"/>
      <c r="W179" s="22"/>
      <c r="Z179" s="99"/>
      <c r="AA179" s="24"/>
      <c r="AB179" s="99"/>
      <c r="AD179" s="35" t="str">
        <f t="shared" si="44"/>
        <v/>
      </c>
    </row>
    <row r="180" spans="2:30" ht="13.5" thickBot="1" x14ac:dyDescent="0.35">
      <c r="B180" s="28">
        <f>B178+1</f>
        <v>112</v>
      </c>
      <c r="D180" s="99" t="s">
        <v>172</v>
      </c>
      <c r="F180" s="207">
        <f ca="1">F164-F178</f>
        <v>3112971.5501526338</v>
      </c>
      <c r="H180" s="207">
        <f>H164-H178</f>
        <v>0</v>
      </c>
      <c r="L180" s="207">
        <f ca="1">L164-L178</f>
        <v>3112971.5501526338</v>
      </c>
      <c r="P180" s="60">
        <f ca="1">P164-P178</f>
        <v>2728040.5732561182</v>
      </c>
      <c r="Q180" s="24"/>
      <c r="R180" s="60">
        <f ca="1">R164-R178</f>
        <v>167268.06038887406</v>
      </c>
      <c r="S180" s="61"/>
      <c r="T180" s="60">
        <f ca="1">T164-T178</f>
        <v>23590.657623593441</v>
      </c>
      <c r="U180" s="22"/>
      <c r="V180" s="60">
        <f ca="1">V164-V178</f>
        <v>154681.88509897413</v>
      </c>
      <c r="W180" s="22"/>
      <c r="X180" s="60">
        <f ca="1">X164-X178</f>
        <v>23898.700496907863</v>
      </c>
      <c r="Z180" s="60">
        <f ca="1">Z164-Z178</f>
        <v>15491.673288166032</v>
      </c>
      <c r="AA180" s="24"/>
      <c r="AB180" s="60">
        <f ca="1">AB164-AB178</f>
        <v>3112971.5501526333</v>
      </c>
      <c r="AD180" s="35" t="str">
        <f t="shared" ca="1" si="44"/>
        <v/>
      </c>
    </row>
    <row r="181" spans="2:30" ht="13" thickTop="1" x14ac:dyDescent="0.25">
      <c r="D181" s="99" t="s">
        <v>486</v>
      </c>
      <c r="Q181" s="24"/>
      <c r="U181" s="22"/>
      <c r="W181" s="22"/>
      <c r="AA181" s="24"/>
    </row>
    <row r="182" spans="2:30" x14ac:dyDescent="0.25">
      <c r="Q182" s="24"/>
      <c r="W182" s="22"/>
      <c r="AA182" s="24"/>
    </row>
    <row r="183" spans="2:30" x14ac:dyDescent="0.25">
      <c r="Q183" s="24"/>
      <c r="W183" s="22"/>
      <c r="AA183" s="24"/>
    </row>
    <row r="184" spans="2:30" x14ac:dyDescent="0.25">
      <c r="Q184" s="24"/>
      <c r="W184" s="22"/>
    </row>
    <row r="185" spans="2:30" x14ac:dyDescent="0.25">
      <c r="Q185" s="24"/>
    </row>
    <row r="186" spans="2:30" x14ac:dyDescent="0.25">
      <c r="Q186" s="24"/>
    </row>
    <row r="187" spans="2:30" x14ac:dyDescent="0.25">
      <c r="Q187" s="24"/>
    </row>
    <row r="188" spans="2:30" x14ac:dyDescent="0.25">
      <c r="Q188" s="24"/>
    </row>
    <row r="189" spans="2:30" x14ac:dyDescent="0.25">
      <c r="Q189" s="24"/>
    </row>
    <row r="190" spans="2:30" x14ac:dyDescent="0.25">
      <c r="Q190" s="24"/>
    </row>
    <row r="191" spans="2:30" x14ac:dyDescent="0.25">
      <c r="Q191" s="24"/>
    </row>
    <row r="192" spans="2:30" x14ac:dyDescent="0.25">
      <c r="Q192" s="24"/>
    </row>
  </sheetData>
  <mergeCells count="3">
    <mergeCell ref="B5:AB5"/>
    <mergeCell ref="B6:AB6"/>
    <mergeCell ref="B7:AB7"/>
  </mergeCells>
  <pageMargins left="0.7" right="0.7" top="0.75" bottom="0.75" header="0.3" footer="0.3"/>
  <pageSetup scale="55" fitToHeight="4" orientation="landscape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dimension ref="A5:P34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6.453125" style="1" customWidth="1"/>
    <col min="2" max="2" width="30.7265625" style="163" customWidth="1"/>
    <col min="3" max="3" width="8.26953125" style="1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99" customWidth="1"/>
    <col min="10" max="10" width="15.7265625" style="99" customWidth="1"/>
    <col min="11" max="11" width="1.7265625" style="1" customWidth="1"/>
    <col min="12" max="12" width="15.7265625" style="1" customWidth="1"/>
    <col min="13" max="13" width="1.7265625" style="1" customWidth="1"/>
    <col min="14" max="14" width="15.54296875" style="1" customWidth="1"/>
    <col min="15" max="15" width="1.7265625" style="1" customWidth="1"/>
    <col min="16" max="16" width="15.54296875" style="1" customWidth="1"/>
    <col min="17" max="16384" width="9.1796875" style="1"/>
  </cols>
  <sheetData>
    <row r="5" spans="1:16" s="99" customFormat="1" x14ac:dyDescent="0.25">
      <c r="B5" s="163"/>
    </row>
    <row r="6" spans="1:16" s="99" customFormat="1" ht="15" customHeight="1" x14ac:dyDescent="0.25">
      <c r="B6" s="263" t="s">
        <v>412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s="99" customFormat="1" ht="15" customHeight="1" x14ac:dyDescent="0.25">
      <c r="B7" s="263" t="s">
        <v>471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</row>
    <row r="9" spans="1:16" x14ac:dyDescent="0.25">
      <c r="A9" s="128" t="s">
        <v>2</v>
      </c>
      <c r="B9" s="163" t="s">
        <v>7</v>
      </c>
      <c r="C9" s="128"/>
      <c r="D9" s="99"/>
      <c r="E9" s="99"/>
      <c r="F9" s="128" t="s">
        <v>134</v>
      </c>
      <c r="G9" s="128"/>
      <c r="H9" s="2" t="s">
        <v>139</v>
      </c>
      <c r="I9" s="2"/>
      <c r="J9" s="2" t="s">
        <v>139</v>
      </c>
      <c r="K9" s="3"/>
      <c r="L9" s="2" t="s">
        <v>136</v>
      </c>
      <c r="M9" s="3"/>
      <c r="N9" s="128" t="s">
        <v>136</v>
      </c>
      <c r="O9" s="128"/>
      <c r="P9" s="128"/>
    </row>
    <row r="10" spans="1:16" x14ac:dyDescent="0.25">
      <c r="A10" s="129" t="s">
        <v>4</v>
      </c>
      <c r="B10" s="164" t="s">
        <v>354</v>
      </c>
      <c r="C10" s="129"/>
      <c r="D10" s="129" t="s">
        <v>11</v>
      </c>
      <c r="E10" s="99"/>
      <c r="F10" s="129" t="s">
        <v>135</v>
      </c>
      <c r="G10" s="128"/>
      <c r="H10" s="129" t="s">
        <v>320</v>
      </c>
      <c r="I10" s="128"/>
      <c r="J10" s="129" t="s">
        <v>49</v>
      </c>
      <c r="K10" s="128"/>
      <c r="L10" s="129" t="s">
        <v>137</v>
      </c>
      <c r="M10" s="128"/>
      <c r="N10" s="129" t="s">
        <v>49</v>
      </c>
      <c r="O10" s="128"/>
      <c r="P10" s="129" t="s">
        <v>158</v>
      </c>
    </row>
    <row r="11" spans="1:16" s="99" customFormat="1" x14ac:dyDescent="0.25">
      <c r="A11" s="128"/>
      <c r="B11" s="163"/>
      <c r="D11" s="128" t="s">
        <v>12</v>
      </c>
      <c r="E11" s="128"/>
      <c r="F11" s="130" t="s">
        <v>13</v>
      </c>
      <c r="G11" s="128"/>
      <c r="H11" s="130" t="s">
        <v>14</v>
      </c>
      <c r="I11" s="128"/>
      <c r="J11" s="130" t="s">
        <v>415</v>
      </c>
      <c r="K11" s="128"/>
      <c r="L11" s="130" t="s">
        <v>15</v>
      </c>
      <c r="N11" s="130" t="s">
        <v>16</v>
      </c>
      <c r="O11" s="128"/>
      <c r="P11" s="130" t="s">
        <v>59</v>
      </c>
    </row>
    <row r="12" spans="1:16" x14ac:dyDescent="0.25">
      <c r="A12" s="128">
        <v>1</v>
      </c>
      <c r="C12" s="85" t="s">
        <v>417</v>
      </c>
      <c r="D12" s="147">
        <f>SUM(F12:P12)</f>
        <v>1</v>
      </c>
      <c r="E12" s="99"/>
      <c r="F12" s="22">
        <v>0</v>
      </c>
      <c r="G12" s="99"/>
      <c r="H12" s="22">
        <v>0</v>
      </c>
      <c r="I12" s="22"/>
      <c r="J12" s="22">
        <v>0</v>
      </c>
      <c r="K12" s="22"/>
      <c r="L12" s="22">
        <v>0</v>
      </c>
      <c r="M12" s="22"/>
      <c r="N12" s="22">
        <v>0</v>
      </c>
      <c r="O12" s="22"/>
      <c r="P12" s="22">
        <v>1</v>
      </c>
    </row>
    <row r="13" spans="1:16" s="99" customFormat="1" x14ac:dyDescent="0.25">
      <c r="A13" s="128">
        <v>2</v>
      </c>
      <c r="B13" s="163" t="s">
        <v>159</v>
      </c>
      <c r="C13" s="85"/>
      <c r="D13" s="254">
        <f>SUM(F13:P13)</f>
        <v>1</v>
      </c>
      <c r="F13" s="34">
        <f>F12/$D12</f>
        <v>0</v>
      </c>
      <c r="H13" s="34">
        <f>H12/$D12</f>
        <v>0</v>
      </c>
      <c r="J13" s="34">
        <f>J12/$D12</f>
        <v>0</v>
      </c>
      <c r="K13" s="34"/>
      <c r="L13" s="34">
        <f>L12/$D12</f>
        <v>0</v>
      </c>
      <c r="N13" s="34">
        <f>N12/$D12</f>
        <v>0</v>
      </c>
      <c r="P13" s="34">
        <f>P12/$D12</f>
        <v>1</v>
      </c>
    </row>
    <row r="14" spans="1:16" s="99" customFormat="1" x14ac:dyDescent="0.25">
      <c r="A14" s="128"/>
      <c r="B14" s="163"/>
      <c r="C14" s="85"/>
      <c r="D14" s="147"/>
    </row>
    <row r="15" spans="1:16" s="99" customFormat="1" x14ac:dyDescent="0.25">
      <c r="A15" s="128">
        <v>3</v>
      </c>
      <c r="B15" s="163"/>
      <c r="C15" s="85" t="s">
        <v>416</v>
      </c>
      <c r="D15" s="148">
        <f>SUM(F15:P15)</f>
        <v>3112816.4694699193</v>
      </c>
      <c r="F15" s="22">
        <v>2728040.5732561182</v>
      </c>
      <c r="G15" s="22"/>
      <c r="H15" s="22">
        <v>175236.13783085361</v>
      </c>
      <c r="I15" s="22"/>
      <c r="J15" s="22">
        <v>23590.657623593441</v>
      </c>
      <c r="K15" s="22"/>
      <c r="L15" s="22">
        <v>162050.40026244638</v>
      </c>
      <c r="M15" s="22"/>
      <c r="N15" s="22">
        <v>23898.700496907863</v>
      </c>
      <c r="O15" s="22"/>
      <c r="P15" s="22">
        <v>0</v>
      </c>
    </row>
    <row r="16" spans="1:16" s="99" customFormat="1" x14ac:dyDescent="0.25">
      <c r="A16" s="128">
        <v>4</v>
      </c>
      <c r="B16" s="163" t="s">
        <v>404</v>
      </c>
      <c r="C16" s="85"/>
      <c r="D16" s="254">
        <f>SUM(F16:P16)</f>
        <v>1</v>
      </c>
      <c r="F16" s="34">
        <f>F15/$D15</f>
        <v>0.87638979040761611</v>
      </c>
      <c r="H16" s="34">
        <f>H15/$D15</f>
        <v>5.6295043266940348E-2</v>
      </c>
      <c r="J16" s="34">
        <f>J15/$D15</f>
        <v>7.5785571860620127E-3</v>
      </c>
      <c r="K16" s="34"/>
      <c r="L16" s="34">
        <f>L15/$D15</f>
        <v>5.205909241737014E-2</v>
      </c>
      <c r="N16" s="34">
        <f>N15/$D15</f>
        <v>7.6775167220114217E-3</v>
      </c>
      <c r="P16" s="34">
        <f>P15/$D15</f>
        <v>0</v>
      </c>
    </row>
    <row r="17" spans="1:16" s="99" customFormat="1" x14ac:dyDescent="0.25">
      <c r="A17" s="128"/>
      <c r="B17" s="163"/>
      <c r="C17" s="85"/>
      <c r="D17" s="147"/>
    </row>
    <row r="18" spans="1:16" s="99" customFormat="1" x14ac:dyDescent="0.25">
      <c r="A18" s="128">
        <v>5</v>
      </c>
      <c r="B18" s="163"/>
      <c r="C18" s="85" t="s">
        <v>417</v>
      </c>
      <c r="D18" s="148">
        <f ca="1">SUM(F18:P18)</f>
        <v>337286.53809329995</v>
      </c>
      <c r="F18" s="22">
        <v>0</v>
      </c>
      <c r="H18" s="22">
        <f ca="1">'Gas Supply Class'!R164</f>
        <v>175236.13783085361</v>
      </c>
      <c r="I18" s="22"/>
      <c r="J18" s="22">
        <v>0</v>
      </c>
      <c r="K18" s="22"/>
      <c r="L18" s="22">
        <f ca="1">'Gas Supply Class'!V164</f>
        <v>162050.40026244638</v>
      </c>
      <c r="M18" s="22"/>
      <c r="N18" s="22">
        <v>0</v>
      </c>
      <c r="O18" s="22"/>
      <c r="P18" s="22">
        <v>0</v>
      </c>
    </row>
    <row r="19" spans="1:16" s="99" customFormat="1" ht="13" x14ac:dyDescent="0.3">
      <c r="A19" s="128">
        <v>6</v>
      </c>
      <c r="B19" s="163" t="s">
        <v>279</v>
      </c>
      <c r="C19" s="216"/>
      <c r="D19" s="254">
        <f ca="1">SUM(F19:P19)</f>
        <v>1</v>
      </c>
      <c r="F19" s="34">
        <f ca="1">F18/$D18</f>
        <v>0</v>
      </c>
      <c r="H19" s="34">
        <f ca="1">H18/$D18</f>
        <v>0.51954678897495732</v>
      </c>
      <c r="J19" s="34">
        <f ca="1">J18/$D18</f>
        <v>0</v>
      </c>
      <c r="K19" s="34"/>
      <c r="L19" s="34">
        <f ca="1">L18/$D18</f>
        <v>0.48045321102504279</v>
      </c>
      <c r="N19" s="34">
        <f ca="1">N18/$D18</f>
        <v>0</v>
      </c>
      <c r="P19" s="34">
        <f ca="1">P18/$D18</f>
        <v>0</v>
      </c>
    </row>
    <row r="20" spans="1:16" s="99" customFormat="1" x14ac:dyDescent="0.25">
      <c r="A20" s="128"/>
      <c r="B20" s="163"/>
      <c r="C20" s="128"/>
      <c r="D20" s="131"/>
      <c r="F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s="99" customFormat="1" x14ac:dyDescent="0.25">
      <c r="B21" s="163"/>
    </row>
    <row r="22" spans="1:16" s="99" customFormat="1" x14ac:dyDescent="0.25">
      <c r="B22" s="163"/>
    </row>
    <row r="23" spans="1:16" s="99" customFormat="1" x14ac:dyDescent="0.25">
      <c r="A23" s="109"/>
      <c r="B23" s="41"/>
      <c r="C23" s="109"/>
    </row>
    <row r="24" spans="1:16" s="99" customFormat="1" x14ac:dyDescent="0.25">
      <c r="A24" s="109"/>
      <c r="B24" s="41"/>
      <c r="C24" s="109"/>
    </row>
    <row r="25" spans="1:16" x14ac:dyDescent="0.25">
      <c r="A25" s="139"/>
      <c r="B25" s="41"/>
      <c r="C25" s="109"/>
      <c r="I25" s="1"/>
      <c r="J25" s="1"/>
    </row>
    <row r="26" spans="1:16" ht="13" x14ac:dyDescent="0.3">
      <c r="A26" s="139"/>
      <c r="B26" s="140"/>
      <c r="C26" s="109"/>
      <c r="I26" s="1"/>
      <c r="J26" s="1"/>
    </row>
    <row r="27" spans="1:16" x14ac:dyDescent="0.25">
      <c r="A27" s="138"/>
      <c r="B27" s="41"/>
      <c r="C27" s="109"/>
      <c r="D27" s="24"/>
      <c r="E27" s="24"/>
      <c r="F27" s="24"/>
      <c r="G27" s="24"/>
      <c r="H27" s="24"/>
      <c r="I27" s="97"/>
      <c r="J27" s="97"/>
      <c r="K27" s="24"/>
      <c r="L27" s="24"/>
      <c r="M27" s="24"/>
      <c r="N27" s="24"/>
    </row>
    <row r="28" spans="1:16" x14ac:dyDescent="0.25">
      <c r="A28" s="43"/>
      <c r="B28" s="41"/>
      <c r="C28" s="109"/>
      <c r="I28" s="1"/>
      <c r="J28" s="1"/>
    </row>
    <row r="29" spans="1:16" ht="13" x14ac:dyDescent="0.3">
      <c r="A29" s="43"/>
      <c r="B29" s="140"/>
      <c r="C29" s="109"/>
      <c r="I29" s="1"/>
      <c r="J29" s="1"/>
    </row>
    <row r="30" spans="1:16" x14ac:dyDescent="0.25">
      <c r="A30" s="141"/>
      <c r="B30" s="41"/>
      <c r="C30" s="109"/>
      <c r="D30" s="24"/>
      <c r="E30" s="24"/>
      <c r="F30" s="24"/>
      <c r="G30" s="24"/>
      <c r="H30" s="24"/>
      <c r="I30" s="97"/>
      <c r="J30" s="97"/>
      <c r="K30" s="24"/>
      <c r="L30" s="24"/>
      <c r="M30" s="24"/>
      <c r="N30" s="24"/>
      <c r="O30" s="24"/>
      <c r="P30" s="24"/>
    </row>
    <row r="31" spans="1:16" x14ac:dyDescent="0.25">
      <c r="A31" s="42"/>
      <c r="B31" s="41"/>
      <c r="C31" s="109"/>
      <c r="I31" s="1"/>
      <c r="J31" s="1"/>
    </row>
    <row r="32" spans="1:16" ht="13" x14ac:dyDescent="0.3">
      <c r="A32" s="42"/>
      <c r="B32" s="140"/>
      <c r="C32" s="109"/>
      <c r="I32" s="1"/>
      <c r="J32" s="1"/>
    </row>
    <row r="33" spans="1:16" x14ac:dyDescent="0.25">
      <c r="A33" s="109"/>
      <c r="B33" s="41"/>
      <c r="C33" s="109"/>
      <c r="D33" s="24"/>
      <c r="E33" s="24"/>
      <c r="F33" s="24"/>
      <c r="G33" s="24"/>
      <c r="H33" s="24"/>
      <c r="I33" s="97"/>
      <c r="J33" s="97"/>
      <c r="K33" s="24"/>
      <c r="L33" s="24"/>
      <c r="M33" s="24"/>
      <c r="N33" s="24"/>
      <c r="O33" s="24"/>
      <c r="P33" s="24"/>
    </row>
    <row r="34" spans="1:16" x14ac:dyDescent="0.25">
      <c r="A34" s="109"/>
      <c r="B34" s="41"/>
      <c r="C34" s="109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</sheetPr>
  <dimension ref="B5:AN183"/>
  <sheetViews>
    <sheetView view="pageLayout" topLeftCell="A4" zoomScaleNormal="80" workbookViewId="0">
      <selection activeCell="B4" sqref="B4"/>
    </sheetView>
  </sheetViews>
  <sheetFormatPr defaultColWidth="9.1796875" defaultRowHeight="12.5" x14ac:dyDescent="0.25"/>
  <cols>
    <col min="1" max="1" width="1.7265625" style="1" customWidth="1"/>
    <col min="2" max="2" width="5.54296875" style="163" bestFit="1" customWidth="1"/>
    <col min="3" max="3" width="1.7265625" style="1" customWidth="1"/>
    <col min="4" max="4" width="46" style="99" bestFit="1" customWidth="1"/>
    <col min="5" max="5" width="1.7265625" style="1" customWidth="1"/>
    <col min="6" max="6" width="19.7265625" style="94" customWidth="1"/>
    <col min="7" max="7" width="1.7265625" style="94" customWidth="1"/>
    <col min="8" max="8" width="13.1796875" style="94" customWidth="1"/>
    <col min="9" max="9" width="1.7265625" style="94" customWidth="1"/>
    <col min="10" max="10" width="19.26953125" style="94" customWidth="1"/>
    <col min="11" max="11" width="1.7265625" style="94" customWidth="1"/>
    <col min="12" max="12" width="13.26953125" style="94" customWidth="1"/>
    <col min="13" max="13" width="1.7265625" style="1" customWidth="1"/>
    <col min="14" max="14" width="19.81640625" style="1" customWidth="1"/>
    <col min="15" max="15" width="1.7265625" style="187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hidden="1" customWidth="1"/>
    <col min="25" max="25" width="9.1796875" style="1"/>
    <col min="26" max="26" width="0" style="1" hidden="1" customWidth="1"/>
    <col min="27" max="27" width="9.54296875" style="1" bestFit="1" customWidth="1"/>
    <col min="28" max="28" width="9.1796875" style="1"/>
    <col min="29" max="29" width="12" style="73" customWidth="1"/>
    <col min="30" max="30" width="9.1796875" style="73"/>
    <col min="31" max="31" width="1.7265625" style="73" customWidth="1"/>
    <col min="32" max="32" width="11.453125" style="73" customWidth="1"/>
    <col min="33" max="33" width="2.1796875" style="73" customWidth="1"/>
    <col min="34" max="34" width="11.453125" style="73" customWidth="1"/>
    <col min="35" max="35" width="2" style="73" customWidth="1"/>
    <col min="36" max="36" width="11.453125" style="73" customWidth="1"/>
    <col min="37" max="37" width="1.81640625" style="73" customWidth="1"/>
    <col min="38" max="38" width="11.453125" style="73" customWidth="1"/>
    <col min="39" max="39" width="1.81640625" style="73" customWidth="1"/>
    <col min="40" max="40" width="12" style="73" customWidth="1"/>
    <col min="41" max="16384" width="9.1796875" style="1"/>
  </cols>
  <sheetData>
    <row r="5" spans="2:40" ht="15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</row>
    <row r="6" spans="2:40" ht="15" customHeight="1" x14ac:dyDescent="0.25">
      <c r="B6" s="264" t="s">
        <v>412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2:40" ht="15" customHeight="1" x14ac:dyDescent="0.25">
      <c r="B7" s="263" t="s">
        <v>451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</row>
    <row r="10" spans="2:40" x14ac:dyDescent="0.25">
      <c r="H10" s="91" t="s">
        <v>11</v>
      </c>
      <c r="J10" s="91" t="s">
        <v>153</v>
      </c>
      <c r="L10" s="91" t="s">
        <v>160</v>
      </c>
      <c r="N10" s="52" t="s">
        <v>8</v>
      </c>
      <c r="P10" s="265" t="s">
        <v>44</v>
      </c>
      <c r="Q10" s="265"/>
      <c r="R10" s="265"/>
      <c r="S10" s="265"/>
      <c r="T10" s="265"/>
      <c r="U10" s="3"/>
      <c r="Y10" s="24"/>
    </row>
    <row r="11" spans="2:40" x14ac:dyDescent="0.25">
      <c r="B11" s="163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52" t="s">
        <v>164</v>
      </c>
      <c r="P11" s="20"/>
      <c r="Q11" s="20"/>
      <c r="R11" s="2"/>
      <c r="S11" s="3"/>
      <c r="T11" s="2" t="s">
        <v>391</v>
      </c>
      <c r="U11" s="3"/>
      <c r="V11" s="20" t="s">
        <v>8</v>
      </c>
      <c r="Y11" s="24"/>
    </row>
    <row r="12" spans="2:40" ht="13" x14ac:dyDescent="0.3">
      <c r="B12" s="164" t="s">
        <v>4</v>
      </c>
      <c r="D12" s="5" t="s">
        <v>449</v>
      </c>
      <c r="F12" s="202" t="s">
        <v>5</v>
      </c>
      <c r="H12" s="202" t="s">
        <v>154</v>
      </c>
      <c r="J12" s="202" t="s">
        <v>6</v>
      </c>
      <c r="L12" s="202" t="s">
        <v>366</v>
      </c>
      <c r="N12" s="53" t="s">
        <v>6</v>
      </c>
      <c r="O12" s="189"/>
      <c r="P12" s="4" t="s">
        <v>46</v>
      </c>
      <c r="Q12" s="20"/>
      <c r="R12" s="4" t="s">
        <v>47</v>
      </c>
      <c r="S12" s="20"/>
      <c r="T12" s="4" t="s">
        <v>392</v>
      </c>
      <c r="U12" s="20"/>
      <c r="V12" s="4" t="s">
        <v>49</v>
      </c>
      <c r="X12" s="4" t="s">
        <v>11</v>
      </c>
      <c r="Y12" s="24"/>
      <c r="Z12" s="36" t="s">
        <v>107</v>
      </c>
      <c r="AB12" s="21"/>
    </row>
    <row r="13" spans="2:40" x14ac:dyDescent="0.25">
      <c r="F13" s="91" t="s">
        <v>12</v>
      </c>
      <c r="H13" s="91" t="s">
        <v>13</v>
      </c>
      <c r="J13" s="91" t="s">
        <v>14</v>
      </c>
      <c r="L13" s="91" t="s">
        <v>217</v>
      </c>
      <c r="N13" s="20" t="s">
        <v>15</v>
      </c>
      <c r="O13" s="186"/>
      <c r="P13" s="20" t="s">
        <v>16</v>
      </c>
      <c r="Q13" s="20"/>
      <c r="R13" s="20" t="s">
        <v>59</v>
      </c>
      <c r="S13" s="20"/>
      <c r="T13" s="20" t="s">
        <v>61</v>
      </c>
      <c r="U13" s="20"/>
      <c r="V13" s="20" t="s">
        <v>62</v>
      </c>
      <c r="X13" s="20" t="s">
        <v>163</v>
      </c>
      <c r="Y13" s="24"/>
      <c r="Z13" s="37"/>
    </row>
    <row r="14" spans="2:40" s="187" customFormat="1" x14ac:dyDescent="0.25">
      <c r="B14" s="186"/>
      <c r="F14" s="94"/>
      <c r="G14" s="94"/>
      <c r="H14" s="94"/>
      <c r="I14" s="94"/>
      <c r="J14" s="94"/>
      <c r="K14" s="94"/>
      <c r="L14" s="94"/>
      <c r="P14" s="187">
        <v>4</v>
      </c>
      <c r="R14" s="187">
        <v>6</v>
      </c>
      <c r="T14" s="187">
        <v>8</v>
      </c>
      <c r="V14" s="187">
        <v>10</v>
      </c>
      <c r="Y14" s="188"/>
      <c r="Z14" s="19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2:40" ht="13" x14ac:dyDescent="0.3">
      <c r="D15" s="6"/>
      <c r="E15" s="6"/>
      <c r="F15" s="219"/>
      <c r="Y15" s="24"/>
      <c r="Z15" s="35"/>
      <c r="AC15" s="2" t="s">
        <v>362</v>
      </c>
      <c r="AF15" s="2"/>
      <c r="AG15" s="2"/>
      <c r="AH15" s="2"/>
      <c r="AI15" s="2"/>
      <c r="AJ15" s="2" t="s">
        <v>45</v>
      </c>
      <c r="AK15" s="2"/>
      <c r="AL15" s="2" t="s">
        <v>8</v>
      </c>
      <c r="AM15" s="2"/>
      <c r="AN15" s="2"/>
    </row>
    <row r="16" spans="2:40" s="99" customFormat="1" ht="13" x14ac:dyDescent="0.3">
      <c r="B16" s="163"/>
      <c r="D16" s="6" t="s">
        <v>329</v>
      </c>
      <c r="E16" s="7"/>
      <c r="F16" s="220"/>
      <c r="G16" s="94"/>
      <c r="H16" s="94"/>
      <c r="I16" s="94"/>
      <c r="J16" s="94"/>
      <c r="K16" s="94"/>
      <c r="L16" s="94"/>
      <c r="O16" s="187"/>
      <c r="Y16" s="97"/>
      <c r="Z16" s="37"/>
      <c r="AC16" s="57" t="s">
        <v>363</v>
      </c>
      <c r="AD16" s="73"/>
      <c r="AE16" s="73"/>
      <c r="AF16" s="57" t="s">
        <v>46</v>
      </c>
      <c r="AG16" s="2"/>
      <c r="AH16" s="57" t="s">
        <v>47</v>
      </c>
      <c r="AI16" s="2"/>
      <c r="AJ16" s="57" t="s">
        <v>48</v>
      </c>
      <c r="AK16" s="2"/>
      <c r="AL16" s="57" t="s">
        <v>49</v>
      </c>
      <c r="AM16" s="2"/>
      <c r="AN16" s="57" t="s">
        <v>11</v>
      </c>
    </row>
    <row r="17" spans="2:40" s="99" customFormat="1" x14ac:dyDescent="0.25">
      <c r="B17" s="163"/>
      <c r="F17" s="94"/>
      <c r="G17" s="94"/>
      <c r="H17" s="94"/>
      <c r="I17" s="94"/>
      <c r="J17" s="94"/>
      <c r="K17" s="94"/>
      <c r="L17" s="94"/>
      <c r="O17" s="187"/>
      <c r="Y17" s="97"/>
      <c r="Z17" s="37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2:40" s="99" customFormat="1" ht="13" x14ac:dyDescent="0.3">
      <c r="B18" s="163">
        <v>1</v>
      </c>
      <c r="D18" s="99" t="s">
        <v>77</v>
      </c>
      <c r="F18" s="113">
        <f ca="1">Function!R18</f>
        <v>12712.975753678993</v>
      </c>
      <c r="G18" s="94"/>
      <c r="H18" s="113">
        <f ca="1">IF(K18&lt;&gt;0,OFFSET('Stor Factors'!$B$12,'Storage Class'!$K18-1,2),0)</f>
        <v>7.3027000000000006</v>
      </c>
      <c r="I18" s="94"/>
      <c r="J18" s="91" t="s">
        <v>301</v>
      </c>
      <c r="K18" s="91">
        <f>_xlfn.IFNA(MATCH(J18,'Stor Factors'!$B$13:$B$439,0),0)</f>
        <v>9</v>
      </c>
      <c r="L18" s="113">
        <f ca="1">F18-H18</f>
        <v>12705.673053678993</v>
      </c>
      <c r="N18" s="28" t="s">
        <v>50</v>
      </c>
      <c r="O18" s="186">
        <f>_xlfn.IFNA(MATCH(N18,'Stor Factors'!$B$13:$B$439,0),0)</f>
        <v>27</v>
      </c>
      <c r="P18" s="22">
        <f ca="1">OFFSET('Stor Factors'!$B$13,$O18-1,P$14)*$L18+OFFSET('Stor Factors'!$B$13,$K18-1,P$14)*$H18</f>
        <v>12712.975753678993</v>
      </c>
      <c r="Q18" s="97"/>
      <c r="R18" s="22">
        <f ca="1">OFFSET('Stor Factors'!$B$13,$O18-1,R$14)*$L18+OFFSET('Stor Factors'!$B$13,$K18-1,R$14)*$H18</f>
        <v>0</v>
      </c>
      <c r="S18" s="22"/>
      <c r="T18" s="22">
        <f ca="1">OFFSET('Stor Factors'!$B$13,$O18-1,T$14)*$L18+OFFSET('Stor Factors'!$B$13,$K18-1,T$14)*$H18</f>
        <v>0</v>
      </c>
      <c r="U18" s="22"/>
      <c r="V18" s="22">
        <f ca="1">OFFSET('Stor Factors'!$B$13,$O18-1,V$14)*$L18+OFFSET('Stor Factors'!$B$13,$K18-1,V$14)*$H18</f>
        <v>0</v>
      </c>
      <c r="X18" s="100">
        <f t="shared" ref="X18:X30" ca="1" si="0">P18+R18+T18+V18</f>
        <v>12712.975753678993</v>
      </c>
      <c r="Y18" s="97"/>
      <c r="Z18" s="35" t="str">
        <f ca="1">IF(ROUND(F18,4)=ROUND(X18,4), "", "check")</f>
        <v/>
      </c>
      <c r="AA18" s="97"/>
      <c r="AB18" s="22"/>
      <c r="AC18" s="235">
        <v>0</v>
      </c>
      <c r="AD18" s="73"/>
      <c r="AE18" s="73"/>
      <c r="AF18" s="235">
        <f ca="1">IFERROR(P18/$X18*$AC18,"")</f>
        <v>0</v>
      </c>
      <c r="AG18" s="238"/>
      <c r="AH18" s="235">
        <f ca="1">IFERROR(R18/$X18*$AC18,"")</f>
        <v>0</v>
      </c>
      <c r="AI18" s="238"/>
      <c r="AJ18" s="235">
        <f ca="1">IFERROR(T18/$X18*$AC18,"")</f>
        <v>0</v>
      </c>
      <c r="AK18" s="238"/>
      <c r="AL18" s="235">
        <f ca="1">IFERROR(V18/$X18*$AC18,"")</f>
        <v>0</v>
      </c>
      <c r="AM18" s="238"/>
      <c r="AN18" s="235">
        <f ca="1">SUM(AF18,AH18,AJ18,AL18)</f>
        <v>0</v>
      </c>
    </row>
    <row r="19" spans="2:40" s="99" customFormat="1" ht="13" x14ac:dyDescent="0.3">
      <c r="B19" s="163">
        <f>B18+1</f>
        <v>2</v>
      </c>
      <c r="D19" s="99" t="s">
        <v>76</v>
      </c>
      <c r="F19" s="113">
        <f ca="1">Function!R19</f>
        <v>76519.049630000023</v>
      </c>
      <c r="G19" s="94"/>
      <c r="H19" s="113"/>
      <c r="I19" s="94"/>
      <c r="J19" s="91"/>
      <c r="K19" s="91">
        <f>_xlfn.IFNA(MATCH(J19,'Stor Factors'!$B$13:$B$439,0),0)</f>
        <v>0</v>
      </c>
      <c r="L19" s="113">
        <f ca="1">F19-H19</f>
        <v>76519.049630000023</v>
      </c>
      <c r="N19" s="28" t="s">
        <v>395</v>
      </c>
      <c r="O19" s="186">
        <f>_xlfn.IFNA(MATCH(N19,'Stor Factors'!$B$13:$B$439,0),0)</f>
        <v>24</v>
      </c>
      <c r="P19" s="22">
        <f ca="1">OFFSET('Stor Factors'!$B$13,$O19-1,P$14)*$L19+OFFSET('Stor Factors'!$B$13,$K19-1,P$14)*$H19</f>
        <v>38259.524815000012</v>
      </c>
      <c r="Q19" s="97"/>
      <c r="R19" s="22">
        <f ca="1">OFFSET('Stor Factors'!$B$13,$O19-1,R$14)*$L19+OFFSET('Stor Factors'!$B$13,$K19-1,R$14)*$H19</f>
        <v>35265.804771383649</v>
      </c>
      <c r="S19" s="22"/>
      <c r="T19" s="22">
        <f ca="1">OFFSET('Stor Factors'!$B$13,$O19-1,T$14)*$L19+OFFSET('Stor Factors'!$B$13,$K19-1,T$14)*$H19</f>
        <v>2993.7200436163639</v>
      </c>
      <c r="U19" s="22"/>
      <c r="V19" s="22">
        <f ca="1">OFFSET('Stor Factors'!$B$13,$O19-1,V$14)*$L19+OFFSET('Stor Factors'!$B$13,$K19-1,V$14)*$H19</f>
        <v>0</v>
      </c>
      <c r="X19" s="100">
        <f t="shared" ca="1" si="0"/>
        <v>76519.049630000023</v>
      </c>
      <c r="Y19" s="97"/>
      <c r="Z19" s="35" t="str">
        <f t="shared" ref="Z19:Z32" ca="1" si="1">IF(ROUND(F19,4)=ROUND(X19,4), "", "check")</f>
        <v/>
      </c>
      <c r="AA19" s="97"/>
      <c r="AB19" s="22"/>
      <c r="AC19" s="235">
        <v>1136.576746100169</v>
      </c>
      <c r="AD19" s="73"/>
      <c r="AE19" s="73"/>
      <c r="AF19" s="235">
        <f t="shared" ref="AF19:AL30" ca="1" si="2">IFERROR(P19/$X19*$AC19,"")</f>
        <v>568.28837305008449</v>
      </c>
      <c r="AG19" s="238"/>
      <c r="AH19" s="235">
        <f t="shared" ca="1" si="2"/>
        <v>523.82111159870442</v>
      </c>
      <c r="AI19" s="238"/>
      <c r="AJ19" s="235">
        <f t="shared" ca="1" si="2"/>
        <v>44.467261451380125</v>
      </c>
      <c r="AK19" s="238"/>
      <c r="AL19" s="235">
        <f t="shared" ca="1" si="2"/>
        <v>0</v>
      </c>
      <c r="AM19" s="238"/>
      <c r="AN19" s="235">
        <f t="shared" ref="AN19:AN30" ca="1" si="3">SUM(AF19,AH19,AJ19,AL19)</f>
        <v>1136.5767461001692</v>
      </c>
    </row>
    <row r="20" spans="2:40" s="99" customFormat="1" ht="13" x14ac:dyDescent="0.3">
      <c r="B20" s="163">
        <f t="shared" ref="B20:B31" si="4">B19+1</f>
        <v>3</v>
      </c>
      <c r="D20" s="99" t="s">
        <v>19</v>
      </c>
      <c r="F20" s="113">
        <f ca="1">Function!R20</f>
        <v>83033.542008632023</v>
      </c>
      <c r="G20" s="94"/>
      <c r="H20" s="113">
        <f ca="1">IF(K20&lt;&gt;0,OFFSET('Stor Factors'!$B$12,'Storage Class'!$K20-1,2),0)</f>
        <v>8437.2249179863848</v>
      </c>
      <c r="I20" s="94"/>
      <c r="J20" s="91" t="s">
        <v>359</v>
      </c>
      <c r="K20" s="91">
        <f>_xlfn.IFNA(MATCH(J20,'Stor Factors'!$B$13:$B$439,0),0)</f>
        <v>15</v>
      </c>
      <c r="L20" s="113">
        <f t="shared" ref="L20:L30" ca="1" si="5">F20-H20</f>
        <v>74596.317090645636</v>
      </c>
      <c r="M20" s="97"/>
      <c r="N20" s="28" t="s">
        <v>50</v>
      </c>
      <c r="O20" s="186">
        <f>_xlfn.IFNA(MATCH(N20,'Stor Factors'!$B$13:$B$439,0),0)</f>
        <v>27</v>
      </c>
      <c r="P20" s="22">
        <f ca="1">OFFSET('Stor Factors'!$B$13,$O20-1,P$14)*$L20+OFFSET('Stor Factors'!$B$13,$K20-1,P$14)*$H20</f>
        <v>83033.542008632023</v>
      </c>
      <c r="Q20" s="97"/>
      <c r="R20" s="22">
        <f ca="1">OFFSET('Stor Factors'!$B$13,$O20-1,R$14)*$L20+OFFSET('Stor Factors'!$B$13,$K20-1,R$14)*$H20</f>
        <v>0</v>
      </c>
      <c r="S20" s="22"/>
      <c r="T20" s="22">
        <f ca="1">OFFSET('Stor Factors'!$B$13,$O20-1,T$14)*$L20+OFFSET('Stor Factors'!$B$13,$K20-1,T$14)*$H20</f>
        <v>0</v>
      </c>
      <c r="U20" s="22"/>
      <c r="V20" s="22">
        <f ca="1">OFFSET('Stor Factors'!$B$13,$O20-1,V$14)*$L20+OFFSET('Stor Factors'!$B$13,$K20-1,V$14)*$H20</f>
        <v>0</v>
      </c>
      <c r="X20" s="100">
        <f t="shared" ca="1" si="0"/>
        <v>83033.542008632023</v>
      </c>
      <c r="Y20" s="97"/>
      <c r="Z20" s="35" t="str">
        <f t="shared" ca="1" si="1"/>
        <v/>
      </c>
      <c r="AA20" s="97"/>
      <c r="AB20" s="22"/>
      <c r="AC20" s="235">
        <v>3150.211616677891</v>
      </c>
      <c r="AD20" s="73"/>
      <c r="AE20" s="73"/>
      <c r="AF20" s="235">
        <f t="shared" ca="1" si="2"/>
        <v>3150.211616677891</v>
      </c>
      <c r="AG20" s="238"/>
      <c r="AH20" s="235">
        <f t="shared" ca="1" si="2"/>
        <v>0</v>
      </c>
      <c r="AI20" s="238"/>
      <c r="AJ20" s="235">
        <f t="shared" ca="1" si="2"/>
        <v>0</v>
      </c>
      <c r="AK20" s="238"/>
      <c r="AL20" s="235">
        <f t="shared" ca="1" si="2"/>
        <v>0</v>
      </c>
      <c r="AM20" s="238"/>
      <c r="AN20" s="235">
        <f t="shared" ca="1" si="3"/>
        <v>3150.211616677891</v>
      </c>
    </row>
    <row r="21" spans="2:40" s="99" customFormat="1" ht="13" x14ac:dyDescent="0.3">
      <c r="B21" s="163">
        <f t="shared" si="4"/>
        <v>4</v>
      </c>
      <c r="D21" s="99" t="s">
        <v>21</v>
      </c>
      <c r="F21" s="113">
        <f ca="1">Function!R21</f>
        <v>37640.926755705739</v>
      </c>
      <c r="G21" s="94"/>
      <c r="H21" s="113"/>
      <c r="I21" s="94"/>
      <c r="J21" s="91"/>
      <c r="K21" s="91">
        <f>_xlfn.IFNA(MATCH(J21,'Stor Factors'!$B$13:$B$439,0),0)</f>
        <v>0</v>
      </c>
      <c r="L21" s="113">
        <f t="shared" ca="1" si="5"/>
        <v>37640.926755705739</v>
      </c>
      <c r="M21" s="97"/>
      <c r="N21" s="28" t="s">
        <v>50</v>
      </c>
      <c r="O21" s="186">
        <f>_xlfn.IFNA(MATCH(N21,'Stor Factors'!$B$13:$B$439,0),0)</f>
        <v>27</v>
      </c>
      <c r="P21" s="22">
        <f ca="1">OFFSET('Stor Factors'!$B$13,$O21-1,P$14)*$L21+OFFSET('Stor Factors'!$B$13,$K21-1,P$14)*$H21</f>
        <v>37640.926755705739</v>
      </c>
      <c r="Q21" s="97"/>
      <c r="R21" s="22">
        <f ca="1">OFFSET('Stor Factors'!$B$13,$O21-1,R$14)*$L21+OFFSET('Stor Factors'!$B$13,$K21-1,R$14)*$H21</f>
        <v>0</v>
      </c>
      <c r="S21" s="22"/>
      <c r="T21" s="22">
        <f ca="1">OFFSET('Stor Factors'!$B$13,$O21-1,T$14)*$L21+OFFSET('Stor Factors'!$B$13,$K21-1,T$14)*$H21</f>
        <v>0</v>
      </c>
      <c r="U21" s="22"/>
      <c r="V21" s="22">
        <f ca="1">OFFSET('Stor Factors'!$B$13,$O21-1,V$14)*$L21+OFFSET('Stor Factors'!$B$13,$K21-1,V$14)*$H21</f>
        <v>0</v>
      </c>
      <c r="X21" s="100">
        <f t="shared" ca="1" si="0"/>
        <v>37640.926755705739</v>
      </c>
      <c r="Y21" s="97"/>
      <c r="Z21" s="35" t="str">
        <f t="shared" ca="1" si="1"/>
        <v/>
      </c>
      <c r="AA21" s="97"/>
      <c r="AB21" s="22"/>
      <c r="AC21" s="235">
        <v>982.0897089046365</v>
      </c>
      <c r="AD21" s="73"/>
      <c r="AE21" s="73"/>
      <c r="AF21" s="235">
        <f t="shared" ca="1" si="2"/>
        <v>982.0897089046365</v>
      </c>
      <c r="AG21" s="238"/>
      <c r="AH21" s="235">
        <f t="shared" ca="1" si="2"/>
        <v>0</v>
      </c>
      <c r="AI21" s="238"/>
      <c r="AJ21" s="235">
        <f t="shared" ca="1" si="2"/>
        <v>0</v>
      </c>
      <c r="AK21" s="238"/>
      <c r="AL21" s="235">
        <f t="shared" ca="1" si="2"/>
        <v>0</v>
      </c>
      <c r="AM21" s="238"/>
      <c r="AN21" s="235">
        <f t="shared" ca="1" si="3"/>
        <v>982.0897089046365</v>
      </c>
    </row>
    <row r="22" spans="2:40" s="99" customFormat="1" ht="13" x14ac:dyDescent="0.3">
      <c r="B22" s="163">
        <f t="shared" si="4"/>
        <v>5</v>
      </c>
      <c r="D22" s="99" t="s">
        <v>23</v>
      </c>
      <c r="F22" s="113">
        <f ca="1">Function!R22</f>
        <v>0</v>
      </c>
      <c r="G22" s="94"/>
      <c r="H22" s="113"/>
      <c r="I22" s="94"/>
      <c r="J22" s="91"/>
      <c r="K22" s="91">
        <f>_xlfn.IFNA(MATCH(J22,'Stor Factors'!$B$13:$B$439,0),0)</f>
        <v>0</v>
      </c>
      <c r="L22" s="113">
        <f t="shared" ca="1" si="5"/>
        <v>0</v>
      </c>
      <c r="M22" s="97"/>
      <c r="N22" s="28"/>
      <c r="O22" s="186">
        <f>_xlfn.IFNA(MATCH(N22,'Stor Factors'!$B$13:$B$439,0),0)</f>
        <v>0</v>
      </c>
      <c r="P22" s="22">
        <f ca="1">OFFSET('Stor Factors'!$B$13,$O22-1,P$14)*$L22+OFFSET('Stor Factors'!$B$13,$K22-1,P$14)*$H22</f>
        <v>0</v>
      </c>
      <c r="Q22" s="97"/>
      <c r="R22" s="22">
        <f ca="1">OFFSET('Stor Factors'!$B$13,$O22-1,R$14)*$L22+OFFSET('Stor Factors'!$B$13,$K22-1,R$14)*$H22</f>
        <v>0</v>
      </c>
      <c r="S22" s="22"/>
      <c r="T22" s="22">
        <f ca="1">OFFSET('Stor Factors'!$B$13,$O22-1,T$14)*$L22+OFFSET('Stor Factors'!$B$13,$K22-1,T$14)*$H22</f>
        <v>0</v>
      </c>
      <c r="U22" s="22"/>
      <c r="V22" s="22">
        <f ca="1">OFFSET('Stor Factors'!$B$13,$O22-1,V$14)*$L22+OFFSET('Stor Factors'!$B$13,$K22-1,V$14)*$H22</f>
        <v>0</v>
      </c>
      <c r="X22" s="100">
        <f t="shared" ca="1" si="0"/>
        <v>0</v>
      </c>
      <c r="Y22" s="97"/>
      <c r="Z22" s="35" t="str">
        <f t="shared" ca="1" si="1"/>
        <v/>
      </c>
      <c r="AA22" s="97"/>
      <c r="AB22" s="22"/>
      <c r="AC22" s="235">
        <v>0</v>
      </c>
      <c r="AD22" s="73"/>
      <c r="AE22" s="73"/>
      <c r="AF22" s="235" t="str">
        <f t="shared" ca="1" si="2"/>
        <v/>
      </c>
      <c r="AG22" s="238"/>
      <c r="AH22" s="235" t="str">
        <f t="shared" ca="1" si="2"/>
        <v/>
      </c>
      <c r="AI22" s="238"/>
      <c r="AJ22" s="235" t="str">
        <f t="shared" ca="1" si="2"/>
        <v/>
      </c>
      <c r="AK22" s="238"/>
      <c r="AL22" s="235" t="str">
        <f t="shared" ca="1" si="2"/>
        <v/>
      </c>
      <c r="AM22" s="238"/>
      <c r="AN22" s="235">
        <f t="shared" ca="1" si="3"/>
        <v>0</v>
      </c>
    </row>
    <row r="23" spans="2:40" s="99" customFormat="1" ht="13" x14ac:dyDescent="0.3">
      <c r="B23" s="163">
        <f t="shared" si="4"/>
        <v>6</v>
      </c>
      <c r="D23" s="99" t="s">
        <v>25</v>
      </c>
      <c r="F23" s="113">
        <f ca="1">Function!R23</f>
        <v>373232.12316475576</v>
      </c>
      <c r="G23" s="94"/>
      <c r="H23" s="113"/>
      <c r="I23" s="94"/>
      <c r="J23" s="94"/>
      <c r="K23" s="91">
        <f>_xlfn.IFNA(MATCH(J23,'Stor Factors'!$B$13:$B$439,0),0)</f>
        <v>0</v>
      </c>
      <c r="L23" s="113">
        <f t="shared" ca="1" si="5"/>
        <v>373232.12316475576</v>
      </c>
      <c r="M23" s="97"/>
      <c r="N23" s="28" t="s">
        <v>50</v>
      </c>
      <c r="O23" s="186">
        <f>_xlfn.IFNA(MATCH(N23,'Stor Factors'!$B$13:$B$439,0),0)</f>
        <v>27</v>
      </c>
      <c r="P23" s="22">
        <f ca="1">OFFSET('Stor Factors'!$B$13,$O23-1,P$14)*$L23+OFFSET('Stor Factors'!$B$13,$K23-1,P$14)*$H23</f>
        <v>373232.12316475576</v>
      </c>
      <c r="Q23" s="97"/>
      <c r="R23" s="22">
        <f ca="1">OFFSET('Stor Factors'!$B$13,$O23-1,R$14)*$L23+OFFSET('Stor Factors'!$B$13,$K23-1,R$14)*$H23</f>
        <v>0</v>
      </c>
      <c r="S23" s="22"/>
      <c r="T23" s="22">
        <f ca="1">OFFSET('Stor Factors'!$B$13,$O23-1,T$14)*$L23+OFFSET('Stor Factors'!$B$13,$K23-1,T$14)*$H23</f>
        <v>0</v>
      </c>
      <c r="U23" s="22"/>
      <c r="V23" s="22">
        <f ca="1">OFFSET('Stor Factors'!$B$13,$O23-1,V$14)*$L23+OFFSET('Stor Factors'!$B$13,$K23-1,V$14)*$H23</f>
        <v>0</v>
      </c>
      <c r="X23" s="100">
        <f t="shared" ca="1" si="0"/>
        <v>373232.12316475576</v>
      </c>
      <c r="Y23" s="97"/>
      <c r="Z23" s="35" t="str">
        <f t="shared" ca="1" si="1"/>
        <v/>
      </c>
      <c r="AA23" s="97"/>
      <c r="AB23" s="22"/>
      <c r="AC23" s="235">
        <v>10771.441128431839</v>
      </c>
      <c r="AD23" s="73"/>
      <c r="AE23" s="73"/>
      <c r="AF23" s="235">
        <f t="shared" ca="1" si="2"/>
        <v>10771.441128431839</v>
      </c>
      <c r="AG23" s="238"/>
      <c r="AH23" s="235">
        <f t="shared" ca="1" si="2"/>
        <v>0</v>
      </c>
      <c r="AI23" s="238"/>
      <c r="AJ23" s="235">
        <f t="shared" ca="1" si="2"/>
        <v>0</v>
      </c>
      <c r="AK23" s="238"/>
      <c r="AL23" s="235">
        <f t="shared" ca="1" si="2"/>
        <v>0</v>
      </c>
      <c r="AM23" s="238"/>
      <c r="AN23" s="235">
        <f t="shared" ca="1" si="3"/>
        <v>10771.441128431839</v>
      </c>
    </row>
    <row r="24" spans="2:40" s="99" customFormat="1" ht="13" x14ac:dyDescent="0.3">
      <c r="B24" s="163">
        <f t="shared" si="4"/>
        <v>7</v>
      </c>
      <c r="D24" s="99" t="s">
        <v>27</v>
      </c>
      <c r="F24" s="113">
        <f ca="1">Function!R24</f>
        <v>32021.043297775072</v>
      </c>
      <c r="G24" s="94"/>
      <c r="H24" s="113">
        <f ca="1">IF(K24&lt;&gt;0,OFFSET('Stor Factors'!$B$12,'Storage Class'!$K24-1,2),0)</f>
        <v>32021.043297775072</v>
      </c>
      <c r="I24" s="94"/>
      <c r="J24" s="91" t="s">
        <v>302</v>
      </c>
      <c r="K24" s="91">
        <f>_xlfn.IFNA(MATCH(J24,'Stor Factors'!$B$13:$B$439,0),0)</f>
        <v>3</v>
      </c>
      <c r="L24" s="113">
        <f t="shared" ca="1" si="5"/>
        <v>0</v>
      </c>
      <c r="M24" s="97"/>
      <c r="N24" s="28" t="s">
        <v>50</v>
      </c>
      <c r="O24" s="186">
        <f>_xlfn.IFNA(MATCH(N24,'Stor Factors'!$B$13:$B$439,0),0)</f>
        <v>27</v>
      </c>
      <c r="P24" s="22">
        <f ca="1">OFFSET('Stor Factors'!$B$13,$O24-1,P$14)*$L24+OFFSET('Stor Factors'!$B$13,$K24-1,P$14)*$H24</f>
        <v>32021.043297775072</v>
      </c>
      <c r="Q24" s="97"/>
      <c r="R24" s="22">
        <f ca="1">OFFSET('Stor Factors'!$B$13,$O24-1,R$14)*$L24+OFFSET('Stor Factors'!$B$13,$K24-1,R$14)*$H24</f>
        <v>0</v>
      </c>
      <c r="S24" s="22"/>
      <c r="T24" s="22">
        <f ca="1">OFFSET('Stor Factors'!$B$13,$O24-1,T$14)*$L24+OFFSET('Stor Factors'!$B$13,$K24-1,T$14)*$H24</f>
        <v>0</v>
      </c>
      <c r="U24" s="22"/>
      <c r="V24" s="22">
        <f ca="1">OFFSET('Stor Factors'!$B$13,$O24-1,V$14)*$L24+OFFSET('Stor Factors'!$B$13,$K24-1,V$14)*$H24</f>
        <v>0</v>
      </c>
      <c r="X24" s="100">
        <f t="shared" ca="1" si="0"/>
        <v>32021.043297775072</v>
      </c>
      <c r="Y24" s="97"/>
      <c r="Z24" s="35" t="str">
        <f t="shared" ca="1" si="1"/>
        <v/>
      </c>
      <c r="AA24" s="97"/>
      <c r="AB24" s="22"/>
      <c r="AC24" s="235">
        <v>332.80748019692288</v>
      </c>
      <c r="AD24" s="73"/>
      <c r="AE24" s="73"/>
      <c r="AF24" s="235">
        <f t="shared" ca="1" si="2"/>
        <v>332.80748019692288</v>
      </c>
      <c r="AG24" s="73"/>
      <c r="AH24" s="235">
        <f t="shared" ca="1" si="2"/>
        <v>0</v>
      </c>
      <c r="AI24" s="238"/>
      <c r="AJ24" s="235">
        <f t="shared" ca="1" si="2"/>
        <v>0</v>
      </c>
      <c r="AK24" s="238"/>
      <c r="AL24" s="235">
        <f t="shared" ca="1" si="2"/>
        <v>0</v>
      </c>
      <c r="AM24" s="238"/>
      <c r="AN24" s="235">
        <f t="shared" ca="1" si="3"/>
        <v>332.80748019692288</v>
      </c>
    </row>
    <row r="25" spans="2:40" s="99" customFormat="1" ht="13" x14ac:dyDescent="0.3">
      <c r="B25" s="163">
        <f t="shared" si="4"/>
        <v>8</v>
      </c>
      <c r="D25" s="99" t="s">
        <v>29</v>
      </c>
      <c r="F25" s="113">
        <f ca="1">Function!R25</f>
        <v>456026.53656905453</v>
      </c>
      <c r="G25" s="94"/>
      <c r="H25" s="113"/>
      <c r="I25" s="94"/>
      <c r="J25" s="94"/>
      <c r="K25" s="91">
        <f>_xlfn.IFNA(MATCH(J25,'Stor Factors'!$B$13:$B$439,0),0)</f>
        <v>0</v>
      </c>
      <c r="L25" s="113">
        <f t="shared" ca="1" si="5"/>
        <v>456026.53656905453</v>
      </c>
      <c r="M25" s="97"/>
      <c r="N25" s="28" t="s">
        <v>395</v>
      </c>
      <c r="O25" s="186">
        <f>_xlfn.IFNA(MATCH(N25,'Stor Factors'!$B$13:$B$439,0),0)</f>
        <v>24</v>
      </c>
      <c r="P25" s="22">
        <f ca="1">OFFSET('Stor Factors'!$B$13,$O25-1,P$14)*$L25+OFFSET('Stor Factors'!$B$13,$K25-1,P$14)*$H25</f>
        <v>228013.26828452726</v>
      </c>
      <c r="Q25" s="97"/>
      <c r="R25" s="22">
        <f ca="1">OFFSET('Stor Factors'!$B$13,$O25-1,R$14)*$L25+OFFSET('Stor Factors'!$B$13,$K25-1,R$14)*$H25</f>
        <v>210171.75313831089</v>
      </c>
      <c r="S25" s="22"/>
      <c r="T25" s="22">
        <f ca="1">OFFSET('Stor Factors'!$B$13,$O25-1,T$14)*$L25+OFFSET('Stor Factors'!$B$13,$K25-1,T$14)*$H25</f>
        <v>17841.515146216392</v>
      </c>
      <c r="U25" s="22"/>
      <c r="V25" s="22">
        <f ca="1">OFFSET('Stor Factors'!$B$13,$O25-1,V$14)*$L25+OFFSET('Stor Factors'!$B$13,$K25-1,V$14)*$H25</f>
        <v>0</v>
      </c>
      <c r="X25" s="100">
        <f t="shared" ca="1" si="0"/>
        <v>456026.53656905453</v>
      </c>
      <c r="Y25" s="97"/>
      <c r="Z25" s="35" t="str">
        <f t="shared" ca="1" si="1"/>
        <v/>
      </c>
      <c r="AA25" s="97"/>
      <c r="AB25" s="22"/>
      <c r="AC25" s="235">
        <v>13929.300439510342</v>
      </c>
      <c r="AD25" s="73"/>
      <c r="AE25" s="73"/>
      <c r="AF25" s="235">
        <f t="shared" ca="1" si="2"/>
        <v>6964.6502197551708</v>
      </c>
      <c r="AG25" s="73"/>
      <c r="AH25" s="235">
        <f t="shared" ca="1" si="2"/>
        <v>6419.6823180241063</v>
      </c>
      <c r="AI25" s="238"/>
      <c r="AJ25" s="235">
        <f t="shared" ca="1" si="2"/>
        <v>544.96790173106501</v>
      </c>
      <c r="AK25" s="238"/>
      <c r="AL25" s="235">
        <f t="shared" ca="1" si="2"/>
        <v>0</v>
      </c>
      <c r="AM25" s="238"/>
      <c r="AN25" s="235">
        <f t="shared" ca="1" si="3"/>
        <v>13929.300439510342</v>
      </c>
    </row>
    <row r="26" spans="2:40" s="99" customFormat="1" ht="13" x14ac:dyDescent="0.3">
      <c r="B26" s="163">
        <f t="shared" si="4"/>
        <v>9</v>
      </c>
      <c r="D26" s="99" t="s">
        <v>30</v>
      </c>
      <c r="F26" s="113">
        <f ca="1">Function!R26</f>
        <v>69492.406220965684</v>
      </c>
      <c r="G26" s="94"/>
      <c r="H26" s="113"/>
      <c r="I26" s="94"/>
      <c r="J26" s="94"/>
      <c r="K26" s="91">
        <f>_xlfn.IFNA(MATCH(J26,'Stor Factors'!$B$13:$B$439,0),0)</f>
        <v>0</v>
      </c>
      <c r="L26" s="113">
        <f t="shared" ca="1" si="5"/>
        <v>69492.406220965684</v>
      </c>
      <c r="M26" s="97"/>
      <c r="N26" s="28" t="s">
        <v>396</v>
      </c>
      <c r="O26" s="186">
        <f>_xlfn.IFNA(MATCH(N26,'Stor Factors'!$B$13:$B$439,0),0)</f>
        <v>36</v>
      </c>
      <c r="P26" s="22">
        <f ca="1">OFFSET('Stor Factors'!$B$13,$O26-1,P$14)*$L26+OFFSET('Stor Factors'!$B$13,$K26-1,P$14)*$H26</f>
        <v>0</v>
      </c>
      <c r="Q26" s="97"/>
      <c r="R26" s="22">
        <f ca="1">OFFSET('Stor Factors'!$B$13,$O26-1,R$14)*$L26+OFFSET('Stor Factors'!$B$13,$K26-1,R$14)*$H26</f>
        <v>64054.784860303334</v>
      </c>
      <c r="S26" s="22"/>
      <c r="T26" s="22">
        <f ca="1">OFFSET('Stor Factors'!$B$13,$O26-1,T$14)*$L26+OFFSET('Stor Factors'!$B$13,$K26-1,T$14)*$H26</f>
        <v>5437.6213606623542</v>
      </c>
      <c r="U26" s="22"/>
      <c r="V26" s="22">
        <f ca="1">OFFSET('Stor Factors'!$B$13,$O26-1,V$14)*$L26+OFFSET('Stor Factors'!$B$13,$K26-1,V$14)*$H26</f>
        <v>0</v>
      </c>
      <c r="X26" s="100">
        <f t="shared" ca="1" si="0"/>
        <v>69492.406220965684</v>
      </c>
      <c r="Y26" s="97"/>
      <c r="Z26" s="35" t="str">
        <f t="shared" ca="1" si="1"/>
        <v/>
      </c>
      <c r="AA26" s="97"/>
      <c r="AB26" s="22"/>
      <c r="AC26" s="235">
        <v>0</v>
      </c>
      <c r="AD26" s="73"/>
      <c r="AE26" s="73"/>
      <c r="AF26" s="235">
        <f t="shared" ca="1" si="2"/>
        <v>0</v>
      </c>
      <c r="AG26" s="73"/>
      <c r="AH26" s="235">
        <f t="shared" ca="1" si="2"/>
        <v>0</v>
      </c>
      <c r="AI26" s="238"/>
      <c r="AJ26" s="235">
        <f t="shared" ca="1" si="2"/>
        <v>0</v>
      </c>
      <c r="AK26" s="238"/>
      <c r="AL26" s="235">
        <f t="shared" ca="1" si="2"/>
        <v>0</v>
      </c>
      <c r="AM26" s="238"/>
      <c r="AN26" s="235">
        <f t="shared" ca="1" si="3"/>
        <v>0</v>
      </c>
    </row>
    <row r="27" spans="2:40" s="99" customFormat="1" ht="13" x14ac:dyDescent="0.3">
      <c r="B27" s="163">
        <f t="shared" si="4"/>
        <v>10</v>
      </c>
      <c r="D27" s="99" t="s">
        <v>31</v>
      </c>
      <c r="F27" s="113">
        <f ca="1">Function!R27</f>
        <v>0</v>
      </c>
      <c r="G27" s="94"/>
      <c r="H27" s="113"/>
      <c r="I27" s="94"/>
      <c r="J27" s="94"/>
      <c r="K27" s="91">
        <f>_xlfn.IFNA(MATCH(J27,'Stor Factors'!$B$13:$B$439,0),0)</f>
        <v>0</v>
      </c>
      <c r="L27" s="113">
        <f t="shared" ca="1" si="5"/>
        <v>0</v>
      </c>
      <c r="M27" s="97"/>
      <c r="N27" s="28"/>
      <c r="O27" s="186">
        <f>_xlfn.IFNA(MATCH(N27,'Stor Factors'!$B$13:$B$439,0),0)</f>
        <v>0</v>
      </c>
      <c r="P27" s="22">
        <f ca="1">OFFSET('Stor Factors'!$B$13,$O27-1,P$14)*$L27+OFFSET('Stor Factors'!$B$13,$K27-1,P$14)*$H27</f>
        <v>0</v>
      </c>
      <c r="Q27" s="97"/>
      <c r="R27" s="22">
        <f ca="1">OFFSET('Stor Factors'!$B$13,$O27-1,R$14)*$L27+OFFSET('Stor Factors'!$B$13,$K27-1,R$14)*$H27</f>
        <v>0</v>
      </c>
      <c r="S27" s="22"/>
      <c r="T27" s="22">
        <f ca="1">OFFSET('Stor Factors'!$B$13,$O27-1,T$14)*$L27+OFFSET('Stor Factors'!$B$13,$K27-1,T$14)*$H27</f>
        <v>0</v>
      </c>
      <c r="U27" s="22"/>
      <c r="V27" s="22">
        <f ca="1">OFFSET('Stor Factors'!$B$13,$O27-1,V$14)*$L27+OFFSET('Stor Factors'!$B$13,$K27-1,V$14)*$H27</f>
        <v>0</v>
      </c>
      <c r="X27" s="100">
        <f t="shared" ca="1" si="0"/>
        <v>0</v>
      </c>
      <c r="Y27" s="97"/>
      <c r="Z27" s="35" t="str">
        <f t="shared" ca="1" si="1"/>
        <v/>
      </c>
      <c r="AA27" s="97"/>
      <c r="AB27" s="22"/>
      <c r="AC27" s="235">
        <v>0</v>
      </c>
      <c r="AD27" s="73"/>
      <c r="AE27" s="73"/>
      <c r="AF27" s="235" t="str">
        <f t="shared" ca="1" si="2"/>
        <v/>
      </c>
      <c r="AG27" s="73"/>
      <c r="AH27" s="235" t="str">
        <f t="shared" ca="1" si="2"/>
        <v/>
      </c>
      <c r="AI27" s="238"/>
      <c r="AJ27" s="235" t="str">
        <f t="shared" ca="1" si="2"/>
        <v/>
      </c>
      <c r="AK27" s="238">
        <v>0</v>
      </c>
      <c r="AL27" s="235" t="str">
        <f t="shared" ca="1" si="2"/>
        <v/>
      </c>
      <c r="AM27" s="238"/>
      <c r="AN27" s="235">
        <f t="shared" ca="1" si="3"/>
        <v>0</v>
      </c>
    </row>
    <row r="28" spans="2:40" s="99" customFormat="1" ht="13" x14ac:dyDescent="0.3">
      <c r="B28" s="163">
        <f t="shared" si="4"/>
        <v>11</v>
      </c>
      <c r="D28" s="99" t="s">
        <v>327</v>
      </c>
      <c r="F28" s="113">
        <f ca="1">Function!R28</f>
        <v>0</v>
      </c>
      <c r="G28" s="94"/>
      <c r="H28" s="113"/>
      <c r="I28" s="94"/>
      <c r="J28" s="94"/>
      <c r="K28" s="91">
        <f>_xlfn.IFNA(MATCH(J28,'Stor Factors'!$B$13:$B$439,0),0)</f>
        <v>0</v>
      </c>
      <c r="L28" s="113">
        <f t="shared" ca="1" si="5"/>
        <v>0</v>
      </c>
      <c r="M28" s="97"/>
      <c r="N28" s="28"/>
      <c r="O28" s="186">
        <f>_xlfn.IFNA(MATCH(N28,'Stor Factors'!$B$13:$B$439,0),0)</f>
        <v>0</v>
      </c>
      <c r="P28" s="22">
        <f ca="1">OFFSET('Stor Factors'!$B$13,$O28-1,P$14)*$L28+OFFSET('Stor Factors'!$B$13,$K28-1,P$14)*$H28</f>
        <v>0</v>
      </c>
      <c r="Q28" s="97"/>
      <c r="R28" s="22">
        <f ca="1">OFFSET('Stor Factors'!$B$13,$O28-1,R$14)*$L28+OFFSET('Stor Factors'!$B$13,$K28-1,R$14)*$H28</f>
        <v>0</v>
      </c>
      <c r="S28" s="22"/>
      <c r="T28" s="22">
        <f ca="1">OFFSET('Stor Factors'!$B$13,$O28-1,T$14)*$L28+OFFSET('Stor Factors'!$B$13,$K28-1,T$14)*$H28</f>
        <v>0</v>
      </c>
      <c r="U28" s="22"/>
      <c r="V28" s="22">
        <f ca="1">OFFSET('Stor Factors'!$B$13,$O28-1,V$14)*$L28+OFFSET('Stor Factors'!$B$13,$K28-1,V$14)*$H28</f>
        <v>0</v>
      </c>
      <c r="X28" s="100">
        <f t="shared" ca="1" si="0"/>
        <v>0</v>
      </c>
      <c r="Y28" s="97"/>
      <c r="Z28" s="35" t="str">
        <f t="shared" ca="1" si="1"/>
        <v/>
      </c>
      <c r="AA28" s="97"/>
      <c r="AB28" s="22"/>
      <c r="AC28" s="235">
        <v>0</v>
      </c>
      <c r="AD28" s="73"/>
      <c r="AE28" s="73"/>
      <c r="AF28" s="235" t="str">
        <f t="shared" ca="1" si="2"/>
        <v/>
      </c>
      <c r="AG28" s="73"/>
      <c r="AH28" s="235" t="str">
        <f t="shared" ca="1" si="2"/>
        <v/>
      </c>
      <c r="AI28" s="238"/>
      <c r="AJ28" s="235" t="str">
        <f t="shared" ca="1" si="2"/>
        <v/>
      </c>
      <c r="AK28" s="238"/>
      <c r="AL28" s="235" t="str">
        <f t="shared" ca="1" si="2"/>
        <v/>
      </c>
      <c r="AM28" s="238"/>
      <c r="AN28" s="235">
        <f t="shared" ca="1" si="3"/>
        <v>0</v>
      </c>
    </row>
    <row r="29" spans="2:40" s="99" customFormat="1" ht="13" x14ac:dyDescent="0.3">
      <c r="B29" s="163">
        <f>B28+1</f>
        <v>12</v>
      </c>
      <c r="D29" s="99" t="s">
        <v>34</v>
      </c>
      <c r="F29" s="113">
        <f ca="1">Function!R29</f>
        <v>0</v>
      </c>
      <c r="G29" s="94"/>
      <c r="H29" s="113"/>
      <c r="I29" s="94"/>
      <c r="J29" s="94"/>
      <c r="K29" s="91">
        <f>_xlfn.IFNA(MATCH(J29,'Stor Factors'!$B$13:$B$439,0),0)</f>
        <v>0</v>
      </c>
      <c r="L29" s="113">
        <f t="shared" ca="1" si="5"/>
        <v>0</v>
      </c>
      <c r="M29" s="97"/>
      <c r="N29" s="28"/>
      <c r="O29" s="186">
        <f>_xlfn.IFNA(MATCH(N29,'Stor Factors'!$B$13:$B$439,0),0)</f>
        <v>0</v>
      </c>
      <c r="P29" s="22">
        <f ca="1">OFFSET('Stor Factors'!$B$13,$O29-1,P$14)*$L29+OFFSET('Stor Factors'!$B$13,$K29-1,P$14)*$H29</f>
        <v>0</v>
      </c>
      <c r="Q29" s="97"/>
      <c r="R29" s="22">
        <f ca="1">OFFSET('Stor Factors'!$B$13,$O29-1,R$14)*$L29+OFFSET('Stor Factors'!$B$13,$K29-1,R$14)*$H29</f>
        <v>0</v>
      </c>
      <c r="S29" s="22"/>
      <c r="T29" s="22">
        <f ca="1">OFFSET('Stor Factors'!$B$13,$O29-1,T$14)*$L29+OFFSET('Stor Factors'!$B$13,$K29-1,T$14)*$H29</f>
        <v>0</v>
      </c>
      <c r="U29" s="22"/>
      <c r="V29" s="22">
        <f ca="1">OFFSET('Stor Factors'!$B$13,$O29-1,V$14)*$L29+OFFSET('Stor Factors'!$B$13,$K29-1,V$14)*$H29</f>
        <v>0</v>
      </c>
      <c r="X29" s="100">
        <f t="shared" ca="1" si="0"/>
        <v>0</v>
      </c>
      <c r="Y29" s="97"/>
      <c r="Z29" s="35" t="str">
        <f t="shared" ca="1" si="1"/>
        <v/>
      </c>
      <c r="AA29" s="97"/>
      <c r="AB29" s="22"/>
      <c r="AC29" s="235">
        <v>0</v>
      </c>
      <c r="AD29" s="73"/>
      <c r="AE29" s="73"/>
      <c r="AF29" s="235" t="str">
        <f t="shared" ca="1" si="2"/>
        <v/>
      </c>
      <c r="AG29" s="73"/>
      <c r="AH29" s="235" t="str">
        <f t="shared" ca="1" si="2"/>
        <v/>
      </c>
      <c r="AI29" s="238"/>
      <c r="AJ29" s="235" t="str">
        <f t="shared" ca="1" si="2"/>
        <v/>
      </c>
      <c r="AK29" s="238"/>
      <c r="AL29" s="235" t="str">
        <f t="shared" ca="1" si="2"/>
        <v/>
      </c>
      <c r="AM29" s="238"/>
      <c r="AN29" s="235">
        <f t="shared" ca="1" si="3"/>
        <v>0</v>
      </c>
    </row>
    <row r="30" spans="2:40" s="99" customFormat="1" ht="13" x14ac:dyDescent="0.3">
      <c r="B30" s="163">
        <f>B29+1</f>
        <v>13</v>
      </c>
      <c r="D30" s="99" t="s">
        <v>78</v>
      </c>
      <c r="F30" s="113">
        <f ca="1">Function!R30</f>
        <v>499.49407531423083</v>
      </c>
      <c r="G30" s="94"/>
      <c r="H30" s="113"/>
      <c r="I30" s="94"/>
      <c r="J30" s="94"/>
      <c r="K30" s="91">
        <f>_xlfn.IFNA(MATCH(J30,'Stor Factors'!$B$13:$B$439,0),0)</f>
        <v>0</v>
      </c>
      <c r="L30" s="113">
        <f t="shared" ca="1" si="5"/>
        <v>499.49407531423083</v>
      </c>
      <c r="M30" s="97"/>
      <c r="N30" s="28" t="s">
        <v>50</v>
      </c>
      <c r="O30" s="186">
        <f>_xlfn.IFNA(MATCH(N30,'Stor Factors'!$B$13:$B$439,0),0)</f>
        <v>27</v>
      </c>
      <c r="P30" s="22">
        <f ca="1">OFFSET('Stor Factors'!$B$13,$O30-1,P$14)*$L30+OFFSET('Stor Factors'!$B$13,$K30-1,P$14)*$H30</f>
        <v>499.49407531423083</v>
      </c>
      <c r="Q30" s="97"/>
      <c r="R30" s="22">
        <f ca="1">OFFSET('Stor Factors'!$B$13,$O30-1,R$14)*$L30+OFFSET('Stor Factors'!$B$13,$K30-1,R$14)*$H30</f>
        <v>0</v>
      </c>
      <c r="S30" s="22"/>
      <c r="T30" s="22">
        <f ca="1">OFFSET('Stor Factors'!$B$13,$O30-1,T$14)*$L30+OFFSET('Stor Factors'!$B$13,$K30-1,T$14)*$H30</f>
        <v>0</v>
      </c>
      <c r="U30" s="22"/>
      <c r="V30" s="22">
        <f ca="1">OFFSET('Stor Factors'!$B$13,$O30-1,V$14)*$L30+OFFSET('Stor Factors'!$B$13,$K30-1,V$14)*$H30</f>
        <v>0</v>
      </c>
      <c r="X30" s="100">
        <f t="shared" ca="1" si="0"/>
        <v>499.49407531423083</v>
      </c>
      <c r="Y30" s="97"/>
      <c r="Z30" s="35" t="str">
        <f t="shared" ca="1" si="1"/>
        <v/>
      </c>
      <c r="AA30" s="97"/>
      <c r="AB30" s="22"/>
      <c r="AC30" s="235">
        <v>0</v>
      </c>
      <c r="AD30" s="73"/>
      <c r="AE30" s="73"/>
      <c r="AF30" s="235">
        <f t="shared" ca="1" si="2"/>
        <v>0</v>
      </c>
      <c r="AG30" s="73"/>
      <c r="AH30" s="235">
        <f t="shared" ca="1" si="2"/>
        <v>0</v>
      </c>
      <c r="AI30" s="238"/>
      <c r="AJ30" s="235">
        <f t="shared" ca="1" si="2"/>
        <v>0</v>
      </c>
      <c r="AK30" s="238"/>
      <c r="AL30" s="235">
        <f t="shared" ca="1" si="2"/>
        <v>0</v>
      </c>
      <c r="AM30" s="238"/>
      <c r="AN30" s="235">
        <f t="shared" ca="1" si="3"/>
        <v>0</v>
      </c>
    </row>
    <row r="31" spans="2:40" s="99" customFormat="1" ht="13" x14ac:dyDescent="0.3">
      <c r="B31" s="163">
        <f t="shared" si="4"/>
        <v>14</v>
      </c>
      <c r="D31" s="99" t="s">
        <v>333</v>
      </c>
      <c r="F31" s="79">
        <f ca="1">SUM(F18:F30)</f>
        <v>1141178.0974758822</v>
      </c>
      <c r="G31" s="94"/>
      <c r="H31" s="79">
        <f ca="1">SUM(H18:H30)</f>
        <v>40465.570915761455</v>
      </c>
      <c r="I31" s="94"/>
      <c r="J31" s="94"/>
      <c r="K31" s="94"/>
      <c r="L31" s="79">
        <f ca="1">SUM(L18:L30)</f>
        <v>1100712.5265601205</v>
      </c>
      <c r="M31" s="97"/>
      <c r="N31" s="97"/>
      <c r="O31" s="188"/>
      <c r="P31" s="46">
        <f ca="1">SUM(P18:P30)</f>
        <v>805412.89815538912</v>
      </c>
      <c r="Q31" s="32"/>
      <c r="R31" s="46">
        <f ca="1">SUM(R18:R30)</f>
        <v>309492.34276999789</v>
      </c>
      <c r="S31" s="30"/>
      <c r="T31" s="46">
        <f ca="1">SUM(T18:T30)</f>
        <v>26272.856550495108</v>
      </c>
      <c r="U31" s="30"/>
      <c r="V31" s="46">
        <f ca="1">SUM(V18:V30)</f>
        <v>0</v>
      </c>
      <c r="W31" s="41"/>
      <c r="X31" s="46">
        <f ca="1">SUM(X18:X30)</f>
        <v>1141178.0974758822</v>
      </c>
      <c r="Y31" s="23"/>
      <c r="Z31" s="35" t="str">
        <f t="shared" ca="1" si="1"/>
        <v/>
      </c>
      <c r="AA31" s="97"/>
      <c r="AB31" s="22"/>
      <c r="AC31" s="204">
        <f>SUM(AC18:AC30)</f>
        <v>30302.427119821801</v>
      </c>
      <c r="AD31" s="73"/>
      <c r="AE31" s="73"/>
      <c r="AF31" s="204">
        <f ca="1">SUM(AF18:AF30)</f>
        <v>22769.488527016547</v>
      </c>
      <c r="AG31" s="204"/>
      <c r="AH31" s="204">
        <f ca="1">SUM(AH18:AH30)</f>
        <v>6943.5034296228105</v>
      </c>
      <c r="AI31" s="204"/>
      <c r="AJ31" s="204">
        <f ca="1">SUM(AJ18:AJ30)</f>
        <v>589.43516318244519</v>
      </c>
      <c r="AK31" s="204"/>
      <c r="AL31" s="204">
        <f ca="1">SUM(AL18:AL30)</f>
        <v>0</v>
      </c>
      <c r="AM31" s="204"/>
      <c r="AN31" s="204">
        <f ca="1">SUM(AN18:AN30)</f>
        <v>30302.427119821801</v>
      </c>
    </row>
    <row r="32" spans="2:40" s="99" customFormat="1" ht="13" x14ac:dyDescent="0.3">
      <c r="B32" s="163"/>
      <c r="F32" s="94"/>
      <c r="G32" s="94"/>
      <c r="H32" s="94"/>
      <c r="I32" s="94"/>
      <c r="J32" s="94"/>
      <c r="K32" s="94"/>
      <c r="L32" s="94"/>
      <c r="M32" s="97"/>
      <c r="N32" s="97"/>
      <c r="O32" s="188"/>
      <c r="P32" s="97"/>
      <c r="Q32" s="97"/>
      <c r="R32" s="47"/>
      <c r="S32" s="97"/>
      <c r="T32" s="97"/>
      <c r="U32" s="97"/>
      <c r="V32" s="97"/>
      <c r="W32" s="41"/>
      <c r="X32" s="97"/>
      <c r="Y32" s="97"/>
      <c r="Z32" s="35" t="str">
        <f t="shared" si="1"/>
        <v/>
      </c>
      <c r="AA32" s="97"/>
      <c r="AB32" s="22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</row>
    <row r="33" spans="2:40" s="99" customFormat="1" ht="13" x14ac:dyDescent="0.3">
      <c r="B33" s="163">
        <f>B31+1</f>
        <v>15</v>
      </c>
      <c r="D33" s="99" t="s">
        <v>221</v>
      </c>
      <c r="F33" s="113">
        <f ca="1">Function!R33</f>
        <v>63734.477354891656</v>
      </c>
      <c r="G33" s="94"/>
      <c r="H33" s="113"/>
      <c r="I33" s="94"/>
      <c r="J33" s="94"/>
      <c r="K33" s="91">
        <f>_xlfn.IFNA(MATCH(J33,'Stor Factors'!$B$13:$B$439,0),0)</f>
        <v>0</v>
      </c>
      <c r="L33" s="113">
        <f t="shared" ref="L33" ca="1" si="6">F33-H33</f>
        <v>63734.477354891656</v>
      </c>
      <c r="M33" s="97"/>
      <c r="N33" s="28" t="s">
        <v>143</v>
      </c>
      <c r="O33" s="186">
        <f>_xlfn.IFNA(MATCH(N33,'Stor Factors'!$B$13:$B$439,0),0)</f>
        <v>45</v>
      </c>
      <c r="P33" s="22">
        <f ca="1">OFFSET('Stor Factors'!$B$13,$O33-1,P$14)*$L33+OFFSET('Stor Factors'!$B$13,$K33-1,P$14)*$H33</f>
        <v>45432.535718958003</v>
      </c>
      <c r="Q33" s="97"/>
      <c r="R33" s="22">
        <f ca="1">OFFSET('Stor Factors'!$B$13,$O33-1,R$14)*$L33+OFFSET('Stor Factors'!$B$13,$K33-1,R$14)*$H33</f>
        <v>16869.856690354038</v>
      </c>
      <c r="S33" s="22"/>
      <c r="T33" s="22">
        <f ca="1">OFFSET('Stor Factors'!$B$13,$O33-1,T$14)*$L33+OFFSET('Stor Factors'!$B$13,$K33-1,T$14)*$H33</f>
        <v>1432.0849455796208</v>
      </c>
      <c r="U33" s="22"/>
      <c r="V33" s="22">
        <f ca="1">OFFSET('Stor Factors'!$B$13,$O33-1,V$14)*$L33+OFFSET('Stor Factors'!$B$13,$K33-1,V$14)*$H33</f>
        <v>0</v>
      </c>
      <c r="X33" s="100">
        <f t="shared" ref="X33" ca="1" si="7">P33+R33+T33+V33</f>
        <v>63734.477354891664</v>
      </c>
      <c r="Y33" s="97"/>
      <c r="Z33" s="35"/>
      <c r="AA33" s="97"/>
      <c r="AB33" s="22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2:40" s="99" customFormat="1" ht="13" x14ac:dyDescent="0.3">
      <c r="B34" s="163"/>
      <c r="F34" s="94"/>
      <c r="G34" s="94"/>
      <c r="H34" s="94"/>
      <c r="I34" s="94"/>
      <c r="J34" s="94"/>
      <c r="K34" s="94"/>
      <c r="L34" s="94"/>
      <c r="M34" s="97"/>
      <c r="N34" s="97"/>
      <c r="O34" s="187"/>
      <c r="P34" s="97"/>
      <c r="Q34" s="97"/>
      <c r="R34" s="97"/>
      <c r="S34" s="97"/>
      <c r="T34" s="97"/>
      <c r="U34" s="97"/>
      <c r="V34" s="97"/>
      <c r="W34" s="41"/>
      <c r="X34" s="97"/>
      <c r="Y34" s="97"/>
      <c r="Z34" s="35" t="str">
        <f t="shared" ref="Z34:Z37" si="8">IF(ROUND(F34,4)=ROUND(X34,4), "", "check")</f>
        <v/>
      </c>
      <c r="AA34" s="97"/>
      <c r="AB34" s="22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</row>
    <row r="35" spans="2:40" s="99" customFormat="1" ht="13" x14ac:dyDescent="0.3">
      <c r="B35" s="163">
        <f>B33+1</f>
        <v>16</v>
      </c>
      <c r="D35" s="99" t="s">
        <v>475</v>
      </c>
      <c r="F35" s="79">
        <f ca="1">F31+F33</f>
        <v>1204912.5748307738</v>
      </c>
      <c r="G35" s="94"/>
      <c r="H35" s="79">
        <f ca="1">H31+H33</f>
        <v>40465.570915761455</v>
      </c>
      <c r="I35" s="94"/>
      <c r="J35" s="94"/>
      <c r="K35" s="94"/>
      <c r="L35" s="79">
        <f ca="1">L31+L33</f>
        <v>1164447.0039150121</v>
      </c>
      <c r="M35" s="97"/>
      <c r="N35" s="97"/>
      <c r="O35" s="187"/>
      <c r="P35" s="45">
        <f ca="1">P31+P33</f>
        <v>850845.43387434713</v>
      </c>
      <c r="Q35" s="47"/>
      <c r="R35" s="45">
        <f ca="1">R31+R33</f>
        <v>326362.19946035196</v>
      </c>
      <c r="S35" s="23"/>
      <c r="T35" s="45">
        <f ca="1">T31+T33</f>
        <v>27704.941496074727</v>
      </c>
      <c r="U35" s="23"/>
      <c r="V35" s="45">
        <f ca="1">V31+V33</f>
        <v>0</v>
      </c>
      <c r="W35" s="41"/>
      <c r="X35" s="45">
        <f ca="1">X31+X33</f>
        <v>1204912.5748307738</v>
      </c>
      <c r="Y35" s="97"/>
      <c r="Z35" s="35" t="str">
        <f t="shared" ca="1" si="8"/>
        <v/>
      </c>
      <c r="AA35" s="23"/>
      <c r="AB35" s="22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2:40" s="99" customFormat="1" ht="13" x14ac:dyDescent="0.3">
      <c r="B36" s="163"/>
      <c r="D36" s="6"/>
      <c r="F36" s="219"/>
      <c r="G36" s="94"/>
      <c r="H36" s="219"/>
      <c r="I36" s="94"/>
      <c r="J36" s="94"/>
      <c r="K36" s="94"/>
      <c r="L36" s="219"/>
      <c r="M36" s="97"/>
      <c r="N36" s="97"/>
      <c r="O36" s="187"/>
      <c r="P36" s="97"/>
      <c r="Q36" s="97"/>
      <c r="R36" s="97"/>
      <c r="S36" s="97"/>
      <c r="T36" s="97"/>
      <c r="U36" s="97"/>
      <c r="V36" s="97"/>
      <c r="W36" s="41"/>
      <c r="X36" s="97"/>
      <c r="Y36" s="97"/>
      <c r="Z36" s="35" t="str">
        <f t="shared" si="8"/>
        <v/>
      </c>
      <c r="AA36" s="97"/>
      <c r="AB36" s="22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2:40" s="99" customFormat="1" ht="13" x14ac:dyDescent="0.3">
      <c r="B37" s="163"/>
      <c r="E37" s="6"/>
      <c r="F37" s="94"/>
      <c r="G37" s="94"/>
      <c r="H37" s="94"/>
      <c r="I37" s="94"/>
      <c r="J37" s="94"/>
      <c r="K37" s="94"/>
      <c r="L37" s="94"/>
      <c r="M37" s="97"/>
      <c r="N37" s="97"/>
      <c r="O37" s="187"/>
      <c r="P37" s="97"/>
      <c r="Q37" s="97"/>
      <c r="R37" s="97"/>
      <c r="S37" s="97"/>
      <c r="T37" s="97"/>
      <c r="U37" s="97"/>
      <c r="V37" s="97"/>
      <c r="W37" s="41"/>
      <c r="X37" s="97"/>
      <c r="Y37" s="97"/>
      <c r="Z37" s="35" t="str">
        <f t="shared" si="8"/>
        <v/>
      </c>
      <c r="AA37" s="97"/>
      <c r="AB37" s="22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</row>
    <row r="38" spans="2:40" s="99" customFormat="1" ht="13" x14ac:dyDescent="0.3">
      <c r="B38" s="163"/>
      <c r="D38" s="6" t="s">
        <v>330</v>
      </c>
      <c r="E38" s="7"/>
      <c r="F38" s="220"/>
      <c r="G38" s="94"/>
      <c r="H38" s="94"/>
      <c r="I38" s="94"/>
      <c r="J38" s="94"/>
      <c r="K38" s="94"/>
      <c r="L38" s="94"/>
      <c r="O38" s="187"/>
      <c r="Y38" s="97"/>
      <c r="Z38" s="37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2:40" s="99" customFormat="1" x14ac:dyDescent="0.25">
      <c r="B39" s="163"/>
      <c r="F39" s="94"/>
      <c r="G39" s="94"/>
      <c r="H39" s="94"/>
      <c r="I39" s="94"/>
      <c r="J39" s="94"/>
      <c r="K39" s="94"/>
      <c r="L39" s="94"/>
      <c r="O39" s="187"/>
      <c r="Y39" s="97"/>
      <c r="Z39" s="37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</row>
    <row r="40" spans="2:40" s="99" customFormat="1" ht="13" x14ac:dyDescent="0.3">
      <c r="B40" s="163">
        <f>B35+1</f>
        <v>17</v>
      </c>
      <c r="D40" s="99" t="s">
        <v>77</v>
      </c>
      <c r="F40" s="113">
        <f ca="1">Function!R40</f>
        <v>0</v>
      </c>
      <c r="G40" s="94"/>
      <c r="H40" s="113"/>
      <c r="I40" s="94"/>
      <c r="J40" s="91"/>
      <c r="K40" s="91">
        <f>_xlfn.IFNA(MATCH(J40,'Stor Factors'!$B$13:$B$439,0),0)</f>
        <v>0</v>
      </c>
      <c r="L40" s="113">
        <f ca="1">F40-H40</f>
        <v>0</v>
      </c>
      <c r="N40" s="28" t="s">
        <v>50</v>
      </c>
      <c r="O40" s="186">
        <f>_xlfn.IFNA(MATCH(N40,'Stor Factors'!$B$13:$B$439,0),0)</f>
        <v>27</v>
      </c>
      <c r="P40" s="22">
        <f ca="1">OFFSET('Stor Factors'!$B$13,$O40-1,P$14)*$L40+OFFSET('Stor Factors'!$B$13,$K40-1,P$14)*$H40</f>
        <v>0</v>
      </c>
      <c r="Q40" s="97"/>
      <c r="R40" s="22">
        <f ca="1">OFFSET('Stor Factors'!$B$13,$O40-1,R$14)*$L40+OFFSET('Stor Factors'!$B$13,$K40-1,R$14)*$H40</f>
        <v>0</v>
      </c>
      <c r="S40" s="22"/>
      <c r="T40" s="22">
        <f ca="1">OFFSET('Stor Factors'!$B$13,$O40-1,T$14)*$L40+OFFSET('Stor Factors'!$B$13,$K40-1,T$14)*$H40</f>
        <v>0</v>
      </c>
      <c r="U40" s="22"/>
      <c r="V40" s="22">
        <f ca="1">OFFSET('Stor Factors'!$B$13,$O40-1,V$14)*$L40+OFFSET('Stor Factors'!$B$13,$K40-1,V$14)*$H40</f>
        <v>0</v>
      </c>
      <c r="X40" s="100">
        <f t="shared" ref="X40:X52" ca="1" si="9">P40+R40+T40+V40</f>
        <v>0</v>
      </c>
      <c r="Y40" s="97"/>
      <c r="Z40" s="35" t="str">
        <f ca="1">IF(ROUND(F40,4)=ROUND(X40,4), "", "check")</f>
        <v/>
      </c>
      <c r="AA40" s="97"/>
      <c r="AB40" s="22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</row>
    <row r="41" spans="2:40" s="99" customFormat="1" ht="13" x14ac:dyDescent="0.3">
      <c r="B41" s="163">
        <f>B40+1</f>
        <v>18</v>
      </c>
      <c r="D41" s="99" t="s">
        <v>76</v>
      </c>
      <c r="F41" s="113">
        <f ca="1">Function!R41</f>
        <v>-48801.440541232747</v>
      </c>
      <c r="G41" s="94"/>
      <c r="H41" s="113"/>
      <c r="I41" s="94"/>
      <c r="J41" s="91"/>
      <c r="K41" s="91">
        <f>_xlfn.IFNA(MATCH(J41,'Stor Factors'!$B$13:$B$439,0),0)</f>
        <v>0</v>
      </c>
      <c r="L41" s="113">
        <f ca="1">F41-H41</f>
        <v>-48801.440541232747</v>
      </c>
      <c r="N41" s="28" t="s">
        <v>395</v>
      </c>
      <c r="O41" s="186">
        <f>_xlfn.IFNA(MATCH(N41,'Stor Factors'!$B$13:$B$439,0),0)</f>
        <v>24</v>
      </c>
      <c r="P41" s="22">
        <f ca="1">OFFSET('Stor Factors'!$B$13,$O41-1,P$14)*$L41+OFFSET('Stor Factors'!$B$13,$K41-1,P$14)*$H41</f>
        <v>-24400.720270616373</v>
      </c>
      <c r="Q41" s="97"/>
      <c r="R41" s="22">
        <f ca="1">OFFSET('Stor Factors'!$B$13,$O41-1,R$14)*$L41+OFFSET('Stor Factors'!$B$13,$K41-1,R$14)*$H41</f>
        <v>-22491.419888396758</v>
      </c>
      <c r="S41" s="22"/>
      <c r="T41" s="22">
        <f ca="1">OFFSET('Stor Factors'!$B$13,$O41-1,T$14)*$L41+OFFSET('Stor Factors'!$B$13,$K41-1,T$14)*$H41</f>
        <v>-1909.3003822196144</v>
      </c>
      <c r="U41" s="22"/>
      <c r="V41" s="22">
        <f ca="1">OFFSET('Stor Factors'!$B$13,$O41-1,V$14)*$L41+OFFSET('Stor Factors'!$B$13,$K41-1,V$14)*$H41</f>
        <v>0</v>
      </c>
      <c r="X41" s="100">
        <f t="shared" ca="1" si="9"/>
        <v>-48801.44054123274</v>
      </c>
      <c r="Y41" s="97"/>
      <c r="Z41" s="35" t="str">
        <f t="shared" ref="Z41:Z54" ca="1" si="10">IF(ROUND(F41,4)=ROUND(X41,4), "", "check")</f>
        <v/>
      </c>
      <c r="AA41" s="97"/>
      <c r="AB41" s="22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</row>
    <row r="42" spans="2:40" s="99" customFormat="1" ht="13" x14ac:dyDescent="0.3">
      <c r="B42" s="163">
        <f t="shared" ref="B42:B53" si="11">B41+1</f>
        <v>19</v>
      </c>
      <c r="D42" s="99" t="s">
        <v>19</v>
      </c>
      <c r="F42" s="113">
        <f ca="1">Function!R42</f>
        <v>-29423.043528013535</v>
      </c>
      <c r="G42" s="94"/>
      <c r="H42" s="113">
        <f ca="1">IF(K42&lt;&gt;0,OFFSET('Stor Factors'!$B$12,'Storage Class'!$K42-1,2),0)</f>
        <v>-3182.3723924816295</v>
      </c>
      <c r="I42" s="94"/>
      <c r="J42" s="91" t="s">
        <v>360</v>
      </c>
      <c r="K42" s="91">
        <f>_xlfn.IFNA(MATCH(J42,'Stor Factors'!$B$13:$B$439,0),0)</f>
        <v>18</v>
      </c>
      <c r="L42" s="113">
        <f t="shared" ref="L42:L52" ca="1" si="12">F42-H42</f>
        <v>-26240.671135531906</v>
      </c>
      <c r="M42" s="97"/>
      <c r="N42" s="28" t="s">
        <v>50</v>
      </c>
      <c r="O42" s="186">
        <f>_xlfn.IFNA(MATCH(N42,'Stor Factors'!$B$13:$B$439,0),0)</f>
        <v>27</v>
      </c>
      <c r="P42" s="22">
        <f ca="1">OFFSET('Stor Factors'!$B$13,$O42-1,P$14)*$L42+OFFSET('Stor Factors'!$B$13,$K42-1,P$14)*$H42</f>
        <v>-29423.043528013535</v>
      </c>
      <c r="Q42" s="97"/>
      <c r="R42" s="22">
        <f ca="1">OFFSET('Stor Factors'!$B$13,$O42-1,R$14)*$L42+OFFSET('Stor Factors'!$B$13,$K42-1,R$14)*$H42</f>
        <v>0</v>
      </c>
      <c r="S42" s="22"/>
      <c r="T42" s="22">
        <f ca="1">OFFSET('Stor Factors'!$B$13,$O42-1,T$14)*$L42+OFFSET('Stor Factors'!$B$13,$K42-1,T$14)*$H42</f>
        <v>0</v>
      </c>
      <c r="U42" s="22"/>
      <c r="V42" s="22">
        <f ca="1">OFFSET('Stor Factors'!$B$13,$O42-1,V$14)*$L42+OFFSET('Stor Factors'!$B$13,$K42-1,V$14)*$H42</f>
        <v>0</v>
      </c>
      <c r="X42" s="100">
        <f t="shared" ca="1" si="9"/>
        <v>-29423.043528013535</v>
      </c>
      <c r="Y42" s="97"/>
      <c r="Z42" s="35" t="str">
        <f t="shared" ca="1" si="10"/>
        <v/>
      </c>
      <c r="AA42" s="97"/>
      <c r="AB42" s="22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</row>
    <row r="43" spans="2:40" s="99" customFormat="1" ht="13" x14ac:dyDescent="0.3">
      <c r="B43" s="163">
        <f t="shared" si="11"/>
        <v>20</v>
      </c>
      <c r="D43" s="99" t="s">
        <v>21</v>
      </c>
      <c r="F43" s="113">
        <f ca="1">Function!R43</f>
        <v>-30584.51938464956</v>
      </c>
      <c r="G43" s="94"/>
      <c r="H43" s="113"/>
      <c r="I43" s="94"/>
      <c r="J43" s="91"/>
      <c r="K43" s="91">
        <f>_xlfn.IFNA(MATCH(J43,'Stor Factors'!$B$13:$B$439,0),0)</f>
        <v>0</v>
      </c>
      <c r="L43" s="113">
        <f t="shared" ca="1" si="12"/>
        <v>-30584.51938464956</v>
      </c>
      <c r="M43" s="97"/>
      <c r="N43" s="28" t="s">
        <v>50</v>
      </c>
      <c r="O43" s="186">
        <f>_xlfn.IFNA(MATCH(N43,'Stor Factors'!$B$13:$B$439,0),0)</f>
        <v>27</v>
      </c>
      <c r="P43" s="22">
        <f ca="1">OFFSET('Stor Factors'!$B$13,$O43-1,P$14)*$L43+OFFSET('Stor Factors'!$B$13,$K43-1,P$14)*$H43</f>
        <v>-30584.51938464956</v>
      </c>
      <c r="Q43" s="97"/>
      <c r="R43" s="22">
        <f ca="1">OFFSET('Stor Factors'!$B$13,$O43-1,R$14)*$L43+OFFSET('Stor Factors'!$B$13,$K43-1,R$14)*$H43</f>
        <v>0</v>
      </c>
      <c r="S43" s="22"/>
      <c r="T43" s="22">
        <f ca="1">OFFSET('Stor Factors'!$B$13,$O43-1,T$14)*$L43+OFFSET('Stor Factors'!$B$13,$K43-1,T$14)*$H43</f>
        <v>0</v>
      </c>
      <c r="U43" s="22"/>
      <c r="V43" s="22">
        <f ca="1">OFFSET('Stor Factors'!$B$13,$O43-1,V$14)*$L43+OFFSET('Stor Factors'!$B$13,$K43-1,V$14)*$H43</f>
        <v>0</v>
      </c>
      <c r="X43" s="100">
        <f t="shared" ca="1" si="9"/>
        <v>-30584.51938464956</v>
      </c>
      <c r="Y43" s="97"/>
      <c r="Z43" s="35" t="str">
        <f t="shared" ca="1" si="10"/>
        <v/>
      </c>
      <c r="AA43" s="97"/>
      <c r="AB43" s="22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</row>
    <row r="44" spans="2:40" s="99" customFormat="1" ht="13" x14ac:dyDescent="0.3">
      <c r="B44" s="163">
        <f t="shared" si="11"/>
        <v>21</v>
      </c>
      <c r="D44" s="99" t="s">
        <v>23</v>
      </c>
      <c r="F44" s="113">
        <f ca="1">Function!R44</f>
        <v>0</v>
      </c>
      <c r="G44" s="94"/>
      <c r="H44" s="113"/>
      <c r="I44" s="94"/>
      <c r="J44" s="91"/>
      <c r="K44" s="91">
        <f>_xlfn.IFNA(MATCH(J44,'Stor Factors'!$B$13:$B$439,0),0)</f>
        <v>0</v>
      </c>
      <c r="L44" s="113">
        <f t="shared" ca="1" si="12"/>
        <v>0</v>
      </c>
      <c r="M44" s="97"/>
      <c r="N44" s="28"/>
      <c r="O44" s="186">
        <f>_xlfn.IFNA(MATCH(N44,'Stor Factors'!$B$13:$B$439,0),0)</f>
        <v>0</v>
      </c>
      <c r="P44" s="22">
        <f ca="1">OFFSET('Stor Factors'!$B$13,$O44-1,P$14)*$L44+OFFSET('Stor Factors'!$B$13,$K44-1,P$14)*$H44</f>
        <v>0</v>
      </c>
      <c r="Q44" s="97"/>
      <c r="R44" s="22">
        <f ca="1">OFFSET('Stor Factors'!$B$13,$O44-1,R$14)*$L44+OFFSET('Stor Factors'!$B$13,$K44-1,R$14)*$H44</f>
        <v>0</v>
      </c>
      <c r="S44" s="22"/>
      <c r="T44" s="22">
        <f ca="1">OFFSET('Stor Factors'!$B$13,$O44-1,T$14)*$L44+OFFSET('Stor Factors'!$B$13,$K44-1,T$14)*$H44</f>
        <v>0</v>
      </c>
      <c r="U44" s="22"/>
      <c r="V44" s="22">
        <f ca="1">OFFSET('Stor Factors'!$B$13,$O44-1,V$14)*$L44+OFFSET('Stor Factors'!$B$13,$K44-1,V$14)*$H44</f>
        <v>0</v>
      </c>
      <c r="X44" s="100">
        <f t="shared" ca="1" si="9"/>
        <v>0</v>
      </c>
      <c r="Y44" s="97"/>
      <c r="Z44" s="35" t="str">
        <f t="shared" ca="1" si="10"/>
        <v/>
      </c>
      <c r="AA44" s="97"/>
      <c r="AB44" s="22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</row>
    <row r="45" spans="2:40" s="99" customFormat="1" ht="13" x14ac:dyDescent="0.3">
      <c r="B45" s="163">
        <f t="shared" si="11"/>
        <v>22</v>
      </c>
      <c r="D45" s="99" t="s">
        <v>25</v>
      </c>
      <c r="F45" s="113">
        <f ca="1">Function!R45</f>
        <v>-145034.61246955802</v>
      </c>
      <c r="G45" s="94"/>
      <c r="H45" s="113"/>
      <c r="I45" s="94"/>
      <c r="J45" s="94"/>
      <c r="K45" s="91">
        <f>_xlfn.IFNA(MATCH(J45,'Stor Factors'!$B$13:$B$439,0),0)</f>
        <v>0</v>
      </c>
      <c r="L45" s="113">
        <f t="shared" ca="1" si="12"/>
        <v>-145034.61246955802</v>
      </c>
      <c r="M45" s="97"/>
      <c r="N45" s="28" t="s">
        <v>50</v>
      </c>
      <c r="O45" s="186">
        <f>_xlfn.IFNA(MATCH(N45,'Stor Factors'!$B$13:$B$439,0),0)</f>
        <v>27</v>
      </c>
      <c r="P45" s="22">
        <f ca="1">OFFSET('Stor Factors'!$B$13,$O45-1,P$14)*$L45+OFFSET('Stor Factors'!$B$13,$K45-1,P$14)*$H45</f>
        <v>-145034.61246955802</v>
      </c>
      <c r="Q45" s="97"/>
      <c r="R45" s="22">
        <f ca="1">OFFSET('Stor Factors'!$B$13,$O45-1,R$14)*$L45+OFFSET('Stor Factors'!$B$13,$K45-1,R$14)*$H45</f>
        <v>0</v>
      </c>
      <c r="S45" s="22"/>
      <c r="T45" s="22">
        <f ca="1">OFFSET('Stor Factors'!$B$13,$O45-1,T$14)*$L45+OFFSET('Stor Factors'!$B$13,$K45-1,T$14)*$H45</f>
        <v>0</v>
      </c>
      <c r="U45" s="22"/>
      <c r="V45" s="22">
        <f ca="1">OFFSET('Stor Factors'!$B$13,$O45-1,V$14)*$L45+OFFSET('Stor Factors'!$B$13,$K45-1,V$14)*$H45</f>
        <v>0</v>
      </c>
      <c r="X45" s="100">
        <f t="shared" ca="1" si="9"/>
        <v>-145034.61246955802</v>
      </c>
      <c r="Y45" s="97"/>
      <c r="Z45" s="35" t="str">
        <f t="shared" ca="1" si="10"/>
        <v/>
      </c>
      <c r="AA45" s="97"/>
      <c r="AB45" s="22"/>
      <c r="AC45" s="73"/>
      <c r="AD45" s="73"/>
      <c r="AE45" s="73"/>
      <c r="AF45" s="73"/>
      <c r="AG45" s="73"/>
      <c r="AH45" s="73"/>
      <c r="AI45" s="73"/>
      <c r="AJ45" s="73"/>
      <c r="AK45" s="237"/>
      <c r="AL45" s="73"/>
      <c r="AM45" s="73"/>
      <c r="AN45" s="73"/>
    </row>
    <row r="46" spans="2:40" s="99" customFormat="1" ht="13" x14ac:dyDescent="0.3">
      <c r="B46" s="163">
        <f t="shared" si="11"/>
        <v>23</v>
      </c>
      <c r="D46" s="99" t="s">
        <v>27</v>
      </c>
      <c r="F46" s="113">
        <f ca="1">Function!R46</f>
        <v>-17452.974556718505</v>
      </c>
      <c r="G46" s="94"/>
      <c r="H46" s="113">
        <f ca="1">IF(K46&lt;&gt;0,OFFSET('Stor Factors'!$B$12,'Storage Class'!$K46-1,2),0)</f>
        <v>-17452.974556718505</v>
      </c>
      <c r="I46" s="94"/>
      <c r="J46" s="91" t="s">
        <v>358</v>
      </c>
      <c r="K46" s="91">
        <f>_xlfn.IFNA(MATCH(J46,'Stor Factors'!$B$13:$B$439,0),0)</f>
        <v>6</v>
      </c>
      <c r="L46" s="113">
        <f t="shared" ca="1" si="12"/>
        <v>0</v>
      </c>
      <c r="M46" s="97"/>
      <c r="N46" s="28" t="s">
        <v>50</v>
      </c>
      <c r="O46" s="186">
        <f>_xlfn.IFNA(MATCH(N46,'Stor Factors'!$B$13:$B$439,0),0)</f>
        <v>27</v>
      </c>
      <c r="P46" s="22">
        <f ca="1">OFFSET('Stor Factors'!$B$13,$O46-1,P$14)*$L46+OFFSET('Stor Factors'!$B$13,$K46-1,P$14)*$H46</f>
        <v>-17452.974556718505</v>
      </c>
      <c r="Q46" s="97"/>
      <c r="R46" s="22">
        <f ca="1">OFFSET('Stor Factors'!$B$13,$O46-1,R$14)*$L46+OFFSET('Stor Factors'!$B$13,$K46-1,R$14)*$H46</f>
        <v>0</v>
      </c>
      <c r="S46" s="22"/>
      <c r="T46" s="22">
        <f ca="1">OFFSET('Stor Factors'!$B$13,$O46-1,T$14)*$L46+OFFSET('Stor Factors'!$B$13,$K46-1,T$14)*$H46</f>
        <v>0</v>
      </c>
      <c r="U46" s="22"/>
      <c r="V46" s="22">
        <f ca="1">OFFSET('Stor Factors'!$B$13,$O46-1,V$14)*$L46+OFFSET('Stor Factors'!$B$13,$K46-1,V$14)*$H46</f>
        <v>0</v>
      </c>
      <c r="X46" s="100">
        <f t="shared" ca="1" si="9"/>
        <v>-17452.974556718505</v>
      </c>
      <c r="Y46" s="97"/>
      <c r="Z46" s="35" t="str">
        <f t="shared" ca="1" si="10"/>
        <v/>
      </c>
      <c r="AA46" s="97"/>
      <c r="AB46" s="22"/>
      <c r="AC46" s="73"/>
      <c r="AD46" s="73"/>
      <c r="AE46" s="73"/>
      <c r="AF46" s="73"/>
      <c r="AG46" s="73"/>
      <c r="AH46" s="73"/>
      <c r="AI46" s="73"/>
      <c r="AJ46" s="73"/>
      <c r="AK46" s="237"/>
      <c r="AL46" s="73"/>
      <c r="AM46" s="73"/>
      <c r="AN46" s="73"/>
    </row>
    <row r="47" spans="2:40" s="99" customFormat="1" ht="13" x14ac:dyDescent="0.3">
      <c r="B47" s="163">
        <f t="shared" si="11"/>
        <v>24</v>
      </c>
      <c r="D47" s="99" t="s">
        <v>29</v>
      </c>
      <c r="F47" s="113">
        <f ca="1">Function!R47</f>
        <v>-129516.95304599847</v>
      </c>
      <c r="G47" s="94"/>
      <c r="H47" s="113"/>
      <c r="I47" s="94"/>
      <c r="J47" s="94"/>
      <c r="K47" s="91">
        <f>_xlfn.IFNA(MATCH(J47,'Stor Factors'!$B$13:$B$439,0),0)</f>
        <v>0</v>
      </c>
      <c r="L47" s="113">
        <f t="shared" ca="1" si="12"/>
        <v>-129516.95304599847</v>
      </c>
      <c r="M47" s="97"/>
      <c r="N47" s="28" t="s">
        <v>395</v>
      </c>
      <c r="O47" s="186">
        <f>_xlfn.IFNA(MATCH(N47,'Stor Factors'!$B$13:$B$439,0),0)</f>
        <v>24</v>
      </c>
      <c r="P47" s="22">
        <f ca="1">OFFSET('Stor Factors'!$B$13,$O47-1,P$14)*$L47+OFFSET('Stor Factors'!$B$13,$K47-1,P$14)*$H47</f>
        <v>-64758.476522999234</v>
      </c>
      <c r="Q47" s="97"/>
      <c r="R47" s="22">
        <f ca="1">OFFSET('Stor Factors'!$B$13,$O47-1,R$14)*$L47+OFFSET('Stor Factors'!$B$13,$K47-1,R$14)*$H47</f>
        <v>-59691.274300849458</v>
      </c>
      <c r="S47" s="22"/>
      <c r="T47" s="22">
        <f ca="1">OFFSET('Stor Factors'!$B$13,$O47-1,T$14)*$L47+OFFSET('Stor Factors'!$B$13,$K47-1,T$14)*$H47</f>
        <v>-5067.2022221497755</v>
      </c>
      <c r="U47" s="22"/>
      <c r="V47" s="22">
        <f ca="1">OFFSET('Stor Factors'!$B$13,$O47-1,V$14)*$L47+OFFSET('Stor Factors'!$B$13,$K47-1,V$14)*$H47</f>
        <v>0</v>
      </c>
      <c r="X47" s="100">
        <f t="shared" ca="1" si="9"/>
        <v>-129516.95304599847</v>
      </c>
      <c r="Y47" s="97"/>
      <c r="Z47" s="35" t="str">
        <f t="shared" ca="1" si="10"/>
        <v/>
      </c>
      <c r="AA47" s="97"/>
      <c r="AB47" s="22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</row>
    <row r="48" spans="2:40" s="99" customFormat="1" ht="13" x14ac:dyDescent="0.3">
      <c r="B48" s="163">
        <f t="shared" si="11"/>
        <v>25</v>
      </c>
      <c r="D48" s="99" t="s">
        <v>30</v>
      </c>
      <c r="F48" s="113">
        <f ca="1">Function!R48</f>
        <v>0</v>
      </c>
      <c r="G48" s="94"/>
      <c r="H48" s="113"/>
      <c r="I48" s="94"/>
      <c r="J48" s="94"/>
      <c r="K48" s="91">
        <f>_xlfn.IFNA(MATCH(J48,'Stor Factors'!$B$13:$B$439,0),0)</f>
        <v>0</v>
      </c>
      <c r="L48" s="113">
        <f t="shared" ca="1" si="12"/>
        <v>0</v>
      </c>
      <c r="M48" s="97"/>
      <c r="N48" s="28" t="s">
        <v>396</v>
      </c>
      <c r="O48" s="186">
        <f>_xlfn.IFNA(MATCH(N48,'Stor Factors'!$B$13:$B$439,0),0)</f>
        <v>36</v>
      </c>
      <c r="P48" s="22">
        <f ca="1">OFFSET('Stor Factors'!$B$13,$O48-1,P$14)*$L48+OFFSET('Stor Factors'!$B$13,$K48-1,P$14)*$H48</f>
        <v>0</v>
      </c>
      <c r="Q48" s="97"/>
      <c r="R48" s="22">
        <f ca="1">OFFSET('Stor Factors'!$B$13,$O48-1,R$14)*$L48+OFFSET('Stor Factors'!$B$13,$K48-1,R$14)*$H48</f>
        <v>0</v>
      </c>
      <c r="S48" s="22"/>
      <c r="T48" s="22">
        <f ca="1">OFFSET('Stor Factors'!$B$13,$O48-1,T$14)*$L48+OFFSET('Stor Factors'!$B$13,$K48-1,T$14)*$H48</f>
        <v>0</v>
      </c>
      <c r="U48" s="22"/>
      <c r="V48" s="22">
        <f ca="1">OFFSET('Stor Factors'!$B$13,$O48-1,V$14)*$L48+OFFSET('Stor Factors'!$B$13,$K48-1,V$14)*$H48</f>
        <v>0</v>
      </c>
      <c r="X48" s="100">
        <f t="shared" ca="1" si="9"/>
        <v>0</v>
      </c>
      <c r="Y48" s="97"/>
      <c r="Z48" s="35" t="str">
        <f t="shared" ca="1" si="10"/>
        <v/>
      </c>
      <c r="AA48" s="97"/>
      <c r="AB48" s="22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</row>
    <row r="49" spans="2:40" s="99" customFormat="1" ht="13" x14ac:dyDescent="0.3">
      <c r="B49" s="163">
        <f t="shared" si="11"/>
        <v>26</v>
      </c>
      <c r="D49" s="99" t="s">
        <v>31</v>
      </c>
      <c r="F49" s="113">
        <f ca="1">Function!R49</f>
        <v>0</v>
      </c>
      <c r="G49" s="94"/>
      <c r="H49" s="113"/>
      <c r="I49" s="94"/>
      <c r="J49" s="94"/>
      <c r="K49" s="91">
        <f>_xlfn.IFNA(MATCH(J49,'Stor Factors'!$B$13:$B$439,0),0)</f>
        <v>0</v>
      </c>
      <c r="L49" s="113">
        <f t="shared" ca="1" si="12"/>
        <v>0</v>
      </c>
      <c r="M49" s="97"/>
      <c r="N49" s="28"/>
      <c r="O49" s="186">
        <f>_xlfn.IFNA(MATCH(N49,'Stor Factors'!$B$13:$B$439,0),0)</f>
        <v>0</v>
      </c>
      <c r="P49" s="22">
        <f ca="1">OFFSET('Stor Factors'!$B$13,$O49-1,P$14)*$L49+OFFSET('Stor Factors'!$B$13,$K49-1,P$14)*$H49</f>
        <v>0</v>
      </c>
      <c r="Q49" s="97"/>
      <c r="R49" s="22">
        <f ca="1">OFFSET('Stor Factors'!$B$13,$O49-1,R$14)*$L49+OFFSET('Stor Factors'!$B$13,$K49-1,R$14)*$H49</f>
        <v>0</v>
      </c>
      <c r="S49" s="22"/>
      <c r="T49" s="22">
        <f ca="1">OFFSET('Stor Factors'!$B$13,$O49-1,T$14)*$L49+OFFSET('Stor Factors'!$B$13,$K49-1,T$14)*$H49</f>
        <v>0</v>
      </c>
      <c r="U49" s="22"/>
      <c r="V49" s="22">
        <f ca="1">OFFSET('Stor Factors'!$B$13,$O49-1,V$14)*$L49+OFFSET('Stor Factors'!$B$13,$K49-1,V$14)*$H49</f>
        <v>0</v>
      </c>
      <c r="X49" s="100">
        <f t="shared" ca="1" si="9"/>
        <v>0</v>
      </c>
      <c r="Y49" s="97"/>
      <c r="Z49" s="35" t="str">
        <f t="shared" ca="1" si="10"/>
        <v/>
      </c>
      <c r="AA49" s="97"/>
      <c r="AB49" s="22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</row>
    <row r="50" spans="2:40" s="99" customFormat="1" ht="13" x14ac:dyDescent="0.3">
      <c r="B50" s="163">
        <f t="shared" si="11"/>
        <v>27</v>
      </c>
      <c r="D50" s="99" t="s">
        <v>327</v>
      </c>
      <c r="F50" s="113">
        <f ca="1">Function!R50</f>
        <v>0</v>
      </c>
      <c r="G50" s="94"/>
      <c r="H50" s="113"/>
      <c r="I50" s="94"/>
      <c r="J50" s="94"/>
      <c r="K50" s="91">
        <f>_xlfn.IFNA(MATCH(J50,'Stor Factors'!$B$13:$B$439,0),0)</f>
        <v>0</v>
      </c>
      <c r="L50" s="113">
        <f t="shared" ca="1" si="12"/>
        <v>0</v>
      </c>
      <c r="M50" s="97"/>
      <c r="N50" s="28"/>
      <c r="O50" s="186">
        <f>_xlfn.IFNA(MATCH(N50,'Stor Factors'!$B$13:$B$439,0),0)</f>
        <v>0</v>
      </c>
      <c r="P50" s="22">
        <f ca="1">OFFSET('Stor Factors'!$B$13,$O50-1,P$14)*$L50+OFFSET('Stor Factors'!$B$13,$K50-1,P$14)*$H50</f>
        <v>0</v>
      </c>
      <c r="Q50" s="97"/>
      <c r="R50" s="22">
        <f ca="1">OFFSET('Stor Factors'!$B$13,$O50-1,R$14)*$L50+OFFSET('Stor Factors'!$B$13,$K50-1,R$14)*$H50</f>
        <v>0</v>
      </c>
      <c r="S50" s="22"/>
      <c r="T50" s="22">
        <f ca="1">OFFSET('Stor Factors'!$B$13,$O50-1,T$14)*$L50+OFFSET('Stor Factors'!$B$13,$K50-1,T$14)*$H50</f>
        <v>0</v>
      </c>
      <c r="U50" s="22"/>
      <c r="V50" s="22">
        <f ca="1">OFFSET('Stor Factors'!$B$13,$O50-1,V$14)*$L50+OFFSET('Stor Factors'!$B$13,$K50-1,V$14)*$H50</f>
        <v>0</v>
      </c>
      <c r="X50" s="100">
        <f t="shared" ca="1" si="9"/>
        <v>0</v>
      </c>
      <c r="Y50" s="97"/>
      <c r="Z50" s="35" t="str">
        <f t="shared" ca="1" si="10"/>
        <v/>
      </c>
      <c r="AA50" s="97"/>
      <c r="AB50" s="22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</row>
    <row r="51" spans="2:40" s="99" customFormat="1" ht="13" x14ac:dyDescent="0.3">
      <c r="B51" s="163">
        <f>B50+1</f>
        <v>28</v>
      </c>
      <c r="D51" s="99" t="s">
        <v>34</v>
      </c>
      <c r="F51" s="113">
        <f ca="1">Function!R51</f>
        <v>0</v>
      </c>
      <c r="G51" s="94"/>
      <c r="H51" s="113"/>
      <c r="I51" s="94"/>
      <c r="J51" s="94"/>
      <c r="K51" s="91">
        <f>_xlfn.IFNA(MATCH(J51,'Stor Factors'!$B$13:$B$439,0),0)</f>
        <v>0</v>
      </c>
      <c r="L51" s="113">
        <f t="shared" ca="1" si="12"/>
        <v>0</v>
      </c>
      <c r="M51" s="97"/>
      <c r="N51" s="28"/>
      <c r="O51" s="186">
        <f>_xlfn.IFNA(MATCH(N51,'Stor Factors'!$B$13:$B$439,0),0)</f>
        <v>0</v>
      </c>
      <c r="P51" s="22">
        <f ca="1">OFFSET('Stor Factors'!$B$13,$O51-1,P$14)*$L51+OFFSET('Stor Factors'!$B$13,$K51-1,P$14)*$H51</f>
        <v>0</v>
      </c>
      <c r="Q51" s="97"/>
      <c r="R51" s="22">
        <f ca="1">OFFSET('Stor Factors'!$B$13,$O51-1,R$14)*$L51+OFFSET('Stor Factors'!$B$13,$K51-1,R$14)*$H51</f>
        <v>0</v>
      </c>
      <c r="S51" s="22"/>
      <c r="T51" s="22">
        <f ca="1">OFFSET('Stor Factors'!$B$13,$O51-1,T$14)*$L51+OFFSET('Stor Factors'!$B$13,$K51-1,T$14)*$H51</f>
        <v>0</v>
      </c>
      <c r="U51" s="22"/>
      <c r="V51" s="22">
        <f ca="1">OFFSET('Stor Factors'!$B$13,$O51-1,V$14)*$L51+OFFSET('Stor Factors'!$B$13,$K51-1,V$14)*$H51</f>
        <v>0</v>
      </c>
      <c r="X51" s="100">
        <f t="shared" ca="1" si="9"/>
        <v>0</v>
      </c>
      <c r="Y51" s="97"/>
      <c r="Z51" s="35" t="str">
        <f t="shared" ca="1" si="10"/>
        <v/>
      </c>
      <c r="AA51" s="97"/>
      <c r="AB51" s="22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</row>
    <row r="52" spans="2:40" s="99" customFormat="1" ht="13" x14ac:dyDescent="0.3">
      <c r="B52" s="163">
        <f>B51+1</f>
        <v>29</v>
      </c>
      <c r="D52" s="99" t="s">
        <v>78</v>
      </c>
      <c r="F52" s="113">
        <f ca="1">Function!R52</f>
        <v>0</v>
      </c>
      <c r="G52" s="94"/>
      <c r="H52" s="113"/>
      <c r="I52" s="94"/>
      <c r="J52" s="94"/>
      <c r="K52" s="91">
        <f>_xlfn.IFNA(MATCH(J52,'Stor Factors'!$B$13:$B$439,0),0)</f>
        <v>0</v>
      </c>
      <c r="L52" s="113">
        <f t="shared" ca="1" si="12"/>
        <v>0</v>
      </c>
      <c r="M52" s="97"/>
      <c r="N52" s="28" t="s">
        <v>50</v>
      </c>
      <c r="O52" s="186">
        <f>_xlfn.IFNA(MATCH(N52,'Stor Factors'!$B$13:$B$439,0),0)</f>
        <v>27</v>
      </c>
      <c r="P52" s="22">
        <f ca="1">OFFSET('Stor Factors'!$B$13,$O52-1,P$14)*$L52+OFFSET('Stor Factors'!$B$13,$K52-1,P$14)*$H52</f>
        <v>0</v>
      </c>
      <c r="Q52" s="97"/>
      <c r="R52" s="22">
        <f ca="1">OFFSET('Stor Factors'!$B$13,$O52-1,R$14)*$L52+OFFSET('Stor Factors'!$B$13,$K52-1,R$14)*$H52</f>
        <v>0</v>
      </c>
      <c r="S52" s="22"/>
      <c r="T52" s="22">
        <f ca="1">OFFSET('Stor Factors'!$B$13,$O52-1,T$14)*$L52+OFFSET('Stor Factors'!$B$13,$K52-1,T$14)*$H52</f>
        <v>0</v>
      </c>
      <c r="U52" s="22"/>
      <c r="V52" s="22">
        <f ca="1">OFFSET('Stor Factors'!$B$13,$O52-1,V$14)*$L52+OFFSET('Stor Factors'!$B$13,$K52-1,V$14)*$H52</f>
        <v>0</v>
      </c>
      <c r="X52" s="100">
        <f t="shared" ca="1" si="9"/>
        <v>0</v>
      </c>
      <c r="Y52" s="97"/>
      <c r="Z52" s="35" t="str">
        <f t="shared" ca="1" si="10"/>
        <v/>
      </c>
      <c r="AA52" s="97"/>
      <c r="AB52" s="22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</row>
    <row r="53" spans="2:40" s="99" customFormat="1" ht="13" x14ac:dyDescent="0.3">
      <c r="B53" s="163">
        <f t="shared" si="11"/>
        <v>30</v>
      </c>
      <c r="D53" s="99" t="s">
        <v>334</v>
      </c>
      <c r="F53" s="79">
        <f ca="1">SUM(F40:F52)</f>
        <v>-400813.54352617083</v>
      </c>
      <c r="G53" s="94"/>
      <c r="H53" s="79">
        <f ca="1">SUM(H40:H52)</f>
        <v>-20635.346949200135</v>
      </c>
      <c r="I53" s="94"/>
      <c r="J53" s="94"/>
      <c r="K53" s="94"/>
      <c r="L53" s="79">
        <f ca="1">SUM(L40:L52)</f>
        <v>-380178.19657697069</v>
      </c>
      <c r="M53" s="97"/>
      <c r="N53" s="97"/>
      <c r="O53" s="188"/>
      <c r="P53" s="46">
        <f ca="1">SUM(P40:P52)</f>
        <v>-311654.34673255525</v>
      </c>
      <c r="Q53" s="32"/>
      <c r="R53" s="46">
        <f ca="1">SUM(R40:R52)</f>
        <v>-82182.69418924622</v>
      </c>
      <c r="S53" s="30"/>
      <c r="T53" s="46">
        <f ca="1">SUM(T40:T52)</f>
        <v>-6976.5026043693897</v>
      </c>
      <c r="U53" s="30"/>
      <c r="V53" s="46">
        <f ca="1">SUM(V40:V52)</f>
        <v>0</v>
      </c>
      <c r="W53" s="41"/>
      <c r="X53" s="46">
        <f ca="1">SUM(X40:X52)</f>
        <v>-400813.54352617083</v>
      </c>
      <c r="Y53" s="23"/>
      <c r="Z53" s="35" t="str">
        <f t="shared" ca="1" si="10"/>
        <v/>
      </c>
      <c r="AA53" s="97"/>
      <c r="AB53" s="22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</row>
    <row r="54" spans="2:40" s="99" customFormat="1" ht="13" x14ac:dyDescent="0.3">
      <c r="B54" s="163"/>
      <c r="F54" s="94"/>
      <c r="G54" s="94"/>
      <c r="H54" s="94"/>
      <c r="I54" s="94"/>
      <c r="J54" s="94"/>
      <c r="K54" s="94"/>
      <c r="L54" s="94"/>
      <c r="M54" s="97"/>
      <c r="N54" s="97"/>
      <c r="O54" s="188"/>
      <c r="P54" s="97"/>
      <c r="Q54" s="97"/>
      <c r="R54" s="47"/>
      <c r="S54" s="97"/>
      <c r="T54" s="97"/>
      <c r="U54" s="97"/>
      <c r="V54" s="97"/>
      <c r="W54" s="41"/>
      <c r="X54" s="97"/>
      <c r="Y54" s="97"/>
      <c r="Z54" s="35" t="str">
        <f t="shared" si="10"/>
        <v/>
      </c>
      <c r="AA54" s="97"/>
      <c r="AB54" s="22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</row>
    <row r="55" spans="2:40" s="99" customFormat="1" ht="13" x14ac:dyDescent="0.3">
      <c r="B55" s="163">
        <f>B53+1</f>
        <v>31</v>
      </c>
      <c r="D55" s="99" t="s">
        <v>221</v>
      </c>
      <c r="F55" s="113">
        <f ca="1">Function!R55</f>
        <v>-33443.566901546081</v>
      </c>
      <c r="G55" s="94"/>
      <c r="H55" s="113"/>
      <c r="I55" s="94"/>
      <c r="J55" s="94"/>
      <c r="K55" s="91">
        <f>_xlfn.IFNA(MATCH(J55,'Stor Factors'!$B$13:$B$439,0),0)</f>
        <v>0</v>
      </c>
      <c r="L55" s="113">
        <f t="shared" ref="L55" ca="1" si="13">F55-H55</f>
        <v>-33443.566901546081</v>
      </c>
      <c r="M55" s="97"/>
      <c r="N55" s="28" t="s">
        <v>143</v>
      </c>
      <c r="O55" s="186">
        <f>_xlfn.IFNA(MATCH(N55,'Stor Factors'!$B$13:$B$439,0),0)</f>
        <v>45</v>
      </c>
      <c r="P55" s="22">
        <f ca="1">OFFSET('Stor Factors'!$B$13,$O55-1,P$14)*$L55+OFFSET('Stor Factors'!$B$13,$K55-1,P$14)*$H55</f>
        <v>-23839.938929180491</v>
      </c>
      <c r="Q55" s="97"/>
      <c r="R55" s="22">
        <f ca="1">OFFSET('Stor Factors'!$B$13,$O55-1,R$14)*$L55+OFFSET('Stor Factors'!$B$13,$K55-1,R$14)*$H55</f>
        <v>-8852.1661157083017</v>
      </c>
      <c r="S55" s="22"/>
      <c r="T55" s="22">
        <f ca="1">OFFSET('Stor Factors'!$B$13,$O55-1,T$14)*$L55+OFFSET('Stor Factors'!$B$13,$K55-1,T$14)*$H55</f>
        <v>-751.46185665729217</v>
      </c>
      <c r="U55" s="22"/>
      <c r="V55" s="22">
        <f ca="1">OFFSET('Stor Factors'!$B$13,$O55-1,V$14)*$L55+OFFSET('Stor Factors'!$B$13,$K55-1,V$14)*$H55</f>
        <v>0</v>
      </c>
      <c r="X55" s="100">
        <f t="shared" ref="X55" ca="1" si="14">P55+R55+T55+V55</f>
        <v>-33443.566901546081</v>
      </c>
      <c r="Y55" s="97"/>
      <c r="Z55" s="35"/>
      <c r="AA55" s="97"/>
      <c r="AB55" s="22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</row>
    <row r="56" spans="2:40" s="99" customFormat="1" ht="13" x14ac:dyDescent="0.3">
      <c r="B56" s="163"/>
      <c r="F56" s="94"/>
      <c r="G56" s="94"/>
      <c r="H56" s="94"/>
      <c r="I56" s="94"/>
      <c r="J56" s="94"/>
      <c r="K56" s="94"/>
      <c r="L56" s="94"/>
      <c r="M56" s="97"/>
      <c r="N56" s="97"/>
      <c r="O56" s="187"/>
      <c r="P56" s="97"/>
      <c r="Q56" s="97"/>
      <c r="R56" s="97"/>
      <c r="S56" s="97"/>
      <c r="T56" s="97"/>
      <c r="U56" s="97"/>
      <c r="V56" s="97"/>
      <c r="W56" s="41"/>
      <c r="X56" s="97"/>
      <c r="Y56" s="97"/>
      <c r="Z56" s="35" t="str">
        <f t="shared" ref="Z56:Z59" si="15">IF(ROUND(F56,4)=ROUND(X56,4), "", "check")</f>
        <v/>
      </c>
      <c r="AA56" s="97"/>
      <c r="AB56" s="22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</row>
    <row r="57" spans="2:40" s="99" customFormat="1" ht="13" x14ac:dyDescent="0.3">
      <c r="B57" s="163">
        <f>B55+1</f>
        <v>32</v>
      </c>
      <c r="D57" s="99" t="s">
        <v>476</v>
      </c>
      <c r="F57" s="79">
        <f ca="1">F53+F55</f>
        <v>-434257.11042771692</v>
      </c>
      <c r="G57" s="94"/>
      <c r="H57" s="79">
        <f ca="1">H53+H55</f>
        <v>-20635.346949200135</v>
      </c>
      <c r="I57" s="94"/>
      <c r="J57" s="94"/>
      <c r="K57" s="94"/>
      <c r="L57" s="79">
        <f ca="1">L53+L55</f>
        <v>-413621.76347851678</v>
      </c>
      <c r="M57" s="97"/>
      <c r="N57" s="97"/>
      <c r="O57" s="187"/>
      <c r="P57" s="45">
        <f ca="1">P53+P55</f>
        <v>-335494.28566173575</v>
      </c>
      <c r="Q57" s="47"/>
      <c r="R57" s="45">
        <f ca="1">R53+R55</f>
        <v>-91034.86030495452</v>
      </c>
      <c r="S57" s="23"/>
      <c r="T57" s="45">
        <f ca="1">T53+T55</f>
        <v>-7727.9644610266823</v>
      </c>
      <c r="U57" s="23"/>
      <c r="V57" s="45">
        <f ca="1">V53+V55</f>
        <v>0</v>
      </c>
      <c r="W57" s="41"/>
      <c r="X57" s="45">
        <f ca="1">X53+X55</f>
        <v>-434257.11042771692</v>
      </c>
      <c r="Y57" s="97"/>
      <c r="Z57" s="35" t="str">
        <f t="shared" ca="1" si="15"/>
        <v/>
      </c>
      <c r="AA57" s="23"/>
      <c r="AB57" s="22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</row>
    <row r="58" spans="2:40" s="99" customFormat="1" ht="13" x14ac:dyDescent="0.3">
      <c r="B58" s="163"/>
      <c r="D58" s="6"/>
      <c r="F58" s="219"/>
      <c r="G58" s="94"/>
      <c r="H58" s="219"/>
      <c r="I58" s="94"/>
      <c r="J58" s="94"/>
      <c r="K58" s="94"/>
      <c r="L58" s="219"/>
      <c r="M58" s="97"/>
      <c r="N58" s="97"/>
      <c r="O58" s="187"/>
      <c r="P58" s="97"/>
      <c r="Q58" s="97"/>
      <c r="R58" s="97"/>
      <c r="S58" s="97"/>
      <c r="T58" s="97"/>
      <c r="U58" s="97"/>
      <c r="V58" s="97"/>
      <c r="W58" s="41"/>
      <c r="X58" s="97"/>
      <c r="Y58" s="97"/>
      <c r="Z58" s="35" t="str">
        <f t="shared" si="15"/>
        <v/>
      </c>
      <c r="AA58" s="97"/>
      <c r="AB58" s="22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</row>
    <row r="59" spans="2:40" s="99" customFormat="1" ht="13" x14ac:dyDescent="0.3">
      <c r="B59" s="163"/>
      <c r="E59" s="6"/>
      <c r="F59" s="94"/>
      <c r="G59" s="94"/>
      <c r="H59" s="94"/>
      <c r="I59" s="94"/>
      <c r="J59" s="94"/>
      <c r="K59" s="94"/>
      <c r="L59" s="94"/>
      <c r="M59" s="97"/>
      <c r="N59" s="97"/>
      <c r="O59" s="187"/>
      <c r="P59" s="97"/>
      <c r="Q59" s="97"/>
      <c r="R59" s="97"/>
      <c r="S59" s="97"/>
      <c r="T59" s="97"/>
      <c r="U59" s="97"/>
      <c r="V59" s="97"/>
      <c r="W59" s="41"/>
      <c r="X59" s="97"/>
      <c r="Y59" s="97"/>
      <c r="Z59" s="35" t="str">
        <f t="shared" si="15"/>
        <v/>
      </c>
      <c r="AA59" s="97"/>
      <c r="AB59" s="22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</row>
    <row r="60" spans="2:40" ht="13" x14ac:dyDescent="0.3">
      <c r="D60" s="6" t="s">
        <v>17</v>
      </c>
      <c r="E60" s="7"/>
      <c r="F60" s="220"/>
      <c r="Y60" s="24"/>
      <c r="Z60" s="37"/>
    </row>
    <row r="61" spans="2:40" x14ac:dyDescent="0.25">
      <c r="Y61" s="24"/>
      <c r="Z61" s="37"/>
    </row>
    <row r="62" spans="2:40" ht="13" x14ac:dyDescent="0.3">
      <c r="B62" s="163">
        <f>B57+1</f>
        <v>33</v>
      </c>
      <c r="D62" s="99" t="s">
        <v>77</v>
      </c>
      <c r="F62" s="113">
        <f ca="1">F18+F40</f>
        <v>12712.975753678993</v>
      </c>
      <c r="H62" s="113">
        <f ca="1">H18+H40</f>
        <v>7.3027000000000006</v>
      </c>
      <c r="J62" s="91"/>
      <c r="K62" s="91">
        <f>_xlfn.IFNA(MATCH(J62,'Stor Factors'!$B$13:$B$439,0),0)</f>
        <v>0</v>
      </c>
      <c r="L62" s="113">
        <f ca="1">F62-H62</f>
        <v>12705.673053678993</v>
      </c>
      <c r="N62" s="28"/>
      <c r="O62" s="186">
        <f>_xlfn.IFNA(MATCH(N62,'Stor Factors'!$B$13:$B$439,0),0)</f>
        <v>0</v>
      </c>
      <c r="P62" s="22">
        <f ca="1">P18+P40</f>
        <v>12712.975753678993</v>
      </c>
      <c r="Q62" s="24"/>
      <c r="R62" s="22">
        <f ca="1">R18+R40</f>
        <v>0</v>
      </c>
      <c r="S62" s="22"/>
      <c r="T62" s="22">
        <f ca="1">T18+T40</f>
        <v>0</v>
      </c>
      <c r="U62" s="22"/>
      <c r="V62" s="22">
        <f ca="1">V18+V40</f>
        <v>0</v>
      </c>
      <c r="X62" s="9">
        <f t="shared" ref="X62:X64" ca="1" si="16">P62+R62+T62+V62</f>
        <v>12712.975753678993</v>
      </c>
      <c r="Y62" s="24"/>
      <c r="Z62" s="35" t="str">
        <f ca="1">IF(ROUND(F62,4)=ROUND(X62,4), "", "check")</f>
        <v/>
      </c>
      <c r="AA62" s="24"/>
      <c r="AB62" s="22"/>
    </row>
    <row r="63" spans="2:40" ht="13" x14ac:dyDescent="0.3">
      <c r="B63" s="163">
        <f>B62+1</f>
        <v>34</v>
      </c>
      <c r="D63" s="99" t="s">
        <v>76</v>
      </c>
      <c r="F63" s="113">
        <f t="shared" ref="F63:F74" ca="1" si="17">F19+F41</f>
        <v>27717.609088767276</v>
      </c>
      <c r="H63" s="113"/>
      <c r="J63" s="91"/>
      <c r="K63" s="91">
        <f>_xlfn.IFNA(MATCH(J63,'Stor Factors'!$B$13:$B$439,0),0)</f>
        <v>0</v>
      </c>
      <c r="L63" s="113">
        <f ca="1">F63-H63</f>
        <v>27717.609088767276</v>
      </c>
      <c r="N63" s="28"/>
      <c r="O63" s="186">
        <f>_xlfn.IFNA(MATCH(N63,'Stor Factors'!$B$13:$B$439,0),0)</f>
        <v>0</v>
      </c>
      <c r="P63" s="22">
        <f t="shared" ref="P63:R74" ca="1" si="18">P19+P41</f>
        <v>13858.804544383638</v>
      </c>
      <c r="Q63" s="24"/>
      <c r="R63" s="22">
        <f t="shared" ca="1" si="18"/>
        <v>12774.384882986891</v>
      </c>
      <c r="S63" s="22"/>
      <c r="T63" s="22">
        <f t="shared" ref="T63" ca="1" si="19">T19+T41</f>
        <v>1084.4196613967495</v>
      </c>
      <c r="U63" s="22"/>
      <c r="V63" s="22">
        <f t="shared" ref="V63" ca="1" si="20">V19+V41</f>
        <v>0</v>
      </c>
      <c r="X63" s="9">
        <f t="shared" ca="1" si="16"/>
        <v>27717.60908876728</v>
      </c>
      <c r="Y63" s="24"/>
      <c r="Z63" s="35" t="str">
        <f t="shared" ref="Z63:Z122" ca="1" si="21">IF(ROUND(F63,4)=ROUND(X63,4), "", "check")</f>
        <v/>
      </c>
      <c r="AA63" s="24"/>
      <c r="AB63" s="22"/>
    </row>
    <row r="64" spans="2:40" ht="13" x14ac:dyDescent="0.3">
      <c r="B64" s="163">
        <f t="shared" ref="B64:B75" si="22">B63+1</f>
        <v>35</v>
      </c>
      <c r="D64" s="99" t="s">
        <v>19</v>
      </c>
      <c r="F64" s="113">
        <f t="shared" ca="1" si="17"/>
        <v>53610.498480618488</v>
      </c>
      <c r="H64" s="113">
        <f ca="1">H20+H42</f>
        <v>5254.8525255047552</v>
      </c>
      <c r="J64" s="91"/>
      <c r="K64" s="91">
        <f>_xlfn.IFNA(MATCH(J64,'Stor Factors'!$B$13:$B$439,0),0)</f>
        <v>0</v>
      </c>
      <c r="L64" s="113">
        <f t="shared" ref="L64:L74" ca="1" si="23">F64-H64</f>
        <v>48355.64595511373</v>
      </c>
      <c r="M64" s="24"/>
      <c r="N64" s="28"/>
      <c r="O64" s="186">
        <f>_xlfn.IFNA(MATCH(N64,'Stor Factors'!$B$13:$B$439,0),0)</f>
        <v>0</v>
      </c>
      <c r="P64" s="22">
        <f t="shared" ca="1" si="18"/>
        <v>53610.498480618488</v>
      </c>
      <c r="Q64" s="24"/>
      <c r="R64" s="22">
        <f t="shared" ca="1" si="18"/>
        <v>0</v>
      </c>
      <c r="S64" s="22"/>
      <c r="T64" s="22">
        <f t="shared" ref="T64" ca="1" si="24">T20+T42</f>
        <v>0</v>
      </c>
      <c r="U64" s="22"/>
      <c r="V64" s="22">
        <f t="shared" ref="V64" ca="1" si="25">V20+V42</f>
        <v>0</v>
      </c>
      <c r="X64" s="9">
        <f t="shared" ca="1" si="16"/>
        <v>53610.498480618488</v>
      </c>
      <c r="Y64" s="24"/>
      <c r="Z64" s="35" t="str">
        <f t="shared" ca="1" si="21"/>
        <v/>
      </c>
      <c r="AA64" s="24"/>
      <c r="AB64" s="22"/>
    </row>
    <row r="65" spans="2:37" ht="13" x14ac:dyDescent="0.3">
      <c r="B65" s="163">
        <f t="shared" si="22"/>
        <v>36</v>
      </c>
      <c r="D65" s="99" t="s">
        <v>21</v>
      </c>
      <c r="F65" s="113">
        <f t="shared" ca="1" si="17"/>
        <v>7056.4073710561788</v>
      </c>
      <c r="H65" s="113"/>
      <c r="J65" s="91"/>
      <c r="K65" s="91">
        <f>_xlfn.IFNA(MATCH(J65,'Stor Factors'!$B$13:$B$439,0),0)</f>
        <v>0</v>
      </c>
      <c r="L65" s="113">
        <f t="shared" ca="1" si="23"/>
        <v>7056.4073710561788</v>
      </c>
      <c r="M65" s="24"/>
      <c r="N65" s="28"/>
      <c r="O65" s="186">
        <f>_xlfn.IFNA(MATCH(N65,'Stor Factors'!$B$13:$B$439,0),0)</f>
        <v>0</v>
      </c>
      <c r="P65" s="22">
        <f t="shared" ca="1" si="18"/>
        <v>7056.4073710561788</v>
      </c>
      <c r="Q65" s="24"/>
      <c r="R65" s="22">
        <f t="shared" ca="1" si="18"/>
        <v>0</v>
      </c>
      <c r="S65" s="22"/>
      <c r="T65" s="22">
        <f t="shared" ref="T65" ca="1" si="26">T21+T43</f>
        <v>0</v>
      </c>
      <c r="U65" s="22"/>
      <c r="V65" s="22">
        <f t="shared" ref="V65" ca="1" si="27">V21+V43</f>
        <v>0</v>
      </c>
      <c r="X65" s="9">
        <f t="shared" ref="X65:X74" ca="1" si="28">P65+R65+T65+V65</f>
        <v>7056.4073710561788</v>
      </c>
      <c r="Y65" s="24"/>
      <c r="Z65" s="35" t="str">
        <f t="shared" ca="1" si="21"/>
        <v/>
      </c>
      <c r="AA65" s="24"/>
      <c r="AB65" s="22"/>
    </row>
    <row r="66" spans="2:37" ht="13" x14ac:dyDescent="0.3">
      <c r="B66" s="163">
        <f t="shared" si="22"/>
        <v>37</v>
      </c>
      <c r="D66" s="99" t="s">
        <v>23</v>
      </c>
      <c r="F66" s="113">
        <f t="shared" ca="1" si="17"/>
        <v>0</v>
      </c>
      <c r="H66" s="113"/>
      <c r="J66" s="91"/>
      <c r="K66" s="91">
        <f>_xlfn.IFNA(MATCH(J66,'Stor Factors'!$B$13:$B$439,0),0)</f>
        <v>0</v>
      </c>
      <c r="L66" s="113">
        <f t="shared" ca="1" si="23"/>
        <v>0</v>
      </c>
      <c r="M66" s="24"/>
      <c r="N66" s="28"/>
      <c r="O66" s="186">
        <f>_xlfn.IFNA(MATCH(N66,'Stor Factors'!$B$13:$B$439,0),0)</f>
        <v>0</v>
      </c>
      <c r="P66" s="22">
        <f t="shared" ca="1" si="18"/>
        <v>0</v>
      </c>
      <c r="Q66" s="24"/>
      <c r="R66" s="22">
        <f t="shared" ca="1" si="18"/>
        <v>0</v>
      </c>
      <c r="S66" s="22"/>
      <c r="T66" s="22">
        <f t="shared" ref="T66" ca="1" si="29">T22+T44</f>
        <v>0</v>
      </c>
      <c r="U66" s="22"/>
      <c r="V66" s="22">
        <f t="shared" ref="V66" ca="1" si="30">V22+V44</f>
        <v>0</v>
      </c>
      <c r="X66" s="9">
        <f t="shared" ca="1" si="28"/>
        <v>0</v>
      </c>
      <c r="Y66" s="24"/>
      <c r="Z66" s="35" t="str">
        <f t="shared" ca="1" si="21"/>
        <v/>
      </c>
      <c r="AA66" s="24"/>
      <c r="AB66" s="22"/>
    </row>
    <row r="67" spans="2:37" ht="13" x14ac:dyDescent="0.3">
      <c r="B67" s="163">
        <f t="shared" si="22"/>
        <v>38</v>
      </c>
      <c r="D67" s="99" t="s">
        <v>25</v>
      </c>
      <c r="F67" s="113">
        <f t="shared" ca="1" si="17"/>
        <v>228197.51069519774</v>
      </c>
      <c r="H67" s="113"/>
      <c r="K67" s="91">
        <f>_xlfn.IFNA(MATCH(J67,'Stor Factors'!$B$13:$B$439,0),0)</f>
        <v>0</v>
      </c>
      <c r="L67" s="113">
        <f t="shared" ca="1" si="23"/>
        <v>228197.51069519774</v>
      </c>
      <c r="M67" s="24"/>
      <c r="N67" s="28"/>
      <c r="O67" s="186">
        <f>_xlfn.IFNA(MATCH(N67,'Stor Factors'!$B$13:$B$439,0),0)</f>
        <v>0</v>
      </c>
      <c r="P67" s="22">
        <f t="shared" ca="1" si="18"/>
        <v>228197.51069519774</v>
      </c>
      <c r="Q67" s="24"/>
      <c r="R67" s="22">
        <f t="shared" ca="1" si="18"/>
        <v>0</v>
      </c>
      <c r="S67" s="22"/>
      <c r="T67" s="22">
        <f t="shared" ref="T67" ca="1" si="31">T23+T45</f>
        <v>0</v>
      </c>
      <c r="U67" s="22"/>
      <c r="V67" s="22">
        <f t="shared" ref="V67" ca="1" si="32">V23+V45</f>
        <v>0</v>
      </c>
      <c r="X67" s="9">
        <f t="shared" ca="1" si="28"/>
        <v>228197.51069519774</v>
      </c>
      <c r="Y67" s="24"/>
      <c r="Z67" s="35" t="str">
        <f t="shared" ca="1" si="21"/>
        <v/>
      </c>
      <c r="AA67" s="24"/>
      <c r="AB67" s="22"/>
      <c r="AK67" s="237"/>
    </row>
    <row r="68" spans="2:37" ht="13" x14ac:dyDescent="0.3">
      <c r="B68" s="163">
        <f t="shared" si="22"/>
        <v>39</v>
      </c>
      <c r="D68" s="99" t="s">
        <v>27</v>
      </c>
      <c r="F68" s="113">
        <f t="shared" ca="1" si="17"/>
        <v>14568.068741056566</v>
      </c>
      <c r="H68" s="113">
        <f ca="1">H24+H46</f>
        <v>14568.068741056566</v>
      </c>
      <c r="J68" s="91"/>
      <c r="K68" s="91">
        <f>_xlfn.IFNA(MATCH(J68,'Stor Factors'!$B$13:$B$439,0),0)</f>
        <v>0</v>
      </c>
      <c r="L68" s="113">
        <f t="shared" ca="1" si="23"/>
        <v>0</v>
      </c>
      <c r="M68" s="24"/>
      <c r="N68" s="28"/>
      <c r="O68" s="186">
        <f>_xlfn.IFNA(MATCH(N68,'Stor Factors'!$B$13:$B$439,0),0)</f>
        <v>0</v>
      </c>
      <c r="P68" s="22">
        <f t="shared" ca="1" si="18"/>
        <v>14568.068741056566</v>
      </c>
      <c r="Q68" s="24"/>
      <c r="R68" s="22">
        <f t="shared" ca="1" si="18"/>
        <v>0</v>
      </c>
      <c r="S68" s="22"/>
      <c r="T68" s="22">
        <f t="shared" ref="T68" ca="1" si="33">T24+T46</f>
        <v>0</v>
      </c>
      <c r="U68" s="22"/>
      <c r="V68" s="22">
        <f t="shared" ref="V68" ca="1" si="34">V24+V46</f>
        <v>0</v>
      </c>
      <c r="X68" s="9">
        <f t="shared" ca="1" si="28"/>
        <v>14568.068741056566</v>
      </c>
      <c r="Y68" s="24"/>
      <c r="Z68" s="35" t="str">
        <f t="shared" ca="1" si="21"/>
        <v/>
      </c>
      <c r="AA68" s="24"/>
      <c r="AB68" s="22"/>
      <c r="AK68" s="237"/>
    </row>
    <row r="69" spans="2:37" ht="13" x14ac:dyDescent="0.3">
      <c r="B69" s="163">
        <f t="shared" si="22"/>
        <v>40</v>
      </c>
      <c r="D69" s="99" t="s">
        <v>29</v>
      </c>
      <c r="F69" s="113">
        <f t="shared" ca="1" si="17"/>
        <v>326509.58352305606</v>
      </c>
      <c r="H69" s="113"/>
      <c r="K69" s="91">
        <f>_xlfn.IFNA(MATCH(J69,'Stor Factors'!$B$13:$B$439,0),0)</f>
        <v>0</v>
      </c>
      <c r="L69" s="113">
        <f t="shared" ca="1" si="23"/>
        <v>326509.58352305606</v>
      </c>
      <c r="M69" s="24"/>
      <c r="N69" s="28"/>
      <c r="O69" s="186">
        <f>_xlfn.IFNA(MATCH(N69,'Stor Factors'!$B$13:$B$439,0),0)</f>
        <v>0</v>
      </c>
      <c r="P69" s="22">
        <f t="shared" ca="1" si="18"/>
        <v>163254.79176152803</v>
      </c>
      <c r="Q69" s="24"/>
      <c r="R69" s="22">
        <f t="shared" ca="1" si="18"/>
        <v>150480.47883746144</v>
      </c>
      <c r="S69" s="22"/>
      <c r="T69" s="22">
        <f t="shared" ref="T69" ca="1" si="35">T25+T47</f>
        <v>12774.312924066617</v>
      </c>
      <c r="U69" s="22"/>
      <c r="V69" s="22">
        <f t="shared" ref="V69" ca="1" si="36">V25+V47</f>
        <v>0</v>
      </c>
      <c r="X69" s="9">
        <f t="shared" ca="1" si="28"/>
        <v>326509.58352305606</v>
      </c>
      <c r="Y69" s="24"/>
      <c r="Z69" s="35" t="str">
        <f t="shared" ca="1" si="21"/>
        <v/>
      </c>
      <c r="AA69" s="24"/>
      <c r="AB69" s="22"/>
    </row>
    <row r="70" spans="2:37" ht="13" x14ac:dyDescent="0.3">
      <c r="B70" s="163">
        <f t="shared" si="22"/>
        <v>41</v>
      </c>
      <c r="D70" s="99" t="s">
        <v>30</v>
      </c>
      <c r="F70" s="113">
        <f t="shared" ca="1" si="17"/>
        <v>69492.406220965684</v>
      </c>
      <c r="H70" s="113"/>
      <c r="K70" s="91">
        <f>_xlfn.IFNA(MATCH(J70,'Stor Factors'!$B$13:$B$439,0),0)</f>
        <v>0</v>
      </c>
      <c r="L70" s="113">
        <f t="shared" ca="1" si="23"/>
        <v>69492.406220965684</v>
      </c>
      <c r="M70" s="24"/>
      <c r="N70" s="28"/>
      <c r="O70" s="186">
        <f>_xlfn.IFNA(MATCH(N70,'Stor Factors'!$B$13:$B$439,0),0)</f>
        <v>0</v>
      </c>
      <c r="P70" s="22">
        <f t="shared" ca="1" si="18"/>
        <v>0</v>
      </c>
      <c r="Q70" s="24"/>
      <c r="R70" s="22">
        <f t="shared" ca="1" si="18"/>
        <v>64054.784860303334</v>
      </c>
      <c r="S70" s="22"/>
      <c r="T70" s="22">
        <f t="shared" ref="T70" ca="1" si="37">T26+T48</f>
        <v>5437.6213606623542</v>
      </c>
      <c r="U70" s="22"/>
      <c r="V70" s="22">
        <f t="shared" ref="V70" ca="1" si="38">V26+V48</f>
        <v>0</v>
      </c>
      <c r="X70" s="9">
        <f t="shared" ca="1" si="28"/>
        <v>69492.406220965684</v>
      </c>
      <c r="Y70" s="24"/>
      <c r="Z70" s="35" t="str">
        <f t="shared" ca="1" si="21"/>
        <v/>
      </c>
      <c r="AA70" s="24"/>
      <c r="AB70" s="22"/>
    </row>
    <row r="71" spans="2:37" ht="13" x14ac:dyDescent="0.3">
      <c r="B71" s="163">
        <f t="shared" si="22"/>
        <v>42</v>
      </c>
      <c r="D71" s="99" t="s">
        <v>31</v>
      </c>
      <c r="F71" s="113">
        <f t="shared" ca="1" si="17"/>
        <v>0</v>
      </c>
      <c r="H71" s="113"/>
      <c r="K71" s="91">
        <f>_xlfn.IFNA(MATCH(J71,'Stor Factors'!$B$13:$B$439,0),0)</f>
        <v>0</v>
      </c>
      <c r="L71" s="113">
        <f t="shared" ca="1" si="23"/>
        <v>0</v>
      </c>
      <c r="M71" s="24"/>
      <c r="N71" s="28"/>
      <c r="O71" s="186">
        <f>_xlfn.IFNA(MATCH(N71,'Stor Factors'!$B$13:$B$439,0),0)</f>
        <v>0</v>
      </c>
      <c r="P71" s="22">
        <f t="shared" ca="1" si="18"/>
        <v>0</v>
      </c>
      <c r="Q71" s="24"/>
      <c r="R71" s="22">
        <f t="shared" ca="1" si="18"/>
        <v>0</v>
      </c>
      <c r="S71" s="22"/>
      <c r="T71" s="22">
        <f t="shared" ref="T71" ca="1" si="39">T27+T49</f>
        <v>0</v>
      </c>
      <c r="U71" s="22"/>
      <c r="V71" s="22">
        <f t="shared" ref="V71" ca="1" si="40">V27+V49</f>
        <v>0</v>
      </c>
      <c r="X71" s="9">
        <f t="shared" ca="1" si="28"/>
        <v>0</v>
      </c>
      <c r="Y71" s="24"/>
      <c r="Z71" s="35" t="str">
        <f t="shared" ca="1" si="21"/>
        <v/>
      </c>
      <c r="AA71" s="24"/>
      <c r="AB71" s="22"/>
    </row>
    <row r="72" spans="2:37" ht="13" x14ac:dyDescent="0.3">
      <c r="B72" s="163">
        <f t="shared" si="22"/>
        <v>43</v>
      </c>
      <c r="D72" s="99" t="s">
        <v>327</v>
      </c>
      <c r="F72" s="113">
        <f t="shared" ca="1" si="17"/>
        <v>0</v>
      </c>
      <c r="H72" s="113"/>
      <c r="K72" s="91">
        <f>_xlfn.IFNA(MATCH(J72,'Stor Factors'!$B$13:$B$439,0),0)</f>
        <v>0</v>
      </c>
      <c r="L72" s="113">
        <f t="shared" ca="1" si="23"/>
        <v>0</v>
      </c>
      <c r="M72" s="24"/>
      <c r="N72" s="28"/>
      <c r="O72" s="186">
        <f>_xlfn.IFNA(MATCH(N72,'Stor Factors'!$B$13:$B$439,0),0)</f>
        <v>0</v>
      </c>
      <c r="P72" s="22">
        <f t="shared" ca="1" si="18"/>
        <v>0</v>
      </c>
      <c r="Q72" s="24"/>
      <c r="R72" s="22">
        <f t="shared" ca="1" si="18"/>
        <v>0</v>
      </c>
      <c r="S72" s="22"/>
      <c r="T72" s="22">
        <f t="shared" ref="T72" ca="1" si="41">T28+T50</f>
        <v>0</v>
      </c>
      <c r="U72" s="22"/>
      <c r="V72" s="22">
        <f t="shared" ref="V72" ca="1" si="42">V28+V50</f>
        <v>0</v>
      </c>
      <c r="X72" s="9">
        <f t="shared" ca="1" si="28"/>
        <v>0</v>
      </c>
      <c r="Y72" s="24"/>
      <c r="Z72" s="35" t="str">
        <f t="shared" ca="1" si="21"/>
        <v/>
      </c>
      <c r="AA72" s="24"/>
      <c r="AB72" s="22"/>
    </row>
    <row r="73" spans="2:37" ht="13" x14ac:dyDescent="0.3">
      <c r="B73" s="163">
        <f>B72+1</f>
        <v>44</v>
      </c>
      <c r="D73" s="99" t="s">
        <v>34</v>
      </c>
      <c r="F73" s="113">
        <f t="shared" ca="1" si="17"/>
        <v>0</v>
      </c>
      <c r="H73" s="113"/>
      <c r="K73" s="91">
        <f>_xlfn.IFNA(MATCH(J73,'Stor Factors'!$B$13:$B$439,0),0)</f>
        <v>0</v>
      </c>
      <c r="L73" s="113">
        <f t="shared" ca="1" si="23"/>
        <v>0</v>
      </c>
      <c r="M73" s="24"/>
      <c r="N73" s="28"/>
      <c r="O73" s="186">
        <f>_xlfn.IFNA(MATCH(N73,'Stor Factors'!$B$13:$B$439,0),0)</f>
        <v>0</v>
      </c>
      <c r="P73" s="22">
        <f t="shared" ca="1" si="18"/>
        <v>0</v>
      </c>
      <c r="Q73" s="24"/>
      <c r="R73" s="22">
        <f t="shared" ca="1" si="18"/>
        <v>0</v>
      </c>
      <c r="S73" s="22"/>
      <c r="T73" s="22">
        <f t="shared" ref="T73" ca="1" si="43">T29+T51</f>
        <v>0</v>
      </c>
      <c r="U73" s="22"/>
      <c r="V73" s="22">
        <f t="shared" ref="V73" ca="1" si="44">V29+V51</f>
        <v>0</v>
      </c>
      <c r="X73" s="9">
        <f t="shared" ca="1" si="28"/>
        <v>0</v>
      </c>
      <c r="Y73" s="24"/>
      <c r="Z73" s="35" t="str">
        <f t="shared" ca="1" si="21"/>
        <v/>
      </c>
      <c r="AA73" s="24"/>
      <c r="AB73" s="22"/>
    </row>
    <row r="74" spans="2:37" ht="13" x14ac:dyDescent="0.3">
      <c r="B74" s="163">
        <f>B73+1</f>
        <v>45</v>
      </c>
      <c r="D74" s="99" t="s">
        <v>78</v>
      </c>
      <c r="F74" s="113">
        <f t="shared" ca="1" si="17"/>
        <v>499.49407531423083</v>
      </c>
      <c r="H74" s="113"/>
      <c r="K74" s="91">
        <f>_xlfn.IFNA(MATCH(J74,'Stor Factors'!$B$13:$B$439,0),0)</f>
        <v>0</v>
      </c>
      <c r="L74" s="113">
        <f t="shared" ca="1" si="23"/>
        <v>499.49407531423083</v>
      </c>
      <c r="M74" s="24"/>
      <c r="N74" s="28"/>
      <c r="O74" s="186">
        <f>_xlfn.IFNA(MATCH(N74,'Stor Factors'!$B$13:$B$439,0),0)</f>
        <v>0</v>
      </c>
      <c r="P74" s="22">
        <f t="shared" ca="1" si="18"/>
        <v>499.49407531423083</v>
      </c>
      <c r="Q74" s="24"/>
      <c r="R74" s="22">
        <f t="shared" ca="1" si="18"/>
        <v>0</v>
      </c>
      <c r="S74" s="22"/>
      <c r="T74" s="22">
        <f t="shared" ref="T74" ca="1" si="45">T30+T52</f>
        <v>0</v>
      </c>
      <c r="U74" s="22"/>
      <c r="V74" s="22">
        <f t="shared" ref="V74" ca="1" si="46">V30+V52</f>
        <v>0</v>
      </c>
      <c r="X74" s="9">
        <f t="shared" ca="1" si="28"/>
        <v>499.49407531423083</v>
      </c>
      <c r="Y74" s="24"/>
      <c r="Z74" s="35" t="str">
        <f t="shared" ca="1" si="21"/>
        <v/>
      </c>
      <c r="AA74" s="24"/>
      <c r="AB74" s="22"/>
    </row>
    <row r="75" spans="2:37" ht="13" x14ac:dyDescent="0.3">
      <c r="B75" s="163">
        <f t="shared" si="22"/>
        <v>46</v>
      </c>
      <c r="D75" s="99" t="s">
        <v>477</v>
      </c>
      <c r="F75" s="79">
        <f ca="1">SUM(F62:F74)</f>
        <v>740364.55394971115</v>
      </c>
      <c r="H75" s="79">
        <f ca="1">SUM(H62:H74)</f>
        <v>19830.223966561323</v>
      </c>
      <c r="L75" s="79">
        <f ca="1">SUM(L62:L74)</f>
        <v>720534.32998314989</v>
      </c>
      <c r="M75" s="24"/>
      <c r="N75" s="24"/>
      <c r="O75" s="188"/>
      <c r="P75" s="46">
        <f ca="1">SUM(P62:P74)</f>
        <v>493758.55142283393</v>
      </c>
      <c r="Q75" s="32"/>
      <c r="R75" s="46">
        <f ca="1">SUM(R62:R74)</f>
        <v>227309.64858075167</v>
      </c>
      <c r="S75" s="30"/>
      <c r="T75" s="46">
        <f ca="1">SUM(T62:T74)</f>
        <v>19296.353946125721</v>
      </c>
      <c r="U75" s="30"/>
      <c r="V75" s="46">
        <f ca="1">SUM(V62:V74)</f>
        <v>0</v>
      </c>
      <c r="W75" s="41"/>
      <c r="X75" s="46">
        <f ca="1">SUM(X62:X74)</f>
        <v>740364.55394971115</v>
      </c>
      <c r="Y75" s="23"/>
      <c r="Z75" s="35" t="str">
        <f t="shared" ca="1" si="21"/>
        <v/>
      </c>
      <c r="AA75" s="24"/>
      <c r="AB75" s="22"/>
    </row>
    <row r="76" spans="2:37" ht="13" x14ac:dyDescent="0.3">
      <c r="M76" s="24"/>
      <c r="N76" s="24"/>
      <c r="O76" s="188"/>
      <c r="P76" s="24"/>
      <c r="Q76" s="24"/>
      <c r="R76" s="97"/>
      <c r="S76" s="24"/>
      <c r="T76" s="97"/>
      <c r="U76" s="24"/>
      <c r="V76" s="97"/>
      <c r="W76" s="41"/>
      <c r="X76" s="24"/>
      <c r="Y76" s="24"/>
      <c r="Z76" s="35" t="str">
        <f t="shared" si="21"/>
        <v/>
      </c>
      <c r="AA76" s="24"/>
      <c r="AB76" s="22"/>
    </row>
    <row r="77" spans="2:37" ht="13" x14ac:dyDescent="0.3">
      <c r="B77" s="163">
        <f>B75+1</f>
        <v>47</v>
      </c>
      <c r="D77" s="99" t="s">
        <v>221</v>
      </c>
      <c r="F77" s="113">
        <f ca="1">F33+F55</f>
        <v>30290.910453345576</v>
      </c>
      <c r="H77" s="113"/>
      <c r="K77" s="91">
        <f>_xlfn.IFNA(MATCH(J77,'Stor Factors'!$B$13:$B$439,0),0)</f>
        <v>0</v>
      </c>
      <c r="L77" s="113">
        <f t="shared" ref="L77" ca="1" si="47">F77-H77</f>
        <v>30290.910453345576</v>
      </c>
      <c r="M77" s="24"/>
      <c r="N77" s="28"/>
      <c r="O77" s="186">
        <f>_xlfn.IFNA(MATCH(N77,'Stor Factors'!$B$13:$B$439,0),0)</f>
        <v>0</v>
      </c>
      <c r="P77" s="22">
        <f ca="1">P33+P55</f>
        <v>21592.596789777512</v>
      </c>
      <c r="Q77" s="24"/>
      <c r="R77" s="22">
        <f ca="1">R33+R55</f>
        <v>8017.690574645736</v>
      </c>
      <c r="S77" s="22"/>
      <c r="T77" s="22">
        <f ca="1">T33+T55</f>
        <v>680.62308892232863</v>
      </c>
      <c r="U77" s="22"/>
      <c r="V77" s="22">
        <f ca="1">V33+V55</f>
        <v>0</v>
      </c>
      <c r="X77" s="9">
        <f t="shared" ref="X77" ca="1" si="48">P77+R77+T77+V77</f>
        <v>30290.910453345576</v>
      </c>
      <c r="Y77" s="24"/>
      <c r="Z77" s="35"/>
      <c r="AA77" s="24"/>
      <c r="AB77" s="22"/>
    </row>
    <row r="78" spans="2:37" ht="13" x14ac:dyDescent="0.3">
      <c r="M78" s="24"/>
      <c r="N78" s="24"/>
      <c r="P78" s="24"/>
      <c r="Q78" s="24"/>
      <c r="R78" s="97"/>
      <c r="S78" s="24"/>
      <c r="T78" s="97"/>
      <c r="U78" s="24"/>
      <c r="V78" s="97"/>
      <c r="W78" s="41"/>
      <c r="X78" s="24"/>
      <c r="Y78" s="24"/>
      <c r="Z78" s="35" t="str">
        <f t="shared" si="21"/>
        <v/>
      </c>
      <c r="AA78" s="24"/>
      <c r="AB78" s="22"/>
    </row>
    <row r="79" spans="2:37" ht="13" x14ac:dyDescent="0.3">
      <c r="B79" s="163">
        <f>B77+1</f>
        <v>48</v>
      </c>
      <c r="D79" s="99" t="s">
        <v>478</v>
      </c>
      <c r="F79" s="79">
        <f ca="1">F75+F77</f>
        <v>770655.46440305677</v>
      </c>
      <c r="H79" s="79">
        <f ca="1">H75+H77</f>
        <v>19830.223966561323</v>
      </c>
      <c r="L79" s="79">
        <f ca="1">L75+L77</f>
        <v>750825.24043649551</v>
      </c>
      <c r="M79" s="24"/>
      <c r="N79" s="24"/>
      <c r="P79" s="45">
        <f ca="1">P75+P77</f>
        <v>515351.14821261144</v>
      </c>
      <c r="Q79" s="47"/>
      <c r="R79" s="45">
        <f ca="1">R75+R77</f>
        <v>235327.33915539741</v>
      </c>
      <c r="S79" s="23"/>
      <c r="T79" s="45">
        <f ca="1">T75+T77</f>
        <v>19976.97703504805</v>
      </c>
      <c r="U79" s="23"/>
      <c r="V79" s="45">
        <f ca="1">V75+V77</f>
        <v>0</v>
      </c>
      <c r="W79" s="41"/>
      <c r="X79" s="45">
        <f ca="1">X75+X77</f>
        <v>770655.46440305677</v>
      </c>
      <c r="Y79" s="24"/>
      <c r="Z79" s="35" t="str">
        <f t="shared" ca="1" si="21"/>
        <v/>
      </c>
      <c r="AA79" s="23"/>
      <c r="AB79" s="22"/>
    </row>
    <row r="80" spans="2:37" ht="13" x14ac:dyDescent="0.3">
      <c r="C80" s="99"/>
      <c r="D80" s="6"/>
      <c r="F80" s="219"/>
      <c r="H80" s="219"/>
      <c r="L80" s="219"/>
      <c r="M80" s="24"/>
      <c r="N80" s="24"/>
      <c r="P80" s="24"/>
      <c r="Q80" s="24"/>
      <c r="R80" s="24"/>
      <c r="S80" s="24"/>
      <c r="T80" s="24"/>
      <c r="U80" s="24"/>
      <c r="V80" s="24"/>
      <c r="W80" s="41"/>
      <c r="X80" s="24"/>
      <c r="Y80" s="24"/>
      <c r="Z80" s="35" t="str">
        <f t="shared" si="21"/>
        <v/>
      </c>
      <c r="AA80" s="24"/>
      <c r="AB80" s="22"/>
    </row>
    <row r="81" spans="2:30" ht="13" x14ac:dyDescent="0.3">
      <c r="C81" s="99"/>
      <c r="E81" s="6"/>
      <c r="M81" s="24"/>
      <c r="N81" s="24"/>
      <c r="P81" s="24"/>
      <c r="Q81" s="24"/>
      <c r="R81" s="24"/>
      <c r="S81" s="24"/>
      <c r="T81" s="24"/>
      <c r="U81" s="24"/>
      <c r="V81" s="24"/>
      <c r="W81" s="41"/>
      <c r="X81" s="24"/>
      <c r="Y81" s="24"/>
      <c r="Z81" s="35" t="str">
        <f t="shared" si="21"/>
        <v/>
      </c>
      <c r="AA81" s="24"/>
      <c r="AB81" s="22"/>
    </row>
    <row r="82" spans="2:30" ht="13" x14ac:dyDescent="0.3">
      <c r="C82" s="99"/>
      <c r="D82" s="6" t="s">
        <v>36</v>
      </c>
      <c r="F82" s="219"/>
      <c r="H82" s="219"/>
      <c r="L82" s="219"/>
      <c r="M82" s="97"/>
      <c r="N82" s="97"/>
      <c r="P82" s="97"/>
      <c r="Q82" s="97"/>
      <c r="R82" s="97"/>
      <c r="S82" s="97"/>
      <c r="T82" s="97"/>
      <c r="U82" s="97"/>
      <c r="V82" s="97"/>
      <c r="W82" s="41"/>
      <c r="X82" s="97"/>
      <c r="Y82" s="97"/>
      <c r="Z82" s="35" t="str">
        <f t="shared" ref="Z82:Z83" si="49">IF(ROUND(F82,4)=ROUND(X82,4), "", "check")</f>
        <v/>
      </c>
      <c r="AA82" s="109"/>
      <c r="AB82" s="30"/>
    </row>
    <row r="83" spans="2:30" ht="13" x14ac:dyDescent="0.3">
      <c r="C83" s="99"/>
      <c r="D83" s="97"/>
      <c r="M83" s="97"/>
      <c r="N83" s="97"/>
      <c r="P83" s="97"/>
      <c r="Q83" s="97"/>
      <c r="R83" s="97"/>
      <c r="S83" s="97"/>
      <c r="T83" s="97"/>
      <c r="U83" s="97"/>
      <c r="V83" s="97"/>
      <c r="W83" s="41"/>
      <c r="X83" s="97"/>
      <c r="Y83" s="97"/>
      <c r="Z83" s="35" t="str">
        <f t="shared" si="49"/>
        <v/>
      </c>
      <c r="AA83" s="109"/>
      <c r="AB83" s="30"/>
    </row>
    <row r="84" spans="2:30" ht="13" x14ac:dyDescent="0.3">
      <c r="B84" s="163">
        <f>B79+1</f>
        <v>49</v>
      </c>
      <c r="C84" s="99"/>
      <c r="D84" s="97" t="s">
        <v>41</v>
      </c>
      <c r="F84" s="113">
        <f ca="1">+Function!R84</f>
        <v>4790.9467422107828</v>
      </c>
      <c r="H84" s="113"/>
      <c r="K84" s="91">
        <f>_xlfn.IFNA(MATCH(J84,'Stor Factors'!$B$13:$B$439,0),0)</f>
        <v>0</v>
      </c>
      <c r="L84" s="113">
        <f t="shared" ref="L84:L88" ca="1" si="50">F84-H84</f>
        <v>4790.9467422107828</v>
      </c>
      <c r="M84" s="24"/>
      <c r="N84" s="28" t="s">
        <v>263</v>
      </c>
      <c r="O84" s="186">
        <f>_xlfn.IFNA(MATCH(N84,'Stor Factors'!$B$13:$B$439,0),0)</f>
        <v>51</v>
      </c>
      <c r="P84" s="22">
        <f ca="1">OFFSET('Stor Factors'!$B$13,$O84-1,P$14)*$L84+OFFSET('Stor Factors'!$B$13,$K84-1,P$14)*$H84</f>
        <v>3525.1704570377283</v>
      </c>
      <c r="Q84" s="24"/>
      <c r="R84" s="22">
        <f ca="1">OFFSET('Stor Factors'!$B$13,$O84-1,R$14)*$L84+OFFSET('Stor Factors'!$B$13,$K84-1,R$14)*$H84</f>
        <v>1166.7321947411956</v>
      </c>
      <c r="S84" s="22"/>
      <c r="T84" s="22">
        <f ca="1">OFFSET('Stor Factors'!$B$13,$O84-1,T$14)*$L84+OFFSET('Stor Factors'!$B$13,$K84-1,T$14)*$H84</f>
        <v>99.044090431859587</v>
      </c>
      <c r="U84" s="22"/>
      <c r="V84" s="22">
        <f ca="1">OFFSET('Stor Factors'!$B$13,$O84-1,V$14)*$L84+OFFSET('Stor Factors'!$B$13,$K84-1,V$14)*$H84</f>
        <v>0</v>
      </c>
      <c r="X84" s="9">
        <f t="shared" ref="X84:X88" ca="1" si="51">P84+R84+T84+V84</f>
        <v>4790.9467422107837</v>
      </c>
      <c r="Y84" s="24"/>
      <c r="Z84" s="35" t="str">
        <f t="shared" ca="1" si="21"/>
        <v/>
      </c>
      <c r="AA84" s="24"/>
      <c r="AB84" s="30"/>
    </row>
    <row r="85" spans="2:30" ht="13" x14ac:dyDescent="0.3">
      <c r="B85" s="163">
        <f>B84+1</f>
        <v>50</v>
      </c>
      <c r="C85" s="99"/>
      <c r="D85" s="97" t="s">
        <v>457</v>
      </c>
      <c r="F85" s="113">
        <f ca="1">+Function!R85</f>
        <v>-227.31801175058132</v>
      </c>
      <c r="H85" s="113"/>
      <c r="K85" s="91">
        <f>_xlfn.IFNA(MATCH(J85,'Stor Factors'!$B$13:$B$439,0),0)</f>
        <v>0</v>
      </c>
      <c r="L85" s="113">
        <f t="shared" ca="1" si="50"/>
        <v>-227.31801175058132</v>
      </c>
      <c r="M85" s="24"/>
      <c r="N85" s="28" t="s">
        <v>263</v>
      </c>
      <c r="O85" s="186">
        <f>_xlfn.IFNA(MATCH(N85,'Stor Factors'!$B$13:$B$439,0),0)</f>
        <v>51</v>
      </c>
      <c r="P85" s="22">
        <f ca="1">OFFSET('Stor Factors'!$B$13,$O85-1,P$14)*$L85+OFFSET('Stor Factors'!$B$13,$K85-1,P$14)*$H85</f>
        <v>-167.26020607065408</v>
      </c>
      <c r="Q85" s="24"/>
      <c r="R85" s="22">
        <f ca="1">OFFSET('Stor Factors'!$B$13,$O85-1,R$14)*$L85+OFFSET('Stor Factors'!$B$13,$K85-1,R$14)*$H85</f>
        <v>-55.358420167195426</v>
      </c>
      <c r="S85" s="22"/>
      <c r="T85" s="22">
        <f ca="1">OFFSET('Stor Factors'!$B$13,$O85-1,T$14)*$L85+OFFSET('Stor Factors'!$B$13,$K85-1,T$14)*$H85</f>
        <v>-4.6993855127318271</v>
      </c>
      <c r="U85" s="22"/>
      <c r="V85" s="22">
        <f ca="1">OFFSET('Stor Factors'!$B$13,$O85-1,V$14)*$L85+OFFSET('Stor Factors'!$B$13,$K85-1,V$14)*$H85</f>
        <v>0</v>
      </c>
      <c r="X85" s="9">
        <f t="shared" ca="1" si="51"/>
        <v>-227.31801175058132</v>
      </c>
      <c r="Y85" s="24"/>
      <c r="Z85" s="35" t="str">
        <f t="shared" ca="1" si="21"/>
        <v/>
      </c>
      <c r="AA85" s="24"/>
      <c r="AB85" s="30"/>
    </row>
    <row r="86" spans="2:30" ht="13" x14ac:dyDescent="0.3">
      <c r="B86" s="163">
        <f t="shared" ref="B86:B89" si="52">B85+1</f>
        <v>51</v>
      </c>
      <c r="C86" s="99"/>
      <c r="D86" s="97" t="s">
        <v>42</v>
      </c>
      <c r="F86" s="113">
        <f ca="1">+Function!R86</f>
        <v>-2695.0878580978851</v>
      </c>
      <c r="H86" s="113"/>
      <c r="K86" s="91">
        <f>_xlfn.IFNA(MATCH(J86,'Stor Factors'!$B$13:$B$439,0),0)</f>
        <v>0</v>
      </c>
      <c r="L86" s="113">
        <f t="shared" ca="1" si="50"/>
        <v>-2695.0878580978851</v>
      </c>
      <c r="M86" s="24"/>
      <c r="N86" s="28" t="s">
        <v>263</v>
      </c>
      <c r="O86" s="186">
        <f>_xlfn.IFNA(MATCH(N86,'Stor Factors'!$B$13:$B$439,0),0)</f>
        <v>51</v>
      </c>
      <c r="P86" s="22">
        <f ca="1">OFFSET('Stor Factors'!$B$13,$O86-1,P$14)*$L86+OFFSET('Stor Factors'!$B$13,$K86-1,P$14)*$H86</f>
        <v>-1983.0410579984198</v>
      </c>
      <c r="Q86" s="24"/>
      <c r="R86" s="22">
        <f ca="1">OFFSET('Stor Factors'!$B$13,$O86-1,R$14)*$L86+OFFSET('Stor Factors'!$B$13,$K86-1,R$14)*$H86</f>
        <v>-656.33077153512431</v>
      </c>
      <c r="S86" s="22"/>
      <c r="T86" s="22">
        <f ca="1">OFFSET('Stor Factors'!$B$13,$O86-1,T$14)*$L86+OFFSET('Stor Factors'!$B$13,$K86-1,T$14)*$H86</f>
        <v>-55.716028564341265</v>
      </c>
      <c r="U86" s="22"/>
      <c r="V86" s="22">
        <f ca="1">OFFSET('Stor Factors'!$B$13,$O86-1,V$14)*$L86+OFFSET('Stor Factors'!$B$13,$K86-1,V$14)*$H86</f>
        <v>0</v>
      </c>
      <c r="X86" s="9">
        <f t="shared" ca="1" si="51"/>
        <v>-2695.0878580978851</v>
      </c>
      <c r="Y86" s="24"/>
      <c r="Z86" s="35" t="str">
        <f t="shared" ca="1" si="21"/>
        <v/>
      </c>
      <c r="AA86" s="24"/>
      <c r="AB86" s="30"/>
    </row>
    <row r="87" spans="2:30" ht="13" x14ac:dyDescent="0.3">
      <c r="B87" s="163">
        <f t="shared" si="52"/>
        <v>52</v>
      </c>
      <c r="C87" s="99"/>
      <c r="D87" s="97" t="s">
        <v>458</v>
      </c>
      <c r="F87" s="113">
        <f ca="1">+Function!R87</f>
        <v>648411.24997650366</v>
      </c>
      <c r="H87" s="113"/>
      <c r="K87" s="91">
        <f>_xlfn.IFNA(MATCH(J87,'Stor Factors'!$B$13:$B$439,0),0)</f>
        <v>0</v>
      </c>
      <c r="L87" s="113">
        <f t="shared" ca="1" si="50"/>
        <v>648411.24997650366</v>
      </c>
      <c r="M87" s="24"/>
      <c r="N87" s="28" t="s">
        <v>299</v>
      </c>
      <c r="O87" s="186">
        <f>_xlfn.IFNA(MATCH(N87,'Stor Factors'!$B$13:$B$439,0),0)</f>
        <v>30</v>
      </c>
      <c r="P87" s="22">
        <f ca="1">OFFSET('Stor Factors'!$B$13,$O87-1,P$14)*$L87+OFFSET('Stor Factors'!$B$13,$K87-1,P$14)*$H87</f>
        <v>0</v>
      </c>
      <c r="Q87" s="24"/>
      <c r="R87" s="22">
        <f ca="1">OFFSET('Stor Factors'!$B$13,$O87-1,R$14)*$L87+OFFSET('Stor Factors'!$B$13,$K87-1,R$14)*$H87</f>
        <v>591069.21767275734</v>
      </c>
      <c r="S87" s="22"/>
      <c r="T87" s="22">
        <f ca="1">OFFSET('Stor Factors'!$B$13,$O87-1,T$14)*$L87+OFFSET('Stor Factors'!$B$13,$K87-1,T$14)*$H87</f>
        <v>57342.03230374628</v>
      </c>
      <c r="U87" s="22"/>
      <c r="V87" s="22">
        <f ca="1">OFFSET('Stor Factors'!$B$13,$O87-1,V$14)*$L87+OFFSET('Stor Factors'!$B$13,$K87-1,V$14)*$H87</f>
        <v>0</v>
      </c>
      <c r="X87" s="9">
        <f t="shared" ca="1" si="51"/>
        <v>648411.24997650366</v>
      </c>
      <c r="Y87" s="24"/>
      <c r="Z87" s="35" t="str">
        <f t="shared" ca="1" si="21"/>
        <v/>
      </c>
      <c r="AA87" s="24"/>
      <c r="AB87" s="30"/>
      <c r="AC87" s="73" t="s">
        <v>370</v>
      </c>
    </row>
    <row r="88" spans="2:30" ht="13" x14ac:dyDescent="0.3">
      <c r="B88" s="163">
        <f t="shared" si="52"/>
        <v>53</v>
      </c>
      <c r="C88" s="99"/>
      <c r="D88" s="97" t="s">
        <v>459</v>
      </c>
      <c r="F88" s="113">
        <f ca="1">+Function!R88</f>
        <v>-5961.1287321996597</v>
      </c>
      <c r="H88" s="113"/>
      <c r="K88" s="91">
        <f>_xlfn.IFNA(MATCH(J88,'Stor Factors'!$B$13:$B$439,0),0)</f>
        <v>0</v>
      </c>
      <c r="L88" s="113">
        <f t="shared" ca="1" si="50"/>
        <v>-5961.1287321996597</v>
      </c>
      <c r="M88" s="24"/>
      <c r="N88" s="28" t="s">
        <v>263</v>
      </c>
      <c r="O88" s="186">
        <f>_xlfn.IFNA(MATCH(N88,'Stor Factors'!$B$13:$B$439,0),0)</f>
        <v>51</v>
      </c>
      <c r="P88" s="22">
        <f ca="1">OFFSET('Stor Factors'!$B$13,$O88-1,P$14)*$L88+OFFSET('Stor Factors'!$B$13,$K88-1,P$14)*$H88</f>
        <v>-4386.1883732091119</v>
      </c>
      <c r="Q88" s="24"/>
      <c r="R88" s="22">
        <f ca="1">OFFSET('Stor Factors'!$B$13,$O88-1,R$14)*$L88+OFFSET('Stor Factors'!$B$13,$K88-1,R$14)*$H88</f>
        <v>-1451.7048890517838</v>
      </c>
      <c r="S88" s="22"/>
      <c r="T88" s="22">
        <f ca="1">OFFSET('Stor Factors'!$B$13,$O88-1,T$14)*$L88+OFFSET('Stor Factors'!$B$13,$K88-1,T$14)*$H88</f>
        <v>-123.23546993876471</v>
      </c>
      <c r="U88" s="22"/>
      <c r="V88" s="22">
        <f ca="1">OFFSET('Stor Factors'!$B$13,$O88-1,V$14)*$L88+OFFSET('Stor Factors'!$B$13,$K88-1,V$14)*$H88</f>
        <v>0</v>
      </c>
      <c r="X88" s="9">
        <f t="shared" ca="1" si="51"/>
        <v>-5961.1287321996606</v>
      </c>
      <c r="Y88" s="24"/>
      <c r="Z88" s="35" t="str">
        <f t="shared" ca="1" si="21"/>
        <v/>
      </c>
      <c r="AA88" s="24"/>
      <c r="AB88" s="30"/>
    </row>
    <row r="89" spans="2:30" ht="13" x14ac:dyDescent="0.3">
      <c r="B89" s="163">
        <f t="shared" si="52"/>
        <v>54</v>
      </c>
      <c r="C89" s="99"/>
      <c r="D89" s="97" t="s">
        <v>479</v>
      </c>
      <c r="F89" s="79">
        <f ca="1">SUM(F82:F88)</f>
        <v>644318.66211666632</v>
      </c>
      <c r="H89" s="79">
        <f>SUM(H82:H88)</f>
        <v>0</v>
      </c>
      <c r="L89" s="79">
        <f ca="1">SUM(L82:L88)</f>
        <v>644318.66211666632</v>
      </c>
      <c r="M89" s="24"/>
      <c r="N89" s="24"/>
      <c r="P89" s="46">
        <f ca="1">SUM(P82:P88)</f>
        <v>-3011.3191802404572</v>
      </c>
      <c r="Q89" s="32"/>
      <c r="R89" s="46">
        <f ca="1">SUM(R82:R88)</f>
        <v>590072.55578674446</v>
      </c>
      <c r="S89" s="32"/>
      <c r="T89" s="46">
        <f ca="1">SUM(T82:T88)</f>
        <v>57257.425510162298</v>
      </c>
      <c r="U89" s="32"/>
      <c r="V89" s="48">
        <f ca="1">SUM(V82:V88)</f>
        <v>0</v>
      </c>
      <c r="W89" s="41"/>
      <c r="X89" s="46">
        <f ca="1">SUM(X82:X88)</f>
        <v>644318.66211666632</v>
      </c>
      <c r="Y89" s="24"/>
      <c r="Z89" s="35" t="str">
        <f t="shared" ca="1" si="21"/>
        <v/>
      </c>
      <c r="AA89" s="24"/>
      <c r="AB89" s="30"/>
      <c r="AC89" s="238">
        <f ca="1">R87</f>
        <v>591069.21767275734</v>
      </c>
      <c r="AD89" s="73" t="s">
        <v>371</v>
      </c>
    </row>
    <row r="90" spans="2:30" ht="13" x14ac:dyDescent="0.3">
      <c r="D90" s="97"/>
      <c r="M90" s="24"/>
      <c r="N90" s="24"/>
      <c r="P90" s="24"/>
      <c r="Q90" s="24"/>
      <c r="R90" s="24"/>
      <c r="S90" s="24"/>
      <c r="T90" s="24"/>
      <c r="U90" s="24"/>
      <c r="V90" s="24"/>
      <c r="W90" s="41"/>
      <c r="X90" s="23"/>
      <c r="Y90" s="24"/>
      <c r="Z90" s="35" t="str">
        <f t="shared" si="21"/>
        <v/>
      </c>
      <c r="AA90" s="24"/>
      <c r="AB90" s="30"/>
      <c r="AC90" s="238">
        <f>R95</f>
        <v>5.8701360377304071E-2</v>
      </c>
      <c r="AD90" s="73" t="s">
        <v>264</v>
      </c>
    </row>
    <row r="91" spans="2:30" ht="13" x14ac:dyDescent="0.3">
      <c r="M91" s="24"/>
      <c r="N91" s="24"/>
      <c r="P91" s="24"/>
      <c r="Q91" s="24"/>
      <c r="R91" s="24"/>
      <c r="S91" s="24"/>
      <c r="T91" s="24"/>
      <c r="U91" s="24"/>
      <c r="V91" s="24"/>
      <c r="W91" s="24"/>
      <c r="X91" s="23"/>
      <c r="Y91" s="24"/>
      <c r="Z91" s="35" t="str">
        <f t="shared" si="21"/>
        <v/>
      </c>
      <c r="AA91" s="24"/>
      <c r="AB91" s="30"/>
      <c r="AC91" s="238">
        <f ca="1">AC89*AC90</f>
        <v>34696.567154539713</v>
      </c>
      <c r="AD91" s="73" t="s">
        <v>265</v>
      </c>
    </row>
    <row r="92" spans="2:30" ht="13" x14ac:dyDescent="0.3">
      <c r="B92" s="163">
        <f>B89+1</f>
        <v>55</v>
      </c>
      <c r="D92" s="97" t="s">
        <v>480</v>
      </c>
      <c r="F92" s="79">
        <f ca="1">F79+F89</f>
        <v>1414974.1265197231</v>
      </c>
      <c r="H92" s="79">
        <f ca="1">H79+H89</f>
        <v>19830.223966561323</v>
      </c>
      <c r="L92" s="79">
        <f ca="1">L79+L89</f>
        <v>1395143.9025531618</v>
      </c>
      <c r="M92" s="24"/>
      <c r="N92" s="24"/>
      <c r="P92" s="45">
        <f ca="1">P79+P89</f>
        <v>512339.829032371</v>
      </c>
      <c r="Q92" s="23"/>
      <c r="R92" s="45">
        <f ca="1">R79+R89</f>
        <v>825399.89494214184</v>
      </c>
      <c r="S92" s="23"/>
      <c r="T92" s="45">
        <f ca="1">T79+T89</f>
        <v>77234.402545210352</v>
      </c>
      <c r="U92" s="23"/>
      <c r="V92" s="45">
        <f ca="1">V79+V89</f>
        <v>0</v>
      </c>
      <c r="W92" s="31"/>
      <c r="X92" s="45">
        <f ca="1">X79+X89</f>
        <v>1414974.1265197231</v>
      </c>
      <c r="Y92" s="24"/>
      <c r="Z92" s="35" t="str">
        <f t="shared" ca="1" si="21"/>
        <v/>
      </c>
      <c r="AA92" s="23"/>
      <c r="AB92" s="30"/>
      <c r="AC92" s="238">
        <f ca="1">AC91/R97*R108</f>
        <v>4420.1544673741628</v>
      </c>
      <c r="AD92" s="73" t="s">
        <v>39</v>
      </c>
    </row>
    <row r="93" spans="2:30" ht="13.5" thickBot="1" x14ac:dyDescent="0.35">
      <c r="M93" s="24"/>
      <c r="N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35" t="str">
        <f t="shared" si="21"/>
        <v/>
      </c>
      <c r="AA93" s="24"/>
      <c r="AB93" s="30"/>
      <c r="AC93" s="239">
        <f ca="1">SUM(AC91:AC92)</f>
        <v>39116.721621913879</v>
      </c>
    </row>
    <row r="94" spans="2:30" ht="13.5" thickTop="1" x14ac:dyDescent="0.3">
      <c r="M94" s="24"/>
      <c r="N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35" t="str">
        <f t="shared" si="21"/>
        <v/>
      </c>
      <c r="AA94" s="24"/>
      <c r="AB94" s="30"/>
    </row>
    <row r="95" spans="2:30" ht="13" x14ac:dyDescent="0.3">
      <c r="B95" s="163">
        <f>B92+1</f>
        <v>56</v>
      </c>
      <c r="D95" s="99" t="s">
        <v>38</v>
      </c>
      <c r="F95" s="226">
        <f>Function!$F$95</f>
        <v>5.8701360377304071E-2</v>
      </c>
      <c r="H95" s="226">
        <f>Function!$F$95</f>
        <v>5.8701360377304071E-2</v>
      </c>
      <c r="L95" s="226">
        <f>Function!$F$95</f>
        <v>5.8701360377304071E-2</v>
      </c>
      <c r="M95" s="24"/>
      <c r="N95" s="24"/>
      <c r="O95" s="188"/>
      <c r="P95" s="34">
        <f>$F$95</f>
        <v>5.8701360377304071E-2</v>
      </c>
      <c r="Q95" s="24"/>
      <c r="R95" s="34">
        <f>$F$95</f>
        <v>5.8701360377304071E-2</v>
      </c>
      <c r="S95" s="24"/>
      <c r="T95" s="34">
        <f>$F$95</f>
        <v>5.8701360377304071E-2</v>
      </c>
      <c r="U95" s="24"/>
      <c r="V95" s="34">
        <f>$F$95</f>
        <v>5.8701360377304071E-2</v>
      </c>
      <c r="W95" s="34"/>
      <c r="X95" s="34">
        <f>V95</f>
        <v>5.8701360377304071E-2</v>
      </c>
      <c r="Y95" s="24"/>
      <c r="Z95" s="35" t="str">
        <f t="shared" si="21"/>
        <v/>
      </c>
      <c r="AA95" s="24"/>
      <c r="AB95" s="30"/>
    </row>
    <row r="96" spans="2:30" ht="13" x14ac:dyDescent="0.3">
      <c r="M96" s="24"/>
      <c r="N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35" t="str">
        <f t="shared" si="21"/>
        <v/>
      </c>
      <c r="AA96" s="24"/>
      <c r="AB96" s="30"/>
    </row>
    <row r="97" spans="2:28" ht="13" x14ac:dyDescent="0.3">
      <c r="B97" s="163">
        <f>B95+1</f>
        <v>57</v>
      </c>
      <c r="D97" s="99" t="s">
        <v>481</v>
      </c>
      <c r="F97" s="79">
        <f ca="1">F92*F95</f>
        <v>83060.906125395311</v>
      </c>
      <c r="H97" s="79">
        <f ca="1">H92*H95</f>
        <v>1164.0611234237683</v>
      </c>
      <c r="L97" s="79">
        <f ca="1">L92*L95</f>
        <v>81896.845001971553</v>
      </c>
      <c r="M97" s="24"/>
      <c r="N97" s="24"/>
      <c r="P97" s="45">
        <f ca="1">P92*P95</f>
        <v>30075.044939675565</v>
      </c>
      <c r="Q97" s="24"/>
      <c r="R97" s="45">
        <f ca="1">R92*R95</f>
        <v>48452.096688387588</v>
      </c>
      <c r="S97" s="24"/>
      <c r="T97" s="45">
        <f ca="1">T92*T95</f>
        <v>4533.764497332164</v>
      </c>
      <c r="U97" s="24"/>
      <c r="V97" s="45">
        <f ca="1">V92*V95</f>
        <v>0</v>
      </c>
      <c r="W97" s="24"/>
      <c r="X97" s="45">
        <f t="shared" ref="X97" ca="1" si="53">P97+R97+T97+V97</f>
        <v>83060.906125395311</v>
      </c>
      <c r="Y97" s="24"/>
      <c r="Z97" s="35" t="str">
        <f t="shared" ca="1" si="21"/>
        <v/>
      </c>
      <c r="AA97" s="24"/>
      <c r="AB97" s="30"/>
    </row>
    <row r="98" spans="2:28" ht="13" x14ac:dyDescent="0.3">
      <c r="F98" s="113"/>
      <c r="H98" s="113"/>
      <c r="L98" s="113"/>
      <c r="W98" s="24"/>
      <c r="Y98" s="24"/>
      <c r="Z98" s="35" t="str">
        <f t="shared" si="21"/>
        <v/>
      </c>
      <c r="AB98" s="30"/>
    </row>
    <row r="99" spans="2:28" ht="13" x14ac:dyDescent="0.3">
      <c r="F99" s="113"/>
      <c r="H99" s="113"/>
      <c r="L99" s="113"/>
      <c r="W99" s="24"/>
      <c r="Y99" s="24"/>
      <c r="Z99" s="35" t="str">
        <f t="shared" si="21"/>
        <v/>
      </c>
      <c r="AB99" s="84"/>
    </row>
    <row r="100" spans="2:28" ht="13" x14ac:dyDescent="0.3">
      <c r="D100" s="6" t="s">
        <v>70</v>
      </c>
      <c r="M100" s="24"/>
      <c r="N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35" t="str">
        <f t="shared" si="21"/>
        <v/>
      </c>
      <c r="AA100" s="24"/>
      <c r="AB100" s="109"/>
    </row>
    <row r="101" spans="2:28" ht="13" x14ac:dyDescent="0.3">
      <c r="M101" s="24"/>
      <c r="N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35" t="str">
        <f t="shared" si="21"/>
        <v/>
      </c>
      <c r="AA101" s="24"/>
      <c r="AB101" s="109"/>
    </row>
    <row r="102" spans="2:28" ht="13" x14ac:dyDescent="0.3">
      <c r="B102" s="163">
        <f>B97+1</f>
        <v>58</v>
      </c>
      <c r="D102" s="99" t="s">
        <v>220</v>
      </c>
      <c r="F102" s="113">
        <f ca="1">Function!R102</f>
        <v>30302.427119821801</v>
      </c>
      <c r="H102" s="113"/>
      <c r="K102" s="91">
        <f>_xlfn.IFNA(MATCH(J102,'Stor Factors'!$B$13:$B$439,0),0)</f>
        <v>0</v>
      </c>
      <c r="L102" s="113">
        <f t="shared" ref="L102" ca="1" si="54">F102-H102</f>
        <v>30302.427119821801</v>
      </c>
      <c r="M102" s="24"/>
      <c r="N102" s="28" t="s">
        <v>276</v>
      </c>
      <c r="O102" s="186">
        <f>_xlfn.IFNA(MATCH(N102,'Stor Factors'!$B$13:$B$439,0),0)</f>
        <v>42</v>
      </c>
      <c r="P102" s="22">
        <f ca="1">OFFSET('Stor Factors'!$B$13,$O102-1,P$14)*$L102+OFFSET('Stor Factors'!$B$13,$K102-1,P$14)*$H102</f>
        <v>22769.488527016543</v>
      </c>
      <c r="Q102" s="24"/>
      <c r="R102" s="22">
        <f ca="1">OFFSET('Stor Factors'!$B$13,$O102-1,R$14)*$L102+OFFSET('Stor Factors'!$B$13,$K102-1,R$14)*$H102</f>
        <v>6943.5034296228096</v>
      </c>
      <c r="S102" s="22"/>
      <c r="T102" s="22">
        <f ca="1">OFFSET('Stor Factors'!$B$13,$O102-1,T$14)*$L102+OFFSET('Stor Factors'!$B$13,$K102-1,T$14)*$H102</f>
        <v>589.43516318244519</v>
      </c>
      <c r="U102" s="22"/>
      <c r="V102" s="22">
        <f ca="1">OFFSET('Stor Factors'!$B$13,$O102-1,V$14)*$L102+OFFSET('Stor Factors'!$B$13,$K102-1,V$14)*$H102</f>
        <v>0</v>
      </c>
      <c r="X102" s="9">
        <f t="shared" ref="X102" ca="1" si="55">P102+R102+T102+V102</f>
        <v>30302.427119821798</v>
      </c>
      <c r="Y102" s="24"/>
      <c r="Z102" s="35" t="str">
        <f t="shared" ca="1" si="21"/>
        <v/>
      </c>
      <c r="AA102" s="24"/>
      <c r="AB102" s="30"/>
    </row>
    <row r="103" spans="2:28" ht="13" x14ac:dyDescent="0.3">
      <c r="B103" s="163">
        <f>B102+1</f>
        <v>59</v>
      </c>
      <c r="D103" s="99" t="s">
        <v>221</v>
      </c>
      <c r="F103" s="113">
        <f ca="1">Function!R103</f>
        <v>4711.0573165857513</v>
      </c>
      <c r="H103" s="113"/>
      <c r="K103" s="91">
        <f>_xlfn.IFNA(MATCH(J103,'Stor Factors'!$B$13:$B$439,0),0)</f>
        <v>0</v>
      </c>
      <c r="L103" s="113">
        <f t="shared" ref="L103:L104" ca="1" si="56">F103-H103</f>
        <v>4711.0573165857513</v>
      </c>
      <c r="M103" s="24"/>
      <c r="N103" s="28" t="s">
        <v>143</v>
      </c>
      <c r="O103" s="186">
        <f>_xlfn.IFNA(MATCH(N103,'Stor Factors'!$B$13:$B$439,0),0)</f>
        <v>45</v>
      </c>
      <c r="P103" s="22">
        <f ca="1">OFFSET('Stor Factors'!$B$13,$O103-1,P$14)*$L103+OFFSET('Stor Factors'!$B$13,$K103-1,P$14)*$H103</f>
        <v>3358.23385854459</v>
      </c>
      <c r="Q103" s="24"/>
      <c r="R103" s="22">
        <f ca="1">OFFSET('Stor Factors'!$B$13,$O103-1,R$14)*$L103+OFFSET('Stor Factors'!$B$13,$K103-1,R$14)*$H103</f>
        <v>1246.9681260318005</v>
      </c>
      <c r="S103" s="22"/>
      <c r="T103" s="22">
        <f ca="1">OFFSET('Stor Factors'!$B$13,$O103-1,T$14)*$L103+OFFSET('Stor Factors'!$B$13,$K103-1,T$14)*$H103</f>
        <v>105.85533200936138</v>
      </c>
      <c r="U103" s="22"/>
      <c r="V103" s="22">
        <f ca="1">OFFSET('Stor Factors'!$B$13,$O103-1,V$14)*$L103+OFFSET('Stor Factors'!$B$13,$K103-1,V$14)*$H103</f>
        <v>0</v>
      </c>
      <c r="X103" s="9">
        <f t="shared" ref="X103" ca="1" si="57">P103+R103+T103+V103</f>
        <v>4711.0573165857522</v>
      </c>
      <c r="Y103" s="24"/>
      <c r="Z103" s="35" t="str">
        <f t="shared" ca="1" si="21"/>
        <v/>
      </c>
      <c r="AA103" s="24"/>
      <c r="AB103" s="24"/>
    </row>
    <row r="104" spans="2:28" ht="13" x14ac:dyDescent="0.3">
      <c r="B104" s="163">
        <f>B103+1</f>
        <v>60</v>
      </c>
      <c r="D104" s="99" t="s">
        <v>222</v>
      </c>
      <c r="F104" s="79">
        <f ca="1">Function!R104</f>
        <v>35013.484436407554</v>
      </c>
      <c r="H104" s="79"/>
      <c r="L104" s="79">
        <f t="shared" ca="1" si="56"/>
        <v>35013.484436407554</v>
      </c>
      <c r="M104" s="24"/>
      <c r="N104" s="24"/>
      <c r="P104" s="45">
        <f ca="1">P103+P102</f>
        <v>26127.722385561134</v>
      </c>
      <c r="Q104" s="24"/>
      <c r="R104" s="45">
        <f ca="1">R103+R102</f>
        <v>8190.4715556546098</v>
      </c>
      <c r="S104" s="24"/>
      <c r="T104" s="45">
        <f ca="1">T103+T102</f>
        <v>695.2904951918066</v>
      </c>
      <c r="U104" s="24"/>
      <c r="V104" s="45">
        <f ca="1">V103+V102</f>
        <v>0</v>
      </c>
      <c r="W104" s="24"/>
      <c r="X104" s="11">
        <f ca="1">P104+R104+T104+V104</f>
        <v>35013.484436407554</v>
      </c>
      <c r="Y104" s="24"/>
      <c r="Z104" s="35" t="str">
        <f t="shared" ca="1" si="21"/>
        <v/>
      </c>
      <c r="AA104" s="24"/>
      <c r="AB104" s="24"/>
    </row>
    <row r="105" spans="2:28" ht="13" x14ac:dyDescent="0.3">
      <c r="M105" s="24"/>
      <c r="N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35" t="str">
        <f t="shared" si="21"/>
        <v/>
      </c>
      <c r="AA105" s="24"/>
      <c r="AB105" s="24"/>
    </row>
    <row r="106" spans="2:28" ht="13" x14ac:dyDescent="0.3">
      <c r="D106" s="6" t="s">
        <v>69</v>
      </c>
      <c r="F106" s="113"/>
      <c r="H106" s="113"/>
      <c r="L106" s="113"/>
      <c r="W106" s="24"/>
      <c r="Y106" s="24"/>
      <c r="Z106" s="35" t="str">
        <f t="shared" ref="Z106:Z111" si="58">IF(ROUND(F106,4)=ROUND(X106,4), "", "check")</f>
        <v/>
      </c>
    </row>
    <row r="107" spans="2:28" ht="13" x14ac:dyDescent="0.3">
      <c r="F107" s="113"/>
      <c r="H107" s="113"/>
      <c r="L107" s="113"/>
      <c r="Y107" s="24"/>
      <c r="Z107" s="35" t="str">
        <f t="shared" si="58"/>
        <v/>
      </c>
    </row>
    <row r="108" spans="2:28" ht="13" x14ac:dyDescent="0.3">
      <c r="B108" s="163">
        <f>B104+1</f>
        <v>61</v>
      </c>
      <c r="D108" s="99" t="s">
        <v>39</v>
      </c>
      <c r="F108" s="113">
        <f ca="1">Function!R108</f>
        <v>10581.508932542194</v>
      </c>
      <c r="H108" s="113"/>
      <c r="K108" s="91">
        <f>_xlfn.IFNA(MATCH(J108,'Stor Factors'!$B$13:$B$439,0),0)</f>
        <v>0</v>
      </c>
      <c r="L108" s="113">
        <f t="shared" ref="L108:L110" ca="1" si="59">F108-H108</f>
        <v>10581.508932542194</v>
      </c>
      <c r="M108" s="24"/>
      <c r="N108" s="28" t="s">
        <v>108</v>
      </c>
      <c r="O108" s="186">
        <f>_xlfn.IFNA(MATCH(N108,'Stor Factors'!$B$13:$B$439,0),0)</f>
        <v>60</v>
      </c>
      <c r="P108" s="22">
        <f ca="1">OFFSET('Stor Factors'!$B$13,$O108-1,P$14)*$L108+OFFSET('Stor Factors'!$B$13,$K108-1,P$14)*$H108</f>
        <v>3831.3976035289761</v>
      </c>
      <c r="Q108" s="24"/>
      <c r="R108" s="22">
        <f ca="1">OFFSET('Stor Factors'!$B$13,$O108-1,R$14)*$L108+OFFSET('Stor Factors'!$B$13,$K108-1,R$14)*$H108</f>
        <v>6172.5343223990885</v>
      </c>
      <c r="S108" s="22"/>
      <c r="T108" s="22">
        <f ca="1">OFFSET('Stor Factors'!$B$13,$O108-1,T$14)*$L108+OFFSET('Stor Factors'!$B$13,$K108-1,T$14)*$H108</f>
        <v>577.57700661412844</v>
      </c>
      <c r="U108" s="22"/>
      <c r="V108" s="22">
        <f ca="1">OFFSET('Stor Factors'!$B$13,$O108-1,V$14)*$L108+OFFSET('Stor Factors'!$B$13,$K108-1,V$14)*$H108</f>
        <v>0</v>
      </c>
      <c r="X108" s="9">
        <f t="shared" ref="X108:X109" ca="1" si="60">P108+R108+T108+V108</f>
        <v>10581.508932542192</v>
      </c>
      <c r="Y108" s="24"/>
      <c r="Z108" s="35" t="str">
        <f t="shared" ca="1" si="58"/>
        <v/>
      </c>
      <c r="AA108" s="24"/>
      <c r="AB108" s="22"/>
    </row>
    <row r="109" spans="2:28" ht="13" x14ac:dyDescent="0.3">
      <c r="B109" s="163">
        <f>B108+1</f>
        <v>62</v>
      </c>
      <c r="D109" s="99" t="s">
        <v>40</v>
      </c>
      <c r="F109" s="113">
        <f ca="1">Function!R109</f>
        <v>4388.0617299920368</v>
      </c>
      <c r="H109" s="113"/>
      <c r="K109" s="91">
        <f>_xlfn.IFNA(MATCH(J109,'Stor Factors'!$B$13:$B$439,0),0)</f>
        <v>0</v>
      </c>
      <c r="L109" s="113">
        <f t="shared" ca="1" si="59"/>
        <v>4388.0617299920368</v>
      </c>
      <c r="M109" s="24"/>
      <c r="N109" s="28" t="s">
        <v>184</v>
      </c>
      <c r="O109" s="186">
        <f>_xlfn.IFNA(MATCH(N109,'Stor Factors'!$B$13:$B$439,0),0)</f>
        <v>57</v>
      </c>
      <c r="P109" s="22">
        <f ca="1">OFFSET('Stor Factors'!$B$13,$O109-1,P$14)*$L109+OFFSET('Stor Factors'!$B$13,$K109-1,P$14)*$H109</f>
        <v>4322.5225727410525</v>
      </c>
      <c r="Q109" s="24"/>
      <c r="R109" s="22">
        <f ca="1">OFFSET('Stor Factors'!$B$13,$O109-1,R$14)*$L109+OFFSET('Stor Factors'!$B$13,$K109-1,R$14)*$H109</f>
        <v>60.410868552869402</v>
      </c>
      <c r="S109" s="22"/>
      <c r="T109" s="22">
        <f ca="1">OFFSET('Stor Factors'!$B$13,$O109-1,T$14)*$L109+OFFSET('Stor Factors'!$B$13,$K109-1,T$14)*$H109</f>
        <v>5.1282886981144848</v>
      </c>
      <c r="U109" s="22"/>
      <c r="V109" s="22">
        <f ca="1">OFFSET('Stor Factors'!$B$13,$O109-1,V$14)*$L109+OFFSET('Stor Factors'!$B$13,$K109-1,V$14)*$H109</f>
        <v>0</v>
      </c>
      <c r="X109" s="9">
        <f t="shared" ca="1" si="60"/>
        <v>4388.0617299920359</v>
      </c>
      <c r="Y109" s="24"/>
      <c r="Z109" s="35" t="str">
        <f t="shared" ca="1" si="58"/>
        <v/>
      </c>
      <c r="AA109" s="24"/>
      <c r="AB109" s="22"/>
    </row>
    <row r="110" spans="2:28" ht="13" x14ac:dyDescent="0.3">
      <c r="B110" s="163">
        <f>B109+1</f>
        <v>63</v>
      </c>
      <c r="D110" s="99" t="s">
        <v>328</v>
      </c>
      <c r="F110" s="79">
        <f ca="1">Function!R110</f>
        <v>14969.570662534232</v>
      </c>
      <c r="H110" s="79"/>
      <c r="L110" s="79">
        <f t="shared" ca="1" si="59"/>
        <v>14969.570662534232</v>
      </c>
      <c r="M110" s="97"/>
      <c r="N110" s="97"/>
      <c r="P110" s="45">
        <f ca="1">P109+P108</f>
        <v>8153.9201762700286</v>
      </c>
      <c r="Q110" s="97"/>
      <c r="R110" s="45">
        <f ca="1">R109+R108</f>
        <v>6232.9451909519576</v>
      </c>
      <c r="S110" s="97"/>
      <c r="T110" s="45">
        <f ca="1">T109+T108</f>
        <v>582.70529531224292</v>
      </c>
      <c r="U110" s="97"/>
      <c r="V110" s="45">
        <f ca="1">V109+V108</f>
        <v>0</v>
      </c>
      <c r="W110" s="97"/>
      <c r="X110" s="11">
        <f ca="1">P110+R110+T110+V110</f>
        <v>14969.570662534228</v>
      </c>
      <c r="Y110" s="24"/>
      <c r="Z110" s="35" t="str">
        <f t="shared" ca="1" si="58"/>
        <v/>
      </c>
      <c r="AA110" s="24"/>
      <c r="AB110" s="24"/>
    </row>
    <row r="111" spans="2:28" ht="13" x14ac:dyDescent="0.3">
      <c r="M111" s="24"/>
      <c r="N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35" t="str">
        <f t="shared" si="58"/>
        <v/>
      </c>
      <c r="AA111" s="24"/>
      <c r="AB111" s="24"/>
    </row>
    <row r="112" spans="2:28" ht="13" x14ac:dyDescent="0.3">
      <c r="M112" s="24"/>
      <c r="N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35" t="str">
        <f t="shared" si="21"/>
        <v/>
      </c>
      <c r="AA112" s="24"/>
      <c r="AB112" s="24"/>
    </row>
    <row r="113" spans="2:40" ht="13" x14ac:dyDescent="0.3">
      <c r="D113" s="6" t="s">
        <v>74</v>
      </c>
      <c r="M113" s="24"/>
      <c r="N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35" t="str">
        <f t="shared" si="21"/>
        <v/>
      </c>
      <c r="AA113" s="24"/>
      <c r="AB113" s="24"/>
      <c r="AC113" s="2" t="s">
        <v>206</v>
      </c>
      <c r="AD113" s="2" t="s">
        <v>214</v>
      </c>
      <c r="AE113" s="2"/>
      <c r="AF113" s="56"/>
      <c r="AG113" s="2"/>
      <c r="AH113" s="56"/>
      <c r="AI113" s="2"/>
      <c r="AJ113" s="56" t="s">
        <v>45</v>
      </c>
      <c r="AK113" s="2"/>
      <c r="AL113" s="56" t="s">
        <v>8</v>
      </c>
      <c r="AM113" s="2"/>
      <c r="AN113" s="56"/>
    </row>
    <row r="114" spans="2:40" ht="13" x14ac:dyDescent="0.3">
      <c r="M114" s="24"/>
      <c r="N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35" t="str">
        <f t="shared" si="21"/>
        <v/>
      </c>
      <c r="AA114" s="24"/>
      <c r="AB114" s="24"/>
      <c r="AC114" s="57" t="s">
        <v>212</v>
      </c>
      <c r="AD114" s="57" t="s">
        <v>213</v>
      </c>
      <c r="AE114" s="2"/>
      <c r="AF114" s="57" t="s">
        <v>46</v>
      </c>
      <c r="AG114" s="56"/>
      <c r="AH114" s="57" t="s">
        <v>47</v>
      </c>
      <c r="AI114" s="56"/>
      <c r="AJ114" s="57" t="s">
        <v>48</v>
      </c>
      <c r="AK114" s="56"/>
      <c r="AL114" s="57" t="s">
        <v>49</v>
      </c>
      <c r="AM114" s="56"/>
      <c r="AN114" s="57" t="s">
        <v>11</v>
      </c>
    </row>
    <row r="115" spans="2:40" ht="13" x14ac:dyDescent="0.3">
      <c r="D115" s="97" t="s">
        <v>7</v>
      </c>
      <c r="P115" s="22"/>
      <c r="Q115" s="24"/>
      <c r="R115" s="22"/>
      <c r="S115" s="22"/>
      <c r="T115" s="22"/>
      <c r="U115" s="22"/>
      <c r="V115" s="22"/>
      <c r="X115" s="9"/>
      <c r="Z115" s="35" t="str">
        <f t="shared" si="21"/>
        <v/>
      </c>
      <c r="AA115" s="24"/>
      <c r="AB115" s="22"/>
    </row>
    <row r="116" spans="2:40" ht="13" x14ac:dyDescent="0.3">
      <c r="B116" s="28">
        <f>B110+1</f>
        <v>64</v>
      </c>
      <c r="D116" s="63" t="s">
        <v>352</v>
      </c>
      <c r="F116" s="113">
        <f ca="1">Function!R116</f>
        <v>0</v>
      </c>
      <c r="H116" s="200"/>
      <c r="K116" s="91">
        <f>_xlfn.IFNA(MATCH(J116,'Stor Factors'!$B$13:$B$439,0),0)</f>
        <v>0</v>
      </c>
      <c r="L116" s="113">
        <f ca="1">F116-H116</f>
        <v>0</v>
      </c>
      <c r="O116" s="186">
        <f>_xlfn.IFNA(MATCH(N116,'Stor Factors'!$B$13:$B$439,0),0)</f>
        <v>0</v>
      </c>
      <c r="P116" s="22">
        <f ca="1">OFFSET('Stor Factors'!$B$13,$O116-1,P$14)*$L116+OFFSET('Stor Factors'!$B$13,$K116-1,P$14)*$H116</f>
        <v>0</v>
      </c>
      <c r="Q116" s="24"/>
      <c r="R116" s="22">
        <f ca="1">OFFSET('Stor Factors'!$B$13,$O116-1,R$14)*$L116+OFFSET('Stor Factors'!$B$13,$K116-1,R$14)*$H116</f>
        <v>0</v>
      </c>
      <c r="S116" s="22"/>
      <c r="T116" s="22">
        <f ca="1">OFFSET('Stor Factors'!$B$13,$O116-1,T$14)*$L116+OFFSET('Stor Factors'!$B$13,$K116-1,T$14)*$H116</f>
        <v>0</v>
      </c>
      <c r="U116" s="22"/>
      <c r="V116" s="22">
        <f ca="1">OFFSET('Stor Factors'!$B$13,$O116-1,V$14)*$L116+OFFSET('Stor Factors'!$B$13,$K116-1,V$14)*$H116</f>
        <v>0</v>
      </c>
      <c r="X116" s="9">
        <f t="shared" ref="X116" ca="1" si="61">P116+R116+T116+V116</f>
        <v>0</v>
      </c>
      <c r="Z116" s="35" t="str">
        <f t="shared" ca="1" si="21"/>
        <v/>
      </c>
      <c r="AA116" s="24"/>
      <c r="AB116" s="22"/>
      <c r="AC116" s="235">
        <f ca="1">Function!AH116</f>
        <v>0</v>
      </c>
      <c r="AD116" s="242">
        <f ca="1">IFERROR(AC116/F116,0)</f>
        <v>0</v>
      </c>
      <c r="AF116" s="199"/>
      <c r="AH116" s="199"/>
      <c r="AJ116" s="199"/>
      <c r="AL116" s="199"/>
      <c r="AN116" s="199"/>
    </row>
    <row r="117" spans="2:40" ht="13" x14ac:dyDescent="0.3">
      <c r="B117" s="28">
        <f t="shared" ref="B117:B122" si="62">B116+1</f>
        <v>65</v>
      </c>
      <c r="D117" s="63" t="s">
        <v>128</v>
      </c>
      <c r="F117" s="113">
        <f ca="1">Function!R117</f>
        <v>8340.1650067942555</v>
      </c>
      <c r="H117" s="200"/>
      <c r="K117" s="91">
        <f>_xlfn.IFNA(MATCH(J117,'Stor Factors'!$B$13:$B$439,0),0)</f>
        <v>0</v>
      </c>
      <c r="L117" s="113">
        <f t="shared" ref="L117:L122" ca="1" si="63">F117-H117</f>
        <v>8340.1650067942555</v>
      </c>
      <c r="N117" s="28" t="s">
        <v>292</v>
      </c>
      <c r="O117" s="186">
        <f>_xlfn.IFNA(MATCH(N117,'Stor Factors'!$B$13:$B$439,0),0)</f>
        <v>39</v>
      </c>
      <c r="P117" s="22">
        <f ca="1">OFFSET('Stor Factors'!$B$13,$O117-1,P$14)*$L117+OFFSET('Stor Factors'!$B$13,$K117-1,P$14)*$H117</f>
        <v>0</v>
      </c>
      <c r="Q117" s="24"/>
      <c r="R117" s="22">
        <f ca="1">OFFSET('Stor Factors'!$B$13,$O117-1,R$14)*$L117+OFFSET('Stor Factors'!$B$13,$K117-1,R$14)*$H117</f>
        <v>0</v>
      </c>
      <c r="S117" s="22"/>
      <c r="T117" s="22">
        <f ca="1">OFFSET('Stor Factors'!$B$13,$O117-1,T$14)*$L117+OFFSET('Stor Factors'!$B$13,$K117-1,T$14)*$H117</f>
        <v>0</v>
      </c>
      <c r="U117" s="22"/>
      <c r="V117" s="22">
        <f ca="1">OFFSET('Stor Factors'!$B$13,$O117-1,V$14)*$L117+OFFSET('Stor Factors'!$B$13,$K117-1,V$14)*$H117</f>
        <v>8340.1650067942555</v>
      </c>
      <c r="X117" s="9">
        <f t="shared" ref="X117" ca="1" si="64">P117+R117+T117+V117</f>
        <v>8340.1650067942555</v>
      </c>
      <c r="Z117" s="35" t="str">
        <f t="shared" ca="1" si="21"/>
        <v/>
      </c>
      <c r="AA117" s="24"/>
      <c r="AB117" s="22"/>
      <c r="AC117" s="235">
        <f ca="1">Function!AH117</f>
        <v>0</v>
      </c>
      <c r="AD117" s="242">
        <f t="shared" ref="AD117:AD122" ca="1" si="65">IFERROR(AC117/F117,0)</f>
        <v>0</v>
      </c>
      <c r="AF117" s="199"/>
      <c r="AH117" s="199"/>
      <c r="AJ117" s="199"/>
      <c r="AL117" s="199"/>
      <c r="AN117" s="199"/>
    </row>
    <row r="118" spans="2:40" ht="13" x14ac:dyDescent="0.3">
      <c r="B118" s="28">
        <f t="shared" si="62"/>
        <v>66</v>
      </c>
      <c r="D118" s="63" t="s">
        <v>129</v>
      </c>
      <c r="F118" s="113">
        <f ca="1">Function!R118</f>
        <v>12127.286792026953</v>
      </c>
      <c r="H118" s="200"/>
      <c r="K118" s="91">
        <f>_xlfn.IFNA(MATCH(J118,'Stor Factors'!$B$13:$B$439,0),0)</f>
        <v>0</v>
      </c>
      <c r="L118" s="113">
        <f t="shared" ca="1" si="63"/>
        <v>12127.286792026953</v>
      </c>
      <c r="N118" s="28" t="s">
        <v>292</v>
      </c>
      <c r="O118" s="186">
        <f>_xlfn.IFNA(MATCH(N118,'Stor Factors'!$B$13:$B$439,0),0)</f>
        <v>39</v>
      </c>
      <c r="P118" s="22">
        <f ca="1">OFFSET('Stor Factors'!$B$13,$O118-1,P$14)*$L118+OFFSET('Stor Factors'!$B$13,$K118-1,P$14)*$H118</f>
        <v>0</v>
      </c>
      <c r="Q118" s="24"/>
      <c r="R118" s="22">
        <f ca="1">OFFSET('Stor Factors'!$B$13,$O118-1,R$14)*$L118+OFFSET('Stor Factors'!$B$13,$K118-1,R$14)*$H118</f>
        <v>0</v>
      </c>
      <c r="S118" s="22"/>
      <c r="T118" s="22">
        <f ca="1">OFFSET('Stor Factors'!$B$13,$O118-1,T$14)*$L118+OFFSET('Stor Factors'!$B$13,$K118-1,T$14)*$H118</f>
        <v>0</v>
      </c>
      <c r="U118" s="22"/>
      <c r="V118" s="22">
        <f ca="1">OFFSET('Stor Factors'!$B$13,$O118-1,V$14)*$L118+OFFSET('Stor Factors'!$B$13,$K118-1,V$14)*$H118</f>
        <v>12127.286792026953</v>
      </c>
      <c r="X118" s="9">
        <f t="shared" ref="X118:X131" ca="1" si="66">P118+R118+T118+V118</f>
        <v>12127.286792026953</v>
      </c>
      <c r="Z118" s="35" t="str">
        <f t="shared" ca="1" si="21"/>
        <v/>
      </c>
      <c r="AA118" s="24"/>
      <c r="AB118" s="22"/>
      <c r="AC118" s="235">
        <f ca="1">Function!AH118</f>
        <v>0</v>
      </c>
      <c r="AD118" s="242">
        <f t="shared" ca="1" si="65"/>
        <v>0</v>
      </c>
      <c r="AF118" s="199"/>
      <c r="AH118" s="199"/>
      <c r="AJ118" s="199"/>
      <c r="AL118" s="199"/>
      <c r="AN118" s="199"/>
    </row>
    <row r="119" spans="2:40" ht="13" x14ac:dyDescent="0.3">
      <c r="B119" s="28">
        <f t="shared" si="62"/>
        <v>67</v>
      </c>
      <c r="D119" s="63" t="s">
        <v>253</v>
      </c>
      <c r="F119" s="113">
        <f ca="1">Function!R119</f>
        <v>282.38085597626258</v>
      </c>
      <c r="H119" s="200"/>
      <c r="K119" s="91">
        <f>_xlfn.IFNA(MATCH(J119,'Stor Factors'!$B$13:$B$439,0),0)</f>
        <v>0</v>
      </c>
      <c r="L119" s="113">
        <f t="shared" ca="1" si="63"/>
        <v>282.38085597626258</v>
      </c>
      <c r="N119" s="28" t="s">
        <v>292</v>
      </c>
      <c r="O119" s="186">
        <f>_xlfn.IFNA(MATCH(N119,'Stor Factors'!$B$13:$B$439,0),0)</f>
        <v>39</v>
      </c>
      <c r="P119" s="22">
        <f ca="1">OFFSET('Stor Factors'!$B$13,$O119-1,P$14)*$L119+OFFSET('Stor Factors'!$B$13,$K119-1,P$14)*$H119</f>
        <v>0</v>
      </c>
      <c r="Q119" s="24"/>
      <c r="R119" s="22">
        <f ca="1">OFFSET('Stor Factors'!$B$13,$O119-1,R$14)*$L119+OFFSET('Stor Factors'!$B$13,$K119-1,R$14)*$H119</f>
        <v>0</v>
      </c>
      <c r="S119" s="22"/>
      <c r="T119" s="22">
        <f ca="1">OFFSET('Stor Factors'!$B$13,$O119-1,T$14)*$L119+OFFSET('Stor Factors'!$B$13,$K119-1,T$14)*$H119</f>
        <v>0</v>
      </c>
      <c r="U119" s="22"/>
      <c r="V119" s="22">
        <f ca="1">OFFSET('Stor Factors'!$B$13,$O119-1,V$14)*$L119+OFFSET('Stor Factors'!$B$13,$K119-1,V$14)*$H119</f>
        <v>282.38085597626258</v>
      </c>
      <c r="X119" s="9">
        <f t="shared" ref="X119:X120" ca="1" si="67">P119+R119+T119+V119</f>
        <v>282.38085597626258</v>
      </c>
      <c r="Z119" s="35"/>
      <c r="AA119" s="24"/>
      <c r="AB119" s="22"/>
      <c r="AC119" s="235">
        <f ca="1">Function!AH119</f>
        <v>0</v>
      </c>
      <c r="AD119" s="242">
        <f t="shared" ca="1" si="65"/>
        <v>0</v>
      </c>
      <c r="AF119" s="199"/>
      <c r="AH119" s="199"/>
      <c r="AJ119" s="199"/>
      <c r="AL119" s="199"/>
      <c r="AN119" s="199"/>
    </row>
    <row r="120" spans="2:40" ht="13" x14ac:dyDescent="0.3">
      <c r="B120" s="28">
        <f t="shared" si="62"/>
        <v>68</v>
      </c>
      <c r="D120" s="63" t="s">
        <v>382</v>
      </c>
      <c r="F120" s="113">
        <f ca="1">Function!R120</f>
        <v>13946.739835347375</v>
      </c>
      <c r="H120" s="113">
        <f ca="1">IF(K120&lt;&gt;0,OFFSET('Stor Factors'!$A$12,'Storage Class'!$K120-1,3),0)</f>
        <v>700.84706149023225</v>
      </c>
      <c r="J120" s="91" t="s">
        <v>240</v>
      </c>
      <c r="K120" s="91">
        <f>_xlfn.IFNA(MATCH(J120,'Stor Factors'!$B$13:$B$439,0),0)</f>
        <v>21</v>
      </c>
      <c r="L120" s="113">
        <f t="shared" ca="1" si="63"/>
        <v>13245.892773857142</v>
      </c>
      <c r="N120" s="28" t="s">
        <v>241</v>
      </c>
      <c r="O120" s="186">
        <f>_xlfn.IFNA(MATCH(N120,'Stor Factors'!$B$13:$B$439,0),0)</f>
        <v>33</v>
      </c>
      <c r="P120" s="22">
        <f ca="1">OFFSET('Stor Factors'!$B$13,$O120-1,P$14)*$L120+OFFSET('Stor Factors'!$B$13,$K120-1,P$14)*$H120</f>
        <v>9952.0457581929568</v>
      </c>
      <c r="Q120" s="24"/>
      <c r="R120" s="22">
        <f ca="1">OFFSET('Stor Factors'!$B$13,$O120-1,R$14)*$L120+OFFSET('Stor Factors'!$B$13,$K120-1,R$14)*$H120</f>
        <v>3293.8470156641856</v>
      </c>
      <c r="S120" s="22"/>
      <c r="T120" s="22">
        <f ca="1">OFFSET('Stor Factors'!$B$13,$O120-1,T$14)*$L120+OFFSET('Stor Factors'!$B$13,$K120-1,T$14)*$H120</f>
        <v>0</v>
      </c>
      <c r="U120" s="22"/>
      <c r="V120" s="22">
        <f ca="1">OFFSET('Stor Factors'!$B$13,$O120-1,V$14)*$L120+OFFSET('Stor Factors'!$B$13,$K120-1,V$14)*$H120</f>
        <v>700.84706149023225</v>
      </c>
      <c r="X120" s="9">
        <f t="shared" ca="1" si="67"/>
        <v>13946.739835347375</v>
      </c>
      <c r="Z120" s="35" t="str">
        <f t="shared" ca="1" si="21"/>
        <v/>
      </c>
      <c r="AA120" s="24"/>
      <c r="AB120" s="22"/>
      <c r="AC120" s="235">
        <f ca="1">Function!AH120</f>
        <v>0</v>
      </c>
      <c r="AD120" s="242">
        <f t="shared" ca="1" si="65"/>
        <v>0</v>
      </c>
      <c r="AF120" s="199"/>
      <c r="AH120" s="199"/>
      <c r="AJ120" s="199"/>
      <c r="AL120" s="199"/>
      <c r="AN120" s="199"/>
    </row>
    <row r="121" spans="2:40" ht="13" x14ac:dyDescent="0.3">
      <c r="B121" s="28">
        <f t="shared" si="62"/>
        <v>69</v>
      </c>
      <c r="D121" s="63" t="s">
        <v>228</v>
      </c>
      <c r="F121" s="113"/>
      <c r="H121" s="200"/>
      <c r="J121" s="91"/>
      <c r="K121" s="91">
        <f>_xlfn.IFNA(MATCH(J121,'Stor Factors'!$B$13:$B$439,0),0)</f>
        <v>0</v>
      </c>
      <c r="L121" s="113"/>
      <c r="N121" s="78"/>
      <c r="O121" s="186">
        <f>_xlfn.IFNA(MATCH(N121,'Stor Factors'!$B$13:$B$439,0),0)</f>
        <v>0</v>
      </c>
      <c r="P121" s="22">
        <f ca="1">OFFSET('Stor Factors'!$B$13,$O121-1,P$14)*$L121+OFFSET('Stor Factors'!$B$13,$K121-1,P$14)*$H121</f>
        <v>0</v>
      </c>
      <c r="Q121" s="24"/>
      <c r="R121" s="22">
        <f ca="1">OFFSET('Stor Factors'!$B$13,$O121-1,R$14)*$L121+OFFSET('Stor Factors'!$B$13,$K121-1,R$14)*$H121</f>
        <v>0</v>
      </c>
      <c r="S121" s="22"/>
      <c r="T121" s="22">
        <f ca="1">OFFSET('Stor Factors'!$B$13,$O121-1,T$14)*$L121+OFFSET('Stor Factors'!$B$13,$K121-1,T$14)*$H121</f>
        <v>0</v>
      </c>
      <c r="U121" s="22"/>
      <c r="V121" s="22">
        <f ca="1">OFFSET('Stor Factors'!$B$13,$O121-1,V$14)*$L121+OFFSET('Stor Factors'!$B$13,$K121-1,V$14)*$H121</f>
        <v>0</v>
      </c>
      <c r="X121" s="9"/>
      <c r="Z121" s="35"/>
      <c r="AA121" s="24"/>
      <c r="AB121" s="22"/>
      <c r="AC121" s="235">
        <f ca="1">Function!AH121</f>
        <v>0</v>
      </c>
      <c r="AD121" s="242">
        <f t="shared" ca="1" si="65"/>
        <v>0</v>
      </c>
      <c r="AF121" s="199"/>
      <c r="AH121" s="199"/>
      <c r="AJ121" s="199"/>
      <c r="AL121" s="199"/>
      <c r="AN121" s="199"/>
    </row>
    <row r="122" spans="2:40" ht="13" x14ac:dyDescent="0.3">
      <c r="B122" s="28">
        <f t="shared" si="62"/>
        <v>70</v>
      </c>
      <c r="D122" s="63" t="s">
        <v>140</v>
      </c>
      <c r="F122" s="113">
        <f ca="1">Function!R122</f>
        <v>0</v>
      </c>
      <c r="H122" s="200"/>
      <c r="J122" s="91"/>
      <c r="K122" s="91">
        <f>_xlfn.IFNA(MATCH(J122,'Stor Factors'!$B$13:$B$439,0),0)</f>
        <v>0</v>
      </c>
      <c r="L122" s="113">
        <f t="shared" ca="1" si="63"/>
        <v>0</v>
      </c>
      <c r="N122" s="70"/>
      <c r="O122" s="186">
        <f>_xlfn.IFNA(MATCH(N122,'Stor Factors'!$B$13:$B$439,0),0)</f>
        <v>0</v>
      </c>
      <c r="P122" s="22">
        <f ca="1">OFFSET('Stor Factors'!$B$13,$O122-1,P$14)*$L122+OFFSET('Stor Factors'!$B$13,$K122-1,P$14)*$H122</f>
        <v>0</v>
      </c>
      <c r="Q122" s="24"/>
      <c r="R122" s="22">
        <f ca="1">OFFSET('Stor Factors'!$B$13,$O122-1,R$14)*$L122+OFFSET('Stor Factors'!$B$13,$K122-1,R$14)*$H122</f>
        <v>0</v>
      </c>
      <c r="S122" s="22"/>
      <c r="T122" s="22">
        <f ca="1">OFFSET('Stor Factors'!$B$13,$O122-1,T$14)*$L122+OFFSET('Stor Factors'!$B$13,$K122-1,T$14)*$H122</f>
        <v>0</v>
      </c>
      <c r="U122" s="22"/>
      <c r="V122" s="22">
        <f ca="1">OFFSET('Stor Factors'!$B$13,$O122-1,V$14)*$L122+OFFSET('Stor Factors'!$B$13,$K122-1,V$14)*$H122</f>
        <v>0</v>
      </c>
      <c r="X122" s="9">
        <f t="shared" ca="1" si="66"/>
        <v>0</v>
      </c>
      <c r="Z122" s="35" t="str">
        <f t="shared" ca="1" si="21"/>
        <v/>
      </c>
      <c r="AA122" s="24"/>
      <c r="AB122" s="22"/>
      <c r="AC122" s="235">
        <f ca="1">Function!AH122</f>
        <v>0</v>
      </c>
      <c r="AD122" s="242">
        <f t="shared" ca="1" si="65"/>
        <v>0</v>
      </c>
      <c r="AF122" s="199"/>
      <c r="AH122" s="199"/>
      <c r="AJ122" s="199"/>
      <c r="AL122" s="199"/>
      <c r="AN122" s="199"/>
    </row>
    <row r="123" spans="2:40" ht="13" x14ac:dyDescent="0.3">
      <c r="B123" s="28"/>
      <c r="D123" s="97" t="s">
        <v>8</v>
      </c>
      <c r="N123" s="70"/>
      <c r="Z123" s="35" t="str">
        <f t="shared" ref="Z123:Z180" si="68">IF(ROUND(F123,4)=ROUND(X123,4), "", "check")</f>
        <v/>
      </c>
      <c r="AA123" s="24"/>
      <c r="AB123" s="22"/>
      <c r="AF123" s="199"/>
      <c r="AH123" s="199"/>
      <c r="AJ123" s="199"/>
      <c r="AL123" s="199"/>
      <c r="AN123" s="199"/>
    </row>
    <row r="124" spans="2:40" ht="13" x14ac:dyDescent="0.3">
      <c r="B124" s="28">
        <f>B122+1</f>
        <v>71</v>
      </c>
      <c r="D124" s="63" t="s">
        <v>71</v>
      </c>
      <c r="F124" s="113">
        <f ca="1">Function!R124</f>
        <v>1640.1810497976596</v>
      </c>
      <c r="H124" s="113">
        <f ca="1">IF(K124&lt;&gt;0,OFFSET('Stor Factors'!$A$12,'Storage Class'!$K124-1,3),0)</f>
        <v>1640.1810497976596</v>
      </c>
      <c r="J124" s="91" t="s">
        <v>305</v>
      </c>
      <c r="K124" s="91">
        <f>_xlfn.IFNA(MATCH(J124,'Stor Factors'!$B$13:$B$439,0),0)</f>
        <v>12</v>
      </c>
      <c r="L124" s="113">
        <f t="shared" ref="L124:L131" ca="1" si="69">F124-H124</f>
        <v>0</v>
      </c>
      <c r="N124" s="96"/>
      <c r="O124" s="186">
        <f>_xlfn.IFNA(MATCH(N124,'Stor Factors'!$B$13:$B$439,0),0)</f>
        <v>0</v>
      </c>
      <c r="P124" s="22">
        <f ca="1">OFFSET('Stor Factors'!$B$13,$O124-1,P$14)*$L124+OFFSET('Stor Factors'!$B$13,$K124-1,P$14)*$H124</f>
        <v>1640.1810497976596</v>
      </c>
      <c r="Q124" s="24"/>
      <c r="R124" s="22">
        <f ca="1">OFFSET('Stor Factors'!$B$13,$O124-1,R$14)*$L124+OFFSET('Stor Factors'!$B$13,$K124-1,R$14)*$H124</f>
        <v>0</v>
      </c>
      <c r="S124" s="22"/>
      <c r="T124" s="22">
        <f ca="1">OFFSET('Stor Factors'!$B$13,$O124-1,T$14)*$L124+OFFSET('Stor Factors'!$B$13,$K124-1,T$14)*$H124</f>
        <v>0</v>
      </c>
      <c r="U124" s="22"/>
      <c r="V124" s="22">
        <f ca="1">OFFSET('Stor Factors'!$B$13,$O124-1,V$14)*$L124+OFFSET('Stor Factors'!$B$13,$K124-1,V$14)*$H124</f>
        <v>0</v>
      </c>
      <c r="X124" s="9">
        <f t="shared" ca="1" si="66"/>
        <v>1640.1810497976596</v>
      </c>
      <c r="Z124" s="35" t="str">
        <f t="shared" ca="1" si="68"/>
        <v/>
      </c>
      <c r="AA124" s="24"/>
      <c r="AB124" s="22"/>
      <c r="AC124" s="235">
        <f ca="1">Function!AH124</f>
        <v>579.59980981929994</v>
      </c>
      <c r="AD124" s="242">
        <f t="shared" ref="AD124:AD131" ca="1" si="70">IFERROR(AC124/F124,0)</f>
        <v>0.35337550686297836</v>
      </c>
      <c r="AF124" s="199">
        <f ca="1">$AD124*P124</f>
        <v>579.59980981929994</v>
      </c>
      <c r="AH124" s="199">
        <f t="shared" ref="AH124:AL124" ca="1" si="71">$AD124*R124</f>
        <v>0</v>
      </c>
      <c r="AJ124" s="199">
        <f t="shared" ca="1" si="71"/>
        <v>0</v>
      </c>
      <c r="AK124" s="73">
        <f t="shared" ca="1" si="71"/>
        <v>0</v>
      </c>
      <c r="AL124" s="199">
        <f t="shared" ca="1" si="71"/>
        <v>0</v>
      </c>
      <c r="AN124" s="199">
        <f ca="1">SUM(AF124:AL124)</f>
        <v>579.59980981929994</v>
      </c>
    </row>
    <row r="125" spans="2:40" ht="13" x14ac:dyDescent="0.3">
      <c r="B125" s="28">
        <f t="shared" ref="B125:B131" si="72">B124+1</f>
        <v>72</v>
      </c>
      <c r="D125" s="63" t="s">
        <v>196</v>
      </c>
      <c r="F125" s="113">
        <f ca="1">Function!R125</f>
        <v>14117.785878445757</v>
      </c>
      <c r="H125" s="200"/>
      <c r="K125" s="91">
        <f>_xlfn.IFNA(MATCH(J125,'Stor Factors'!$B$13:$B$439,0),0)</f>
        <v>0</v>
      </c>
      <c r="L125" s="113">
        <f t="shared" ca="1" si="69"/>
        <v>14117.785878445757</v>
      </c>
      <c r="N125" s="28" t="s">
        <v>398</v>
      </c>
      <c r="O125" s="186">
        <f>_xlfn.IFNA(MATCH(N125,'Stor Factors'!$B$13:$B$439,0),0)</f>
        <v>63</v>
      </c>
      <c r="P125" s="22">
        <f ca="1">OFFSET('Stor Factors'!$B$13,$O125-1,P$14)*$L125+OFFSET('Stor Factors'!$B$13,$K125-1,P$14)*$H125</f>
        <v>9482.7879254386644</v>
      </c>
      <c r="Q125" s="24"/>
      <c r="R125" s="22">
        <f ca="1">OFFSET('Stor Factors'!$B$13,$O125-1,R$14)*$L125+OFFSET('Stor Factors'!$B$13,$K125-1,R$14)*$H125</f>
        <v>4272.3199965731428</v>
      </c>
      <c r="S125" s="22"/>
      <c r="T125" s="22">
        <f ca="1">OFFSET('Stor Factors'!$B$13,$O125-1,T$14)*$L125+OFFSET('Stor Factors'!$B$13,$K125-1,T$14)*$H125</f>
        <v>362.67795643394857</v>
      </c>
      <c r="U125" s="22"/>
      <c r="V125" s="22">
        <f ca="1">OFFSET('Stor Factors'!$B$13,$O125-1,V$14)*$L125+OFFSET('Stor Factors'!$B$13,$K125-1,V$14)*$H125</f>
        <v>0</v>
      </c>
      <c r="X125" s="9">
        <f t="shared" ref="X125" ca="1" si="73">P125+R125+T125+V125</f>
        <v>14117.785878445757</v>
      </c>
      <c r="Z125" s="35" t="str">
        <f t="shared" ca="1" si="68"/>
        <v/>
      </c>
      <c r="AA125" s="24"/>
      <c r="AB125" s="22"/>
      <c r="AC125" s="235">
        <f ca="1">Function!AH125</f>
        <v>6028.7944072011724</v>
      </c>
      <c r="AD125" s="242">
        <f t="shared" ca="1" si="70"/>
        <v>0.42703540478012186</v>
      </c>
      <c r="AF125" s="199">
        <f t="shared" ref="AF125:AF132" ca="1" si="74">$AD125*P125</f>
        <v>4049.4861801837519</v>
      </c>
      <c r="AH125" s="199">
        <f t="shared" ref="AH125:AH132" ca="1" si="75">$AD125*R125</f>
        <v>1824.431899086821</v>
      </c>
      <c r="AJ125" s="199">
        <f t="shared" ref="AJ125:AJ132" ca="1" si="76">$AD125*T125</f>
        <v>154.87632793059862</v>
      </c>
      <c r="AK125" s="73">
        <f t="shared" ref="AK125:AK132" ca="1" si="77">$AD125*U125</f>
        <v>0</v>
      </c>
      <c r="AL125" s="199">
        <f t="shared" ref="AL125:AL132" ca="1" si="78">$AD125*V125</f>
        <v>0</v>
      </c>
      <c r="AN125" s="199">
        <f t="shared" ref="AN125:AN160" ca="1" si="79">SUM(AF125:AL125)</f>
        <v>6028.7944072011715</v>
      </c>
    </row>
    <row r="126" spans="2:40" ht="13" x14ac:dyDescent="0.3">
      <c r="B126" s="28">
        <f t="shared" si="72"/>
        <v>73</v>
      </c>
      <c r="D126" s="63" t="s">
        <v>204</v>
      </c>
      <c r="F126" s="113">
        <f ca="1">Function!R126</f>
        <v>1307.4095306239601</v>
      </c>
      <c r="H126" s="200"/>
      <c r="K126" s="91">
        <f>_xlfn.IFNA(MATCH(J126,'Stor Factors'!$B$13:$B$439,0),0)</f>
        <v>0</v>
      </c>
      <c r="L126" s="113">
        <f t="shared" ca="1" si="69"/>
        <v>1307.4095306239601</v>
      </c>
      <c r="N126" s="72" t="s">
        <v>395</v>
      </c>
      <c r="O126" s="186">
        <f>_xlfn.IFNA(MATCH(N126,'Stor Factors'!$B$13:$B$439,0),0)</f>
        <v>24</v>
      </c>
      <c r="P126" s="22">
        <f ca="1">OFFSET('Stor Factors'!$B$13,$O126-1,P$14)*$L126+OFFSET('Stor Factors'!$B$13,$K126-1,P$14)*$H126</f>
        <v>653.70476531198005</v>
      </c>
      <c r="Q126" s="24"/>
      <c r="R126" s="22">
        <f ca="1">OFFSET('Stor Factors'!$B$13,$O126-1,R$14)*$L126+OFFSET('Stor Factors'!$B$13,$K126-1,R$14)*$H126</f>
        <v>602.55386712427594</v>
      </c>
      <c r="S126" s="22"/>
      <c r="T126" s="22">
        <f ca="1">OFFSET('Stor Factors'!$B$13,$O126-1,T$14)*$L126+OFFSET('Stor Factors'!$B$13,$K126-1,T$14)*$H126</f>
        <v>51.150898187704144</v>
      </c>
      <c r="U126" s="22"/>
      <c r="V126" s="22">
        <f ca="1">OFFSET('Stor Factors'!$B$13,$O126-1,V$14)*$L126+OFFSET('Stor Factors'!$B$13,$K126-1,V$14)*$H126</f>
        <v>0</v>
      </c>
      <c r="X126" s="9">
        <f t="shared" ca="1" si="66"/>
        <v>1307.4095306239601</v>
      </c>
      <c r="Z126" s="35" t="str">
        <f t="shared" ca="1" si="68"/>
        <v/>
      </c>
      <c r="AA126" s="24"/>
      <c r="AB126" s="22"/>
      <c r="AC126" s="235">
        <f ca="1">Function!AH126</f>
        <v>0</v>
      </c>
      <c r="AD126" s="242">
        <f t="shared" ca="1" si="70"/>
        <v>0</v>
      </c>
      <c r="AF126" s="199">
        <f t="shared" ca="1" si="74"/>
        <v>0</v>
      </c>
      <c r="AH126" s="199">
        <f t="shared" ca="1" si="75"/>
        <v>0</v>
      </c>
      <c r="AJ126" s="199">
        <f t="shared" ca="1" si="76"/>
        <v>0</v>
      </c>
      <c r="AK126" s="73">
        <f t="shared" ca="1" si="77"/>
        <v>0</v>
      </c>
      <c r="AL126" s="199">
        <f t="shared" ca="1" si="78"/>
        <v>0</v>
      </c>
      <c r="AN126" s="199">
        <f t="shared" ca="1" si="79"/>
        <v>0</v>
      </c>
    </row>
    <row r="127" spans="2:40" ht="13" x14ac:dyDescent="0.3">
      <c r="B127" s="28">
        <f t="shared" si="72"/>
        <v>74</v>
      </c>
      <c r="D127" s="63" t="s">
        <v>224</v>
      </c>
      <c r="F127" s="113">
        <f ca="1">Function!R127</f>
        <v>1489.5035949216872</v>
      </c>
      <c r="H127" s="200"/>
      <c r="K127" s="91">
        <f>_xlfn.IFNA(MATCH(J127,'Stor Factors'!$B$13:$B$439,0),0)</f>
        <v>0</v>
      </c>
      <c r="L127" s="113">
        <f t="shared" ca="1" si="69"/>
        <v>1489.5035949216872</v>
      </c>
      <c r="N127" s="70" t="s">
        <v>50</v>
      </c>
      <c r="O127" s="186">
        <f>_xlfn.IFNA(MATCH(N127,'Stor Factors'!$B$13:$B$439,0),0)</f>
        <v>27</v>
      </c>
      <c r="P127" s="22">
        <f ca="1">OFFSET('Stor Factors'!$B$13,$O127-1,P$14)*$L127+OFFSET('Stor Factors'!$B$13,$K127-1,P$14)*$H127</f>
        <v>1489.5035949216872</v>
      </c>
      <c r="Q127" s="24"/>
      <c r="R127" s="22">
        <f ca="1">OFFSET('Stor Factors'!$B$13,$O127-1,R$14)*$L127+OFFSET('Stor Factors'!$B$13,$K127-1,R$14)*$H127</f>
        <v>0</v>
      </c>
      <c r="S127" s="22"/>
      <c r="T127" s="22">
        <f ca="1">OFFSET('Stor Factors'!$B$13,$O127-1,T$14)*$L127+OFFSET('Stor Factors'!$B$13,$K127-1,T$14)*$H127</f>
        <v>0</v>
      </c>
      <c r="U127" s="22"/>
      <c r="V127" s="22">
        <f ca="1">OFFSET('Stor Factors'!$B$13,$O127-1,V$14)*$L127+OFFSET('Stor Factors'!$B$13,$K127-1,V$14)*$H127</f>
        <v>0</v>
      </c>
      <c r="X127" s="9">
        <f t="shared" ca="1" si="66"/>
        <v>1489.5035949216872</v>
      </c>
      <c r="Z127" s="35" t="str">
        <f t="shared" ca="1" si="68"/>
        <v/>
      </c>
      <c r="AA127" s="24"/>
      <c r="AB127" s="22"/>
      <c r="AC127" s="235">
        <f ca="1">Function!AH127</f>
        <v>221.52729747511745</v>
      </c>
      <c r="AD127" s="242">
        <f t="shared" ca="1" si="70"/>
        <v>0.14872558765913188</v>
      </c>
      <c r="AF127" s="199">
        <f t="shared" ca="1" si="74"/>
        <v>221.52729747511745</v>
      </c>
      <c r="AH127" s="199">
        <f t="shared" ca="1" si="75"/>
        <v>0</v>
      </c>
      <c r="AJ127" s="199">
        <f t="shared" ca="1" si="76"/>
        <v>0</v>
      </c>
      <c r="AK127" s="73">
        <f t="shared" ca="1" si="77"/>
        <v>0</v>
      </c>
      <c r="AL127" s="199">
        <f t="shared" ca="1" si="78"/>
        <v>0</v>
      </c>
      <c r="AN127" s="199">
        <f t="shared" ca="1" si="79"/>
        <v>221.52729747511745</v>
      </c>
    </row>
    <row r="128" spans="2:40" ht="13" x14ac:dyDescent="0.3">
      <c r="B128" s="28">
        <f t="shared" si="72"/>
        <v>75</v>
      </c>
      <c r="D128" s="63" t="s">
        <v>21</v>
      </c>
      <c r="F128" s="113">
        <f ca="1">Function!R128</f>
        <v>417.64292401249998</v>
      </c>
      <c r="H128" s="200"/>
      <c r="K128" s="91">
        <f>_xlfn.IFNA(MATCH(J128,'Stor Factors'!$B$13:$B$439,0),0)</f>
        <v>0</v>
      </c>
      <c r="L128" s="113">
        <f t="shared" ca="1" si="69"/>
        <v>417.64292401249998</v>
      </c>
      <c r="N128" s="70" t="s">
        <v>50</v>
      </c>
      <c r="O128" s="186">
        <f>_xlfn.IFNA(MATCH(N128,'Stor Factors'!$B$13:$B$439,0),0)</f>
        <v>27</v>
      </c>
      <c r="P128" s="22">
        <f ca="1">OFFSET('Stor Factors'!$B$13,$O128-1,P$14)*$L128+OFFSET('Stor Factors'!$B$13,$K128-1,P$14)*$H128</f>
        <v>417.64292401249998</v>
      </c>
      <c r="Q128" s="24"/>
      <c r="R128" s="22">
        <f ca="1">OFFSET('Stor Factors'!$B$13,$O128-1,R$14)*$L128+OFFSET('Stor Factors'!$B$13,$K128-1,R$14)*$H128</f>
        <v>0</v>
      </c>
      <c r="S128" s="22"/>
      <c r="T128" s="22">
        <f ca="1">OFFSET('Stor Factors'!$B$13,$O128-1,T$14)*$L128+OFFSET('Stor Factors'!$B$13,$K128-1,T$14)*$H128</f>
        <v>0</v>
      </c>
      <c r="U128" s="22"/>
      <c r="V128" s="22">
        <f ca="1">OFFSET('Stor Factors'!$B$13,$O128-1,V$14)*$L128+OFFSET('Stor Factors'!$B$13,$K128-1,V$14)*$H128</f>
        <v>0</v>
      </c>
      <c r="X128" s="9">
        <f t="shared" ca="1" si="66"/>
        <v>417.64292401249998</v>
      </c>
      <c r="Z128" s="35" t="str">
        <f t="shared" ca="1" si="68"/>
        <v/>
      </c>
      <c r="AA128" s="24"/>
      <c r="AB128" s="22"/>
      <c r="AC128" s="235">
        <f ca="1">Function!AH128</f>
        <v>0</v>
      </c>
      <c r="AD128" s="242">
        <f t="shared" ca="1" si="70"/>
        <v>0</v>
      </c>
      <c r="AF128" s="199">
        <f t="shared" ca="1" si="74"/>
        <v>0</v>
      </c>
      <c r="AH128" s="199">
        <f t="shared" ca="1" si="75"/>
        <v>0</v>
      </c>
      <c r="AJ128" s="199">
        <f t="shared" ca="1" si="76"/>
        <v>0</v>
      </c>
      <c r="AK128" s="73">
        <f t="shared" ca="1" si="77"/>
        <v>0</v>
      </c>
      <c r="AL128" s="199">
        <f t="shared" ca="1" si="78"/>
        <v>0</v>
      </c>
      <c r="AN128" s="199">
        <f t="shared" ca="1" si="79"/>
        <v>0</v>
      </c>
    </row>
    <row r="129" spans="2:40" ht="13" x14ac:dyDescent="0.3">
      <c r="B129" s="28">
        <f t="shared" si="72"/>
        <v>76</v>
      </c>
      <c r="D129" s="63" t="s">
        <v>225</v>
      </c>
      <c r="F129" s="113">
        <f ca="1">Function!R129</f>
        <v>191.86462860127</v>
      </c>
      <c r="H129" s="200"/>
      <c r="K129" s="91">
        <f>_xlfn.IFNA(MATCH(J129,'Stor Factors'!$B$13:$B$439,0),0)</f>
        <v>0</v>
      </c>
      <c r="L129" s="113">
        <f t="shared" ca="1" si="69"/>
        <v>191.86462860127</v>
      </c>
      <c r="N129" s="70" t="s">
        <v>50</v>
      </c>
      <c r="O129" s="186">
        <f>_xlfn.IFNA(MATCH(N129,'Stor Factors'!$B$13:$B$439,0),0)</f>
        <v>27</v>
      </c>
      <c r="P129" s="22">
        <f ca="1">OFFSET('Stor Factors'!$B$13,$O129-1,P$14)*$L129+OFFSET('Stor Factors'!$B$13,$K129-1,P$14)*$H129</f>
        <v>191.86462860127</v>
      </c>
      <c r="Q129" s="24"/>
      <c r="R129" s="22">
        <f ca="1">OFFSET('Stor Factors'!$B$13,$O129-1,R$14)*$L129+OFFSET('Stor Factors'!$B$13,$K129-1,R$14)*$H129</f>
        <v>0</v>
      </c>
      <c r="S129" s="22"/>
      <c r="T129" s="22">
        <f ca="1">OFFSET('Stor Factors'!$B$13,$O129-1,T$14)*$L129+OFFSET('Stor Factors'!$B$13,$K129-1,T$14)*$H129</f>
        <v>0</v>
      </c>
      <c r="U129" s="22"/>
      <c r="V129" s="22">
        <f ca="1">OFFSET('Stor Factors'!$B$13,$O129-1,V$14)*$L129+OFFSET('Stor Factors'!$B$13,$K129-1,V$14)*$H129</f>
        <v>0</v>
      </c>
      <c r="X129" s="9">
        <f t="shared" ca="1" si="66"/>
        <v>191.86462860127</v>
      </c>
      <c r="Z129" s="35" t="str">
        <f t="shared" ca="1" si="68"/>
        <v/>
      </c>
      <c r="AA129" s="24"/>
      <c r="AB129" s="22"/>
      <c r="AC129" s="235">
        <f ca="1">Function!AH129</f>
        <v>0</v>
      </c>
      <c r="AD129" s="242">
        <f t="shared" ca="1" si="70"/>
        <v>0</v>
      </c>
      <c r="AF129" s="199">
        <f t="shared" ca="1" si="74"/>
        <v>0</v>
      </c>
      <c r="AH129" s="199">
        <f t="shared" ca="1" si="75"/>
        <v>0</v>
      </c>
      <c r="AJ129" s="199">
        <f t="shared" ca="1" si="76"/>
        <v>0</v>
      </c>
      <c r="AK129" s="73">
        <f t="shared" ca="1" si="77"/>
        <v>0</v>
      </c>
      <c r="AL129" s="199">
        <f t="shared" ca="1" si="78"/>
        <v>0</v>
      </c>
      <c r="AN129" s="199">
        <f t="shared" ca="1" si="79"/>
        <v>0</v>
      </c>
    </row>
    <row r="130" spans="2:40" ht="13" x14ac:dyDescent="0.3">
      <c r="B130" s="28">
        <f t="shared" si="72"/>
        <v>77</v>
      </c>
      <c r="D130" s="63" t="s">
        <v>205</v>
      </c>
      <c r="F130" s="113">
        <f ca="1">Function!R130</f>
        <v>4026.3844920256997</v>
      </c>
      <c r="H130" s="200"/>
      <c r="K130" s="91">
        <f>_xlfn.IFNA(MATCH(J130,'Stor Factors'!$B$13:$B$439,0),0)</f>
        <v>0</v>
      </c>
      <c r="L130" s="113">
        <f t="shared" ca="1" si="69"/>
        <v>4026.3844920256997</v>
      </c>
      <c r="N130" s="28" t="s">
        <v>395</v>
      </c>
      <c r="O130" s="186">
        <f>_xlfn.IFNA(MATCH(N130,'Stor Factors'!$B$13:$B$439,0),0)</f>
        <v>24</v>
      </c>
      <c r="P130" s="22">
        <f ca="1">OFFSET('Stor Factors'!$B$13,$O130-1,P$14)*$L130+OFFSET('Stor Factors'!$B$13,$K130-1,P$14)*$H130</f>
        <v>2013.1922460128499</v>
      </c>
      <c r="Q130" s="24"/>
      <c r="R130" s="22">
        <f ca="1">OFFSET('Stor Factors'!$B$13,$O130-1,R$14)*$L130+OFFSET('Stor Factors'!$B$13,$K130-1,R$14)*$H130</f>
        <v>1855.6645713309417</v>
      </c>
      <c r="S130" s="22"/>
      <c r="T130" s="22">
        <f ca="1">OFFSET('Stor Factors'!$B$13,$O130-1,T$14)*$L130+OFFSET('Stor Factors'!$B$13,$K130-1,T$14)*$H130</f>
        <v>157.52767468190817</v>
      </c>
      <c r="U130" s="22"/>
      <c r="V130" s="22">
        <f ca="1">OFFSET('Stor Factors'!$B$13,$O130-1,V$14)*$L130+OFFSET('Stor Factors'!$B$13,$K130-1,V$14)*$H130</f>
        <v>0</v>
      </c>
      <c r="X130" s="9">
        <f t="shared" ca="1" si="66"/>
        <v>4026.3844920256997</v>
      </c>
      <c r="Z130" s="35" t="str">
        <f t="shared" ca="1" si="68"/>
        <v/>
      </c>
      <c r="AA130" s="24"/>
      <c r="AB130" s="22"/>
      <c r="AC130" s="235">
        <f ca="1">Function!AH130</f>
        <v>0</v>
      </c>
      <c r="AD130" s="242">
        <f t="shared" ca="1" si="70"/>
        <v>0</v>
      </c>
      <c r="AF130" s="199">
        <f t="shared" ca="1" si="74"/>
        <v>0</v>
      </c>
      <c r="AH130" s="199">
        <f t="shared" ca="1" si="75"/>
        <v>0</v>
      </c>
      <c r="AJ130" s="199">
        <f t="shared" ca="1" si="76"/>
        <v>0</v>
      </c>
      <c r="AK130" s="73">
        <f t="shared" ca="1" si="77"/>
        <v>0</v>
      </c>
      <c r="AL130" s="199">
        <f t="shared" ca="1" si="78"/>
        <v>0</v>
      </c>
      <c r="AN130" s="199">
        <f t="shared" ca="1" si="79"/>
        <v>0</v>
      </c>
    </row>
    <row r="131" spans="2:40" ht="13" x14ac:dyDescent="0.3">
      <c r="B131" s="28">
        <f t="shared" si="72"/>
        <v>78</v>
      </c>
      <c r="D131" s="63" t="s">
        <v>226</v>
      </c>
      <c r="F131" s="113">
        <f ca="1">Function!R131</f>
        <v>1816.3293445332881</v>
      </c>
      <c r="H131" s="200"/>
      <c r="K131" s="91">
        <f>_xlfn.IFNA(MATCH(J131,'Stor Factors'!$B$13:$B$439,0),0)</f>
        <v>0</v>
      </c>
      <c r="L131" s="113">
        <f t="shared" ca="1" si="69"/>
        <v>1816.3293445332881</v>
      </c>
      <c r="N131" s="28" t="s">
        <v>395</v>
      </c>
      <c r="O131" s="186">
        <f>_xlfn.IFNA(MATCH(N131,'Stor Factors'!$B$13:$B$439,0),0)</f>
        <v>24</v>
      </c>
      <c r="P131" s="22">
        <f ca="1">OFFSET('Stor Factors'!$B$13,$O131-1,P$14)*$L131+OFFSET('Stor Factors'!$B$13,$K131-1,P$14)*$H131</f>
        <v>908.16467226664406</v>
      </c>
      <c r="Q131" s="24"/>
      <c r="R131" s="22">
        <f ca="1">OFFSET('Stor Factors'!$B$13,$O131-1,R$14)*$L131+OFFSET('Stor Factors'!$B$13,$K131-1,R$14)*$H131</f>
        <v>837.10287012938886</v>
      </c>
      <c r="S131" s="22"/>
      <c r="T131" s="22">
        <f ca="1">OFFSET('Stor Factors'!$B$13,$O131-1,T$14)*$L131+OFFSET('Stor Factors'!$B$13,$K131-1,T$14)*$H131</f>
        <v>71.061802137255256</v>
      </c>
      <c r="U131" s="22"/>
      <c r="V131" s="22">
        <f ca="1">OFFSET('Stor Factors'!$B$13,$O131-1,V$14)*$L131+OFFSET('Stor Factors'!$B$13,$K131-1,V$14)*$H131</f>
        <v>0</v>
      </c>
      <c r="X131" s="9">
        <f t="shared" ca="1" si="66"/>
        <v>1816.3293445332881</v>
      </c>
      <c r="Z131" s="35" t="str">
        <f t="shared" ca="1" si="68"/>
        <v/>
      </c>
      <c r="AA131" s="24"/>
      <c r="AB131" s="22"/>
      <c r="AC131" s="235">
        <f ca="1">Function!AH131</f>
        <v>366.20012159340001</v>
      </c>
      <c r="AD131" s="242">
        <f t="shared" ca="1" si="70"/>
        <v>0.20161548493150419</v>
      </c>
      <c r="AF131" s="199">
        <f t="shared" ca="1" si="74"/>
        <v>183.10006079670001</v>
      </c>
      <c r="AH131" s="199">
        <f t="shared" ca="1" si="75"/>
        <v>168.77290109869071</v>
      </c>
      <c r="AJ131" s="199">
        <f t="shared" ca="1" si="76"/>
        <v>14.32715969800932</v>
      </c>
      <c r="AK131" s="73">
        <f t="shared" ca="1" si="77"/>
        <v>0</v>
      </c>
      <c r="AL131" s="199">
        <f t="shared" ca="1" si="78"/>
        <v>0</v>
      </c>
      <c r="AN131" s="199">
        <f t="shared" ca="1" si="79"/>
        <v>366.20012159340007</v>
      </c>
    </row>
    <row r="132" spans="2:40" ht="13" x14ac:dyDescent="0.3">
      <c r="B132" s="28"/>
      <c r="D132" s="97" t="s">
        <v>9</v>
      </c>
      <c r="N132" s="28"/>
      <c r="P132" s="97"/>
      <c r="Z132" s="35" t="str">
        <f t="shared" si="68"/>
        <v/>
      </c>
      <c r="AA132" s="24"/>
      <c r="AF132" s="199">
        <f t="shared" si="74"/>
        <v>0</v>
      </c>
      <c r="AH132" s="199">
        <f t="shared" si="75"/>
        <v>0</v>
      </c>
      <c r="AJ132" s="199">
        <f t="shared" si="76"/>
        <v>0</v>
      </c>
      <c r="AK132" s="73">
        <f t="shared" si="77"/>
        <v>0</v>
      </c>
      <c r="AL132" s="199">
        <f t="shared" si="78"/>
        <v>0</v>
      </c>
      <c r="AN132" s="199">
        <f t="shared" si="79"/>
        <v>0</v>
      </c>
    </row>
    <row r="133" spans="2:40" ht="13" x14ac:dyDescent="0.3">
      <c r="B133" s="28">
        <f>B131+1</f>
        <v>79</v>
      </c>
      <c r="D133" s="97" t="s">
        <v>239</v>
      </c>
      <c r="F133" s="113">
        <f ca="1">Function!R133</f>
        <v>0</v>
      </c>
      <c r="K133" s="91">
        <f>_xlfn.IFNA(MATCH(J133,'Stor Factors'!$B$13:$B$439,0),0)</f>
        <v>0</v>
      </c>
      <c r="L133" s="113">
        <f t="shared" ref="L133:L136" ca="1" si="80">F133-H133</f>
        <v>0</v>
      </c>
      <c r="N133" s="72"/>
      <c r="O133" s="186">
        <f>_xlfn.IFNA(MATCH(N133,'Stor Factors'!$B$13:$B$439,0),0)</f>
        <v>0</v>
      </c>
      <c r="P133" s="22">
        <f ca="1">OFFSET('Stor Factors'!$B$13,$O133-1,P$14)*$L133+OFFSET('Stor Factors'!$B$13,$K133-1,P$14)*$H133</f>
        <v>0</v>
      </c>
      <c r="Q133" s="24"/>
      <c r="R133" s="22">
        <f ca="1">OFFSET('Stor Factors'!$B$13,$O133-1,R$14)*$L133+OFFSET('Stor Factors'!$B$13,$K133-1,R$14)*$H133</f>
        <v>0</v>
      </c>
      <c r="S133" s="22"/>
      <c r="T133" s="22">
        <f ca="1">OFFSET('Stor Factors'!$B$13,$O133-1,T$14)*$L133+OFFSET('Stor Factors'!$B$13,$K133-1,T$14)*$H133</f>
        <v>0</v>
      </c>
      <c r="U133" s="22"/>
      <c r="V133" s="22">
        <f ca="1">OFFSET('Stor Factors'!$B$13,$O133-1,V$14)*$L133+OFFSET('Stor Factors'!$B$13,$K133-1,V$14)*$H133</f>
        <v>0</v>
      </c>
      <c r="X133" s="9">
        <f t="shared" ref="X133:X136" ca="1" si="81">P133+R133+T133+V133</f>
        <v>0</v>
      </c>
      <c r="Z133" s="35" t="str">
        <f t="shared" ca="1" si="68"/>
        <v/>
      </c>
      <c r="AA133" s="24"/>
      <c r="AB133" s="22"/>
      <c r="AC133" s="235">
        <f ca="1">Function!AH133</f>
        <v>0</v>
      </c>
      <c r="AD133" s="242">
        <f t="shared" ref="AD133:AD136" ca="1" si="82">IFERROR(AC133/F133,0)</f>
        <v>0</v>
      </c>
      <c r="AF133" s="199">
        <f t="shared" ref="AF133:AF145" ca="1" si="83">$AD133*P133</f>
        <v>0</v>
      </c>
      <c r="AH133" s="199">
        <f t="shared" ref="AH133:AH154" ca="1" si="84">$AD133*R133</f>
        <v>0</v>
      </c>
      <c r="AJ133" s="199">
        <f t="shared" ref="AJ133:AJ154" ca="1" si="85">$AD133*T133</f>
        <v>0</v>
      </c>
      <c r="AK133" s="73">
        <f t="shared" ref="AK133:AK154" ca="1" si="86">$AD133*U133</f>
        <v>0</v>
      </c>
      <c r="AL133" s="199">
        <f t="shared" ref="AL133:AL154" ca="1" si="87">$AD133*V133</f>
        <v>0</v>
      </c>
      <c r="AN133" s="199">
        <f t="shared" ca="1" si="79"/>
        <v>0</v>
      </c>
    </row>
    <row r="134" spans="2:40" ht="13" x14ac:dyDescent="0.3">
      <c r="B134" s="28">
        <f>B133+1</f>
        <v>80</v>
      </c>
      <c r="D134" s="63" t="s">
        <v>227</v>
      </c>
      <c r="F134" s="113">
        <f ca="1">Function!R134</f>
        <v>0</v>
      </c>
      <c r="H134" s="200"/>
      <c r="K134" s="91">
        <f>_xlfn.IFNA(MATCH(J134,'Stor Factors'!$B$13:$B$439,0),0)</f>
        <v>0</v>
      </c>
      <c r="L134" s="113">
        <f t="shared" ca="1" si="80"/>
        <v>0</v>
      </c>
      <c r="N134" s="70"/>
      <c r="O134" s="186">
        <f>_xlfn.IFNA(MATCH(N134,'Stor Factors'!$B$13:$B$439,0),0)</f>
        <v>0</v>
      </c>
      <c r="P134" s="22">
        <f ca="1">OFFSET('Stor Factors'!$B$13,$O134-1,P$14)*$L134+OFFSET('Stor Factors'!$B$13,$K134-1,P$14)*$H134</f>
        <v>0</v>
      </c>
      <c r="Q134" s="24"/>
      <c r="R134" s="22">
        <f ca="1">OFFSET('Stor Factors'!$B$13,$O134-1,R$14)*$L134+OFFSET('Stor Factors'!$B$13,$K134-1,R$14)*$H134</f>
        <v>0</v>
      </c>
      <c r="S134" s="22"/>
      <c r="T134" s="22">
        <f ca="1">OFFSET('Stor Factors'!$B$13,$O134-1,T$14)*$L134+OFFSET('Stor Factors'!$B$13,$K134-1,T$14)*$H134</f>
        <v>0</v>
      </c>
      <c r="U134" s="22"/>
      <c r="V134" s="22">
        <f ca="1">OFFSET('Stor Factors'!$B$13,$O134-1,V$14)*$L134+OFFSET('Stor Factors'!$B$13,$K134-1,V$14)*$H134</f>
        <v>0</v>
      </c>
      <c r="X134" s="9">
        <f t="shared" ca="1" si="81"/>
        <v>0</v>
      </c>
      <c r="Z134" s="35" t="str">
        <f t="shared" ca="1" si="68"/>
        <v/>
      </c>
      <c r="AA134" s="24"/>
      <c r="AB134" s="22"/>
      <c r="AC134" s="235">
        <f ca="1">Function!AH134</f>
        <v>0</v>
      </c>
      <c r="AD134" s="242">
        <f t="shared" ca="1" si="82"/>
        <v>0</v>
      </c>
      <c r="AF134" s="199">
        <f t="shared" ca="1" si="83"/>
        <v>0</v>
      </c>
      <c r="AH134" s="199">
        <f t="shared" ca="1" si="84"/>
        <v>0</v>
      </c>
      <c r="AJ134" s="199">
        <f t="shared" ca="1" si="85"/>
        <v>0</v>
      </c>
      <c r="AK134" s="73">
        <f t="shared" ca="1" si="86"/>
        <v>0</v>
      </c>
      <c r="AL134" s="199">
        <f t="shared" ca="1" si="87"/>
        <v>0</v>
      </c>
      <c r="AN134" s="199">
        <f t="shared" ca="1" si="79"/>
        <v>0</v>
      </c>
    </row>
    <row r="135" spans="2:40" ht="13" x14ac:dyDescent="0.3">
      <c r="B135" s="28">
        <f t="shared" ref="B135:B136" si="88">B134+1</f>
        <v>81</v>
      </c>
      <c r="D135" s="63" t="s">
        <v>224</v>
      </c>
      <c r="F135" s="113">
        <f ca="1">Function!R135</f>
        <v>0</v>
      </c>
      <c r="H135" s="200"/>
      <c r="K135" s="91">
        <f>_xlfn.IFNA(MATCH(J135,'Stor Factors'!$B$13:$B$439,0),0)</f>
        <v>0</v>
      </c>
      <c r="L135" s="113">
        <f t="shared" ca="1" si="80"/>
        <v>0</v>
      </c>
      <c r="N135" s="70"/>
      <c r="O135" s="186">
        <f>_xlfn.IFNA(MATCH(N135,'Stor Factors'!$B$13:$B$439,0),0)</f>
        <v>0</v>
      </c>
      <c r="P135" s="22">
        <f ca="1">OFFSET('Stor Factors'!$B$13,$O135-1,P$14)*$L135+OFFSET('Stor Factors'!$B$13,$K135-1,P$14)*$H135</f>
        <v>0</v>
      </c>
      <c r="Q135" s="24"/>
      <c r="R135" s="22">
        <f ca="1">OFFSET('Stor Factors'!$B$13,$O135-1,R$14)*$L135+OFFSET('Stor Factors'!$B$13,$K135-1,R$14)*$H135</f>
        <v>0</v>
      </c>
      <c r="S135" s="22"/>
      <c r="T135" s="22">
        <f ca="1">OFFSET('Stor Factors'!$B$13,$O135-1,T$14)*$L135+OFFSET('Stor Factors'!$B$13,$K135-1,T$14)*$H135</f>
        <v>0</v>
      </c>
      <c r="U135" s="22"/>
      <c r="V135" s="22">
        <f ca="1">OFFSET('Stor Factors'!$B$13,$O135-1,V$14)*$L135+OFFSET('Stor Factors'!$B$13,$K135-1,V$14)*$H135</f>
        <v>0</v>
      </c>
      <c r="X135" s="9">
        <f t="shared" ca="1" si="81"/>
        <v>0</v>
      </c>
      <c r="Z135" s="35" t="str">
        <f t="shared" ca="1" si="68"/>
        <v/>
      </c>
      <c r="AA135" s="24"/>
      <c r="AB135" s="22"/>
      <c r="AC135" s="235">
        <f ca="1">Function!AH135</f>
        <v>0</v>
      </c>
      <c r="AD135" s="242">
        <f t="shared" ca="1" si="82"/>
        <v>0</v>
      </c>
      <c r="AF135" s="199">
        <f t="shared" ca="1" si="83"/>
        <v>0</v>
      </c>
      <c r="AH135" s="199">
        <f t="shared" ca="1" si="84"/>
        <v>0</v>
      </c>
      <c r="AJ135" s="199">
        <f t="shared" ca="1" si="85"/>
        <v>0</v>
      </c>
      <c r="AK135" s="73">
        <f t="shared" ca="1" si="86"/>
        <v>0</v>
      </c>
      <c r="AL135" s="199">
        <f t="shared" ca="1" si="87"/>
        <v>0</v>
      </c>
      <c r="AN135" s="199">
        <f t="shared" ca="1" si="79"/>
        <v>0</v>
      </c>
    </row>
    <row r="136" spans="2:40" ht="13" x14ac:dyDescent="0.3">
      <c r="B136" s="28">
        <f t="shared" si="88"/>
        <v>82</v>
      </c>
      <c r="D136" s="63" t="s">
        <v>21</v>
      </c>
      <c r="F136" s="113">
        <f ca="1">Function!R136</f>
        <v>0</v>
      </c>
      <c r="H136" s="200"/>
      <c r="K136" s="91">
        <f>_xlfn.IFNA(MATCH(J136,'Stor Factors'!$B$13:$B$439,0),0)</f>
        <v>0</v>
      </c>
      <c r="L136" s="113">
        <f t="shared" ca="1" si="80"/>
        <v>0</v>
      </c>
      <c r="N136" s="70"/>
      <c r="O136" s="186">
        <f>_xlfn.IFNA(MATCH(N136,'Stor Factors'!$B$13:$B$439,0),0)</f>
        <v>0</v>
      </c>
      <c r="P136" s="22">
        <f ca="1">OFFSET('Stor Factors'!$B$13,$O136-1,P$14)*$L136+OFFSET('Stor Factors'!$B$13,$K136-1,P$14)*$H136</f>
        <v>0</v>
      </c>
      <c r="Q136" s="24"/>
      <c r="R136" s="22">
        <f ca="1">OFFSET('Stor Factors'!$B$13,$O136-1,R$14)*$L136+OFFSET('Stor Factors'!$B$13,$K136-1,R$14)*$H136</f>
        <v>0</v>
      </c>
      <c r="S136" s="22"/>
      <c r="T136" s="22">
        <f ca="1">OFFSET('Stor Factors'!$B$13,$O136-1,T$14)*$L136+OFFSET('Stor Factors'!$B$13,$K136-1,T$14)*$H136</f>
        <v>0</v>
      </c>
      <c r="U136" s="22"/>
      <c r="V136" s="22">
        <f ca="1">OFFSET('Stor Factors'!$B$13,$O136-1,V$14)*$L136+OFFSET('Stor Factors'!$B$13,$K136-1,V$14)*$H136</f>
        <v>0</v>
      </c>
      <c r="X136" s="9">
        <f t="shared" ca="1" si="81"/>
        <v>0</v>
      </c>
      <c r="Z136" s="35" t="str">
        <f t="shared" ca="1" si="68"/>
        <v/>
      </c>
      <c r="AA136" s="24"/>
      <c r="AB136" s="22"/>
      <c r="AC136" s="235">
        <f ca="1">Function!AH136</f>
        <v>0</v>
      </c>
      <c r="AD136" s="242">
        <f t="shared" ca="1" si="82"/>
        <v>0</v>
      </c>
      <c r="AF136" s="199">
        <f t="shared" ca="1" si="83"/>
        <v>0</v>
      </c>
      <c r="AH136" s="199">
        <f t="shared" ca="1" si="84"/>
        <v>0</v>
      </c>
      <c r="AJ136" s="199">
        <f t="shared" ca="1" si="85"/>
        <v>0</v>
      </c>
      <c r="AK136" s="73">
        <f t="shared" ca="1" si="86"/>
        <v>0</v>
      </c>
      <c r="AL136" s="199">
        <f t="shared" ca="1" si="87"/>
        <v>0</v>
      </c>
      <c r="AN136" s="199">
        <f t="shared" ca="1" si="79"/>
        <v>0</v>
      </c>
    </row>
    <row r="137" spans="2:40" ht="13" x14ac:dyDescent="0.3">
      <c r="B137" s="28"/>
      <c r="D137" s="97" t="s">
        <v>10</v>
      </c>
      <c r="N137" s="70"/>
      <c r="P137" s="97"/>
      <c r="Z137" s="35" t="str">
        <f t="shared" si="68"/>
        <v/>
      </c>
      <c r="AA137" s="24"/>
      <c r="AB137" s="22"/>
      <c r="AD137" s="242"/>
      <c r="AF137" s="199">
        <f t="shared" si="83"/>
        <v>0</v>
      </c>
      <c r="AH137" s="199">
        <f t="shared" si="84"/>
        <v>0</v>
      </c>
      <c r="AJ137" s="199">
        <f t="shared" si="85"/>
        <v>0</v>
      </c>
      <c r="AK137" s="73">
        <f t="shared" si="86"/>
        <v>0</v>
      </c>
      <c r="AL137" s="199">
        <f t="shared" si="87"/>
        <v>0</v>
      </c>
      <c r="AN137" s="199">
        <f t="shared" si="79"/>
        <v>0</v>
      </c>
    </row>
    <row r="138" spans="2:40" ht="13" x14ac:dyDescent="0.3">
      <c r="B138" s="28">
        <f>B136+1</f>
        <v>83</v>
      </c>
      <c r="D138" s="97" t="s">
        <v>243</v>
      </c>
      <c r="F138" s="113">
        <f ca="1">Function!R138</f>
        <v>0</v>
      </c>
      <c r="K138" s="91">
        <f>_xlfn.IFNA(MATCH(J138,'Stor Factors'!$B$13:$B$439,0),0)</f>
        <v>0</v>
      </c>
      <c r="L138" s="113">
        <f t="shared" ref="L138:L143" ca="1" si="89">F138-H138</f>
        <v>0</v>
      </c>
      <c r="N138" s="72"/>
      <c r="O138" s="186">
        <f>_xlfn.IFNA(MATCH(N138,'Stor Factors'!$B$13:$B$439,0),0)</f>
        <v>0</v>
      </c>
      <c r="P138" s="22">
        <f ca="1">OFFSET('Stor Factors'!$B$13,$O138-1,P$14)*$L138+OFFSET('Stor Factors'!$B$13,$K138-1,P$14)*$H138</f>
        <v>0</v>
      </c>
      <c r="Q138" s="24"/>
      <c r="R138" s="22">
        <f ca="1">OFFSET('Stor Factors'!$B$13,$O138-1,R$14)*$L138+OFFSET('Stor Factors'!$B$13,$K138-1,R$14)*$H138</f>
        <v>0</v>
      </c>
      <c r="S138" s="22"/>
      <c r="T138" s="22">
        <f ca="1">OFFSET('Stor Factors'!$B$13,$O138-1,T$14)*$L138+OFFSET('Stor Factors'!$B$13,$K138-1,T$14)*$H138</f>
        <v>0</v>
      </c>
      <c r="U138" s="22"/>
      <c r="V138" s="22">
        <f ca="1">OFFSET('Stor Factors'!$B$13,$O138-1,V$14)*$L138+OFFSET('Stor Factors'!$B$13,$K138-1,V$14)*$H138</f>
        <v>0</v>
      </c>
      <c r="X138" s="9">
        <f t="shared" ref="X138:X143" ca="1" si="90">P138+R138+T138+V138</f>
        <v>0</v>
      </c>
      <c r="Z138" s="35" t="str">
        <f t="shared" ca="1" si="68"/>
        <v/>
      </c>
      <c r="AA138" s="24"/>
      <c r="AB138" s="22"/>
      <c r="AC138" s="235">
        <f ca="1">Function!AH138</f>
        <v>0</v>
      </c>
      <c r="AD138" s="242">
        <f ca="1">IFERROR(AC138/F138,0)</f>
        <v>0</v>
      </c>
      <c r="AF138" s="199">
        <f t="shared" ca="1" si="83"/>
        <v>0</v>
      </c>
      <c r="AH138" s="199">
        <f t="shared" ca="1" si="84"/>
        <v>0</v>
      </c>
      <c r="AJ138" s="199">
        <f t="shared" ca="1" si="85"/>
        <v>0</v>
      </c>
      <c r="AK138" s="73">
        <f t="shared" ca="1" si="86"/>
        <v>0</v>
      </c>
      <c r="AL138" s="199">
        <f t="shared" ca="1" si="87"/>
        <v>0</v>
      </c>
      <c r="AN138" s="199">
        <f t="shared" ca="1" si="79"/>
        <v>0</v>
      </c>
    </row>
    <row r="139" spans="2:40" ht="13" x14ac:dyDescent="0.3">
      <c r="B139" s="28">
        <f>B138+1</f>
        <v>84</v>
      </c>
      <c r="D139" s="63" t="s">
        <v>229</v>
      </c>
      <c r="F139" s="113">
        <f ca="1">Function!R139</f>
        <v>0</v>
      </c>
      <c r="H139" s="200"/>
      <c r="K139" s="91">
        <f>_xlfn.IFNA(MATCH(J139,'Stor Factors'!$B$13:$B$439,0),0)</f>
        <v>0</v>
      </c>
      <c r="L139" s="113">
        <f t="shared" ca="1" si="89"/>
        <v>0</v>
      </c>
      <c r="N139" s="70"/>
      <c r="O139" s="186">
        <f>_xlfn.IFNA(MATCH(N139,'Stor Factors'!$B$13:$B$439,0),0)</f>
        <v>0</v>
      </c>
      <c r="P139" s="22">
        <f ca="1">OFFSET('Stor Factors'!$B$13,$O139-1,P$14)*$L139+OFFSET('Stor Factors'!$B$13,$K139-1,P$14)*$H139</f>
        <v>0</v>
      </c>
      <c r="Q139" s="24"/>
      <c r="R139" s="22">
        <f ca="1">OFFSET('Stor Factors'!$B$13,$O139-1,R$14)*$L139+OFFSET('Stor Factors'!$B$13,$K139-1,R$14)*$H139</f>
        <v>0</v>
      </c>
      <c r="S139" s="22"/>
      <c r="T139" s="22">
        <f ca="1">OFFSET('Stor Factors'!$B$13,$O139-1,T$14)*$L139+OFFSET('Stor Factors'!$B$13,$K139-1,T$14)*$H139</f>
        <v>0</v>
      </c>
      <c r="U139" s="22"/>
      <c r="V139" s="22">
        <f ca="1">OFFSET('Stor Factors'!$B$13,$O139-1,V$14)*$L139+OFFSET('Stor Factors'!$B$13,$K139-1,V$14)*$H139</f>
        <v>0</v>
      </c>
      <c r="X139" s="9">
        <f t="shared" ca="1" si="90"/>
        <v>0</v>
      </c>
      <c r="Z139" s="35" t="str">
        <f t="shared" ca="1" si="68"/>
        <v/>
      </c>
      <c r="AA139" s="24"/>
      <c r="AB139" s="22"/>
      <c r="AC139" s="235">
        <f ca="1">Function!AH139</f>
        <v>0</v>
      </c>
      <c r="AD139" s="242">
        <f ca="1">IFERROR(AC139/F139,0)</f>
        <v>0</v>
      </c>
      <c r="AF139" s="199">
        <f t="shared" ca="1" si="83"/>
        <v>0</v>
      </c>
      <c r="AH139" s="199">
        <f t="shared" ca="1" si="84"/>
        <v>0</v>
      </c>
      <c r="AJ139" s="199">
        <f t="shared" ca="1" si="85"/>
        <v>0</v>
      </c>
      <c r="AK139" s="73">
        <f t="shared" ca="1" si="86"/>
        <v>0</v>
      </c>
      <c r="AL139" s="199">
        <f t="shared" ca="1" si="87"/>
        <v>0</v>
      </c>
      <c r="AN139" s="199">
        <f t="shared" ca="1" si="79"/>
        <v>0</v>
      </c>
    </row>
    <row r="140" spans="2:40" ht="13" x14ac:dyDescent="0.3">
      <c r="B140" s="28">
        <f t="shared" ref="B140:B143" si="91">B139+1</f>
        <v>85</v>
      </c>
      <c r="D140" s="63" t="s">
        <v>203</v>
      </c>
      <c r="F140" s="113">
        <f ca="1">Function!R140</f>
        <v>0</v>
      </c>
      <c r="H140" s="200"/>
      <c r="K140" s="91">
        <f>_xlfn.IFNA(MATCH(J140,'Stor Factors'!$B$13:$B$439,0),0)</f>
        <v>0</v>
      </c>
      <c r="L140" s="113">
        <f t="shared" ca="1" si="89"/>
        <v>0</v>
      </c>
      <c r="N140" s="70"/>
      <c r="O140" s="186">
        <f>_xlfn.IFNA(MATCH(N140,'Stor Factors'!$B$13:$B$439,0),0)</f>
        <v>0</v>
      </c>
      <c r="P140" s="22">
        <f ca="1">OFFSET('Stor Factors'!$B$13,$O140-1,P$14)*$L140+OFFSET('Stor Factors'!$B$13,$K140-1,P$14)*$H140</f>
        <v>0</v>
      </c>
      <c r="Q140" s="24"/>
      <c r="R140" s="22">
        <f ca="1">OFFSET('Stor Factors'!$B$13,$O140-1,R$14)*$L140+OFFSET('Stor Factors'!$B$13,$K140-1,R$14)*$H140</f>
        <v>0</v>
      </c>
      <c r="S140" s="22"/>
      <c r="T140" s="22">
        <f ca="1">OFFSET('Stor Factors'!$B$13,$O140-1,T$14)*$L140+OFFSET('Stor Factors'!$B$13,$K140-1,T$14)*$H140</f>
        <v>0</v>
      </c>
      <c r="U140" s="22"/>
      <c r="V140" s="22">
        <f ca="1">OFFSET('Stor Factors'!$B$13,$O140-1,V$14)*$L140+OFFSET('Stor Factors'!$B$13,$K140-1,V$14)*$H140</f>
        <v>0</v>
      </c>
      <c r="X140" s="9">
        <f t="shared" ca="1" si="90"/>
        <v>0</v>
      </c>
      <c r="Z140" s="35" t="str">
        <f t="shared" ca="1" si="68"/>
        <v/>
      </c>
      <c r="AA140" s="24"/>
      <c r="AB140" s="22"/>
      <c r="AC140" s="235">
        <f ca="1">Function!AH140</f>
        <v>0</v>
      </c>
      <c r="AD140" s="242">
        <f t="shared" ref="AD140:AD143" ca="1" si="92">IFERROR(AC140/F140,0)</f>
        <v>0</v>
      </c>
      <c r="AF140" s="199">
        <f t="shared" ca="1" si="83"/>
        <v>0</v>
      </c>
      <c r="AH140" s="199">
        <f t="shared" ca="1" si="84"/>
        <v>0</v>
      </c>
      <c r="AJ140" s="199">
        <f t="shared" ca="1" si="85"/>
        <v>0</v>
      </c>
      <c r="AK140" s="73">
        <f t="shared" ca="1" si="86"/>
        <v>0</v>
      </c>
      <c r="AL140" s="199">
        <f t="shared" ca="1" si="87"/>
        <v>0</v>
      </c>
      <c r="AN140" s="199">
        <f t="shared" ca="1" si="79"/>
        <v>0</v>
      </c>
    </row>
    <row r="141" spans="2:40" ht="13" x14ac:dyDescent="0.3">
      <c r="B141" s="28">
        <f t="shared" si="91"/>
        <v>86</v>
      </c>
      <c r="D141" s="63" t="s">
        <v>230</v>
      </c>
      <c r="F141" s="113">
        <f ca="1">Function!R141</f>
        <v>0</v>
      </c>
      <c r="H141" s="200"/>
      <c r="K141" s="91">
        <f>_xlfn.IFNA(MATCH(J141,'Stor Factors'!$B$13:$B$439,0),0)</f>
        <v>0</v>
      </c>
      <c r="L141" s="113">
        <f t="shared" ca="1" si="89"/>
        <v>0</v>
      </c>
      <c r="N141" s="70"/>
      <c r="O141" s="186">
        <f>_xlfn.IFNA(MATCH(N141,'Stor Factors'!$B$13:$B$439,0),0)</f>
        <v>0</v>
      </c>
      <c r="P141" s="22">
        <f ca="1">OFFSET('Stor Factors'!$B$13,$O141-1,P$14)*$L141+OFFSET('Stor Factors'!$B$13,$K141-1,P$14)*$H141</f>
        <v>0</v>
      </c>
      <c r="Q141" s="24"/>
      <c r="R141" s="22">
        <f ca="1">OFFSET('Stor Factors'!$B$13,$O141-1,R$14)*$L141+OFFSET('Stor Factors'!$B$13,$K141-1,R$14)*$H141</f>
        <v>0</v>
      </c>
      <c r="S141" s="22"/>
      <c r="T141" s="22">
        <f ca="1">OFFSET('Stor Factors'!$B$13,$O141-1,T$14)*$L141+OFFSET('Stor Factors'!$B$13,$K141-1,T$14)*$H141</f>
        <v>0</v>
      </c>
      <c r="U141" s="22"/>
      <c r="V141" s="22">
        <f ca="1">OFFSET('Stor Factors'!$B$13,$O141-1,V$14)*$L141+OFFSET('Stor Factors'!$B$13,$K141-1,V$14)*$H141</f>
        <v>0</v>
      </c>
      <c r="X141" s="9">
        <f t="shared" ca="1" si="90"/>
        <v>0</v>
      </c>
      <c r="Z141" s="35" t="str">
        <f t="shared" ca="1" si="68"/>
        <v/>
      </c>
      <c r="AA141" s="24"/>
      <c r="AB141" s="22"/>
      <c r="AC141" s="235">
        <f ca="1">Function!AH141</f>
        <v>0</v>
      </c>
      <c r="AD141" s="242">
        <f t="shared" ca="1" si="92"/>
        <v>0</v>
      </c>
      <c r="AF141" s="199">
        <f t="shared" ca="1" si="83"/>
        <v>0</v>
      </c>
      <c r="AH141" s="199">
        <f t="shared" ca="1" si="84"/>
        <v>0</v>
      </c>
      <c r="AJ141" s="199">
        <f t="shared" ca="1" si="85"/>
        <v>0</v>
      </c>
      <c r="AK141" s="73">
        <f t="shared" ca="1" si="86"/>
        <v>0</v>
      </c>
      <c r="AL141" s="199">
        <f t="shared" ca="1" si="87"/>
        <v>0</v>
      </c>
      <c r="AN141" s="199">
        <f t="shared" ca="1" si="79"/>
        <v>0</v>
      </c>
    </row>
    <row r="142" spans="2:40" ht="13" x14ac:dyDescent="0.3">
      <c r="B142" s="28">
        <f t="shared" si="91"/>
        <v>87</v>
      </c>
      <c r="D142" s="63" t="s">
        <v>21</v>
      </c>
      <c r="F142" s="113">
        <f ca="1">Function!R142</f>
        <v>0</v>
      </c>
      <c r="H142" s="200"/>
      <c r="K142" s="91">
        <f>_xlfn.IFNA(MATCH(J142,'Stor Factors'!$B$13:$B$439,0),0)</f>
        <v>0</v>
      </c>
      <c r="L142" s="113">
        <f t="shared" ca="1" si="89"/>
        <v>0</v>
      </c>
      <c r="N142" s="70"/>
      <c r="O142" s="186">
        <f>_xlfn.IFNA(MATCH(N142,'Stor Factors'!$B$13:$B$439,0),0)</f>
        <v>0</v>
      </c>
      <c r="P142" s="22">
        <f ca="1">OFFSET('Stor Factors'!$B$13,$O142-1,P$14)*$L142+OFFSET('Stor Factors'!$B$13,$K142-1,P$14)*$H142</f>
        <v>0</v>
      </c>
      <c r="Q142" s="24"/>
      <c r="R142" s="22">
        <f ca="1">OFFSET('Stor Factors'!$B$13,$O142-1,R$14)*$L142+OFFSET('Stor Factors'!$B$13,$K142-1,R$14)*$H142</f>
        <v>0</v>
      </c>
      <c r="S142" s="22"/>
      <c r="T142" s="22">
        <f ca="1">OFFSET('Stor Factors'!$B$13,$O142-1,T$14)*$L142+OFFSET('Stor Factors'!$B$13,$K142-1,T$14)*$H142</f>
        <v>0</v>
      </c>
      <c r="U142" s="22"/>
      <c r="V142" s="22">
        <f ca="1">OFFSET('Stor Factors'!$B$13,$O142-1,V$14)*$L142+OFFSET('Stor Factors'!$B$13,$K142-1,V$14)*$H142</f>
        <v>0</v>
      </c>
      <c r="X142" s="9">
        <f t="shared" ca="1" si="90"/>
        <v>0</v>
      </c>
      <c r="Z142" s="35" t="str">
        <f t="shared" ca="1" si="68"/>
        <v/>
      </c>
      <c r="AA142" s="24"/>
      <c r="AB142" s="22"/>
      <c r="AC142" s="235">
        <f ca="1">Function!AH142</f>
        <v>0</v>
      </c>
      <c r="AD142" s="242">
        <f t="shared" ca="1" si="92"/>
        <v>0</v>
      </c>
      <c r="AF142" s="199">
        <f t="shared" ca="1" si="83"/>
        <v>0</v>
      </c>
      <c r="AH142" s="199">
        <f t="shared" ca="1" si="84"/>
        <v>0</v>
      </c>
      <c r="AJ142" s="199">
        <f t="shared" ca="1" si="85"/>
        <v>0</v>
      </c>
      <c r="AK142" s="73">
        <f t="shared" ca="1" si="86"/>
        <v>0</v>
      </c>
      <c r="AL142" s="199">
        <f t="shared" ca="1" si="87"/>
        <v>0</v>
      </c>
      <c r="AN142" s="199">
        <f t="shared" ca="1" si="79"/>
        <v>0</v>
      </c>
    </row>
    <row r="143" spans="2:40" ht="13" x14ac:dyDescent="0.3">
      <c r="B143" s="28">
        <f t="shared" si="91"/>
        <v>88</v>
      </c>
      <c r="D143" s="63" t="s">
        <v>231</v>
      </c>
      <c r="F143" s="113">
        <f ca="1">Function!R143</f>
        <v>0</v>
      </c>
      <c r="H143" s="200"/>
      <c r="K143" s="91">
        <f>_xlfn.IFNA(MATCH(J143,'Stor Factors'!$B$13:$B$439,0),0)</f>
        <v>0</v>
      </c>
      <c r="L143" s="113">
        <f t="shared" ca="1" si="89"/>
        <v>0</v>
      </c>
      <c r="N143" s="70"/>
      <c r="O143" s="186">
        <f>_xlfn.IFNA(MATCH(N143,'Stor Factors'!$B$13:$B$439,0),0)</f>
        <v>0</v>
      </c>
      <c r="P143" s="22">
        <f ca="1">OFFSET('Stor Factors'!$B$13,$O143-1,P$14)*$L143+OFFSET('Stor Factors'!$B$13,$K143-1,P$14)*$H143</f>
        <v>0</v>
      </c>
      <c r="Q143" s="24"/>
      <c r="R143" s="22">
        <f ca="1">OFFSET('Stor Factors'!$B$13,$O143-1,R$14)*$L143+OFFSET('Stor Factors'!$B$13,$K143-1,R$14)*$H143</f>
        <v>0</v>
      </c>
      <c r="S143" s="22"/>
      <c r="T143" s="22">
        <f ca="1">OFFSET('Stor Factors'!$B$13,$O143-1,T$14)*$L143+OFFSET('Stor Factors'!$B$13,$K143-1,T$14)*$H143</f>
        <v>0</v>
      </c>
      <c r="U143" s="22"/>
      <c r="V143" s="22">
        <f ca="1">OFFSET('Stor Factors'!$B$13,$O143-1,V$14)*$L143+OFFSET('Stor Factors'!$B$13,$K143-1,V$14)*$H143</f>
        <v>0</v>
      </c>
      <c r="X143" s="9">
        <f t="shared" ca="1" si="90"/>
        <v>0</v>
      </c>
      <c r="Z143" s="35" t="str">
        <f t="shared" ca="1" si="68"/>
        <v/>
      </c>
      <c r="AA143" s="24"/>
      <c r="AB143" s="22"/>
      <c r="AC143" s="235">
        <f ca="1">Function!AH143</f>
        <v>0</v>
      </c>
      <c r="AD143" s="242">
        <f t="shared" ca="1" si="92"/>
        <v>0</v>
      </c>
      <c r="AF143" s="199">
        <f t="shared" ca="1" si="83"/>
        <v>0</v>
      </c>
      <c r="AH143" s="199">
        <f t="shared" ca="1" si="84"/>
        <v>0</v>
      </c>
      <c r="AJ143" s="199">
        <f t="shared" ca="1" si="85"/>
        <v>0</v>
      </c>
      <c r="AK143" s="73">
        <f t="shared" ca="1" si="86"/>
        <v>0</v>
      </c>
      <c r="AL143" s="199">
        <f t="shared" ca="1" si="87"/>
        <v>0</v>
      </c>
      <c r="AN143" s="199">
        <f t="shared" ca="1" si="79"/>
        <v>0</v>
      </c>
    </row>
    <row r="144" spans="2:40" ht="13" x14ac:dyDescent="0.3">
      <c r="B144" s="28"/>
      <c r="D144" s="97" t="s">
        <v>232</v>
      </c>
      <c r="K144" s="91"/>
      <c r="N144" s="70"/>
      <c r="P144" s="97"/>
      <c r="Z144" s="35" t="str">
        <f t="shared" si="68"/>
        <v/>
      </c>
      <c r="AA144" s="24"/>
      <c r="AB144" s="22"/>
      <c r="AF144" s="199">
        <f t="shared" si="83"/>
        <v>0</v>
      </c>
      <c r="AH144" s="199">
        <f t="shared" si="84"/>
        <v>0</v>
      </c>
      <c r="AJ144" s="199">
        <f t="shared" si="85"/>
        <v>0</v>
      </c>
      <c r="AK144" s="73">
        <f t="shared" si="86"/>
        <v>0</v>
      </c>
      <c r="AL144" s="199">
        <f t="shared" si="87"/>
        <v>0</v>
      </c>
      <c r="AN144" s="199">
        <f t="shared" si="79"/>
        <v>0</v>
      </c>
    </row>
    <row r="145" spans="2:40" ht="13" x14ac:dyDescent="0.3">
      <c r="B145" s="28">
        <f>B143+1</f>
        <v>89</v>
      </c>
      <c r="D145" s="63" t="s">
        <v>233</v>
      </c>
      <c r="F145" s="113">
        <f ca="1">Function!R145</f>
        <v>7271.6222767735126</v>
      </c>
      <c r="H145" s="200"/>
      <c r="K145" s="91">
        <f>_xlfn.IFNA(MATCH(J145,'Stor Factors'!$B$13:$B$439,0),0)</f>
        <v>0</v>
      </c>
      <c r="L145" s="113">
        <f t="shared" ref="L145" ca="1" si="93">F145-H145</f>
        <v>7271.6222767735126</v>
      </c>
      <c r="N145" s="28" t="s">
        <v>263</v>
      </c>
      <c r="O145" s="186">
        <f>_xlfn.IFNA(MATCH(N145,'Stor Factors'!$B$13:$B$439,0),0)</f>
        <v>51</v>
      </c>
      <c r="P145" s="22">
        <f ca="1">OFFSET('Stor Factors'!$B$13,$O145-1,P$14)*$L145+OFFSET('Stor Factors'!$B$13,$K145-1,P$14)*$H145</f>
        <v>5350.4472923843714</v>
      </c>
      <c r="Q145" s="24"/>
      <c r="R145" s="22">
        <f ca="1">OFFSET('Stor Factors'!$B$13,$O145-1,R$14)*$L145+OFFSET('Stor Factors'!$B$13,$K145-1,R$14)*$H145</f>
        <v>1770.8474493277231</v>
      </c>
      <c r="S145" s="22"/>
      <c r="T145" s="22">
        <f ca="1">OFFSET('Stor Factors'!$B$13,$O145-1,T$14)*$L145+OFFSET('Stor Factors'!$B$13,$K145-1,T$14)*$H145</f>
        <v>150.32753506141856</v>
      </c>
      <c r="U145" s="22"/>
      <c r="V145" s="22">
        <f ca="1">OFFSET('Stor Factors'!$B$13,$O145-1,V$14)*$L145+OFFSET('Stor Factors'!$B$13,$K145-1,V$14)*$H145</f>
        <v>0</v>
      </c>
      <c r="X145" s="9">
        <f t="shared" ref="X145" ca="1" si="94">P145+R145+T145+V145</f>
        <v>7271.6222767735126</v>
      </c>
      <c r="Z145" s="35" t="str">
        <f t="shared" ca="1" si="68"/>
        <v/>
      </c>
      <c r="AA145" s="24"/>
      <c r="AB145" s="22"/>
      <c r="AC145" s="235">
        <f ca="1">Function!AH145</f>
        <v>3006.0056448200644</v>
      </c>
      <c r="AD145" s="242">
        <f t="shared" ref="AD145" ca="1" si="95">IFERROR(AC145/F145,0)</f>
        <v>0.41338858516092469</v>
      </c>
      <c r="AF145" s="199">
        <f t="shared" ca="1" si="83"/>
        <v>2211.8138361768756</v>
      </c>
      <c r="AH145" s="199">
        <f t="shared" ca="1" si="84"/>
        <v>732.04812161341977</v>
      </c>
      <c r="AJ145" s="199">
        <f t="shared" ca="1" si="85"/>
        <v>62.143687029769119</v>
      </c>
      <c r="AK145" s="73">
        <f t="shared" ca="1" si="86"/>
        <v>0</v>
      </c>
      <c r="AL145" s="199">
        <f t="shared" ca="1" si="87"/>
        <v>0</v>
      </c>
      <c r="AN145" s="199">
        <f t="shared" ca="1" si="79"/>
        <v>3006.0056448200644</v>
      </c>
    </row>
    <row r="146" spans="2:40" ht="13" x14ac:dyDescent="0.3">
      <c r="B146" s="28"/>
      <c r="D146" s="97" t="s">
        <v>234</v>
      </c>
      <c r="N146" s="70"/>
      <c r="P146" s="97"/>
      <c r="Z146" s="35" t="str">
        <f t="shared" si="68"/>
        <v/>
      </c>
      <c r="AA146" s="24"/>
      <c r="AB146" s="22"/>
      <c r="AF146" s="199">
        <f>$AD146*P146</f>
        <v>0</v>
      </c>
      <c r="AH146" s="199">
        <f t="shared" si="84"/>
        <v>0</v>
      </c>
      <c r="AJ146" s="199">
        <f t="shared" si="85"/>
        <v>0</v>
      </c>
      <c r="AK146" s="73">
        <f t="shared" si="86"/>
        <v>0</v>
      </c>
      <c r="AL146" s="199">
        <f t="shared" si="87"/>
        <v>0</v>
      </c>
      <c r="AN146" s="199">
        <f t="shared" si="79"/>
        <v>0</v>
      </c>
    </row>
    <row r="147" spans="2:40" ht="13" x14ac:dyDescent="0.3">
      <c r="B147" s="28">
        <f>B145+1</f>
        <v>90</v>
      </c>
      <c r="D147" s="63" t="s">
        <v>202</v>
      </c>
      <c r="F147" s="113">
        <f ca="1">Function!R147</f>
        <v>0</v>
      </c>
      <c r="H147" s="200"/>
      <c r="K147" s="91">
        <f>_xlfn.IFNA(MATCH(J147,'Stor Factors'!$B$13:$B$439,0),0)</f>
        <v>0</v>
      </c>
      <c r="L147" s="113">
        <f t="shared" ref="L147:L149" ca="1" si="96">F147-H147</f>
        <v>0</v>
      </c>
      <c r="N147" s="70"/>
      <c r="O147" s="186">
        <f>_xlfn.IFNA(MATCH(N147,'Stor Factors'!$B$13:$B$439,0),0)</f>
        <v>0</v>
      </c>
      <c r="P147" s="22">
        <f ca="1">OFFSET('Stor Factors'!$B$13,$O147-1,P$14)*$L147+OFFSET('Stor Factors'!$B$13,$K147-1,P$14)*$H147</f>
        <v>0</v>
      </c>
      <c r="Q147" s="24"/>
      <c r="R147" s="22">
        <f ca="1">OFFSET('Stor Factors'!$B$13,$O147-1,R$14)*$L147+OFFSET('Stor Factors'!$B$13,$K147-1,R$14)*$H147</f>
        <v>0</v>
      </c>
      <c r="S147" s="22"/>
      <c r="T147" s="22">
        <f ca="1">OFFSET('Stor Factors'!$B$13,$O147-1,T$14)*$L147+OFFSET('Stor Factors'!$B$13,$K147-1,T$14)*$H147</f>
        <v>0</v>
      </c>
      <c r="U147" s="22"/>
      <c r="V147" s="22">
        <f ca="1">OFFSET('Stor Factors'!$B$13,$O147-1,V$14)*$L147+OFFSET('Stor Factors'!$B$13,$K147-1,V$14)*$H147</f>
        <v>0</v>
      </c>
      <c r="X147" s="9">
        <f t="shared" ref="X147:X149" ca="1" si="97">P147+R147+T147+V147</f>
        <v>0</v>
      </c>
      <c r="Z147" s="35" t="str">
        <f t="shared" ca="1" si="68"/>
        <v/>
      </c>
      <c r="AA147" s="24"/>
      <c r="AB147" s="22"/>
      <c r="AC147" s="235">
        <f ca="1">Function!AH147</f>
        <v>0</v>
      </c>
      <c r="AD147" s="242">
        <f t="shared" ref="AD147:AD149" ca="1" si="98">IFERROR(AC147/F147,0)</f>
        <v>0</v>
      </c>
      <c r="AF147" s="199">
        <f t="shared" ref="AF147:AF160" ca="1" si="99">$AD147*P147</f>
        <v>0</v>
      </c>
      <c r="AH147" s="199">
        <f t="shared" ca="1" si="84"/>
        <v>0</v>
      </c>
      <c r="AJ147" s="199">
        <f t="shared" ca="1" si="85"/>
        <v>0</v>
      </c>
      <c r="AK147" s="73">
        <f t="shared" ca="1" si="86"/>
        <v>0</v>
      </c>
      <c r="AL147" s="199">
        <f t="shared" ca="1" si="87"/>
        <v>0</v>
      </c>
      <c r="AN147" s="199">
        <f t="shared" ca="1" si="79"/>
        <v>0</v>
      </c>
    </row>
    <row r="148" spans="2:40" ht="13" x14ac:dyDescent="0.3">
      <c r="B148" s="28">
        <f>B147+1</f>
        <v>91</v>
      </c>
      <c r="D148" s="63" t="s">
        <v>145</v>
      </c>
      <c r="F148" s="113">
        <f ca="1">Function!R148</f>
        <v>0</v>
      </c>
      <c r="H148" s="200"/>
      <c r="K148" s="91">
        <f>_xlfn.IFNA(MATCH(J148,'Stor Factors'!$B$13:$B$439,0),0)</f>
        <v>0</v>
      </c>
      <c r="L148" s="113">
        <f t="shared" ca="1" si="96"/>
        <v>0</v>
      </c>
      <c r="N148" s="70"/>
      <c r="O148" s="186">
        <f>_xlfn.IFNA(MATCH(N148,'Stor Factors'!$B$13:$B$439,0),0)</f>
        <v>0</v>
      </c>
      <c r="P148" s="22">
        <f ca="1">OFFSET('Stor Factors'!$B$13,$O148-1,P$14)*$L148+OFFSET('Stor Factors'!$B$13,$K148-1,P$14)*$H148</f>
        <v>0</v>
      </c>
      <c r="Q148" s="24"/>
      <c r="R148" s="22">
        <f ca="1">OFFSET('Stor Factors'!$B$13,$O148-1,R$14)*$L148+OFFSET('Stor Factors'!$B$13,$K148-1,R$14)*$H148</f>
        <v>0</v>
      </c>
      <c r="S148" s="22"/>
      <c r="T148" s="22">
        <f ca="1">OFFSET('Stor Factors'!$B$13,$O148-1,T$14)*$L148+OFFSET('Stor Factors'!$B$13,$K148-1,T$14)*$H148</f>
        <v>0</v>
      </c>
      <c r="U148" s="22"/>
      <c r="V148" s="22">
        <f ca="1">OFFSET('Stor Factors'!$B$13,$O148-1,V$14)*$L148+OFFSET('Stor Factors'!$B$13,$K148-1,V$14)*$H148</f>
        <v>0</v>
      </c>
      <c r="X148" s="9">
        <f t="shared" ca="1" si="97"/>
        <v>0</v>
      </c>
      <c r="Z148" s="35" t="str">
        <f t="shared" ca="1" si="68"/>
        <v/>
      </c>
      <c r="AA148" s="24"/>
      <c r="AB148" s="22"/>
      <c r="AC148" s="235">
        <f ca="1">Function!AH148</f>
        <v>0</v>
      </c>
      <c r="AD148" s="242">
        <f t="shared" ca="1" si="98"/>
        <v>0</v>
      </c>
      <c r="AF148" s="199">
        <f t="shared" ca="1" si="99"/>
        <v>0</v>
      </c>
      <c r="AH148" s="199">
        <f t="shared" ca="1" si="84"/>
        <v>0</v>
      </c>
      <c r="AJ148" s="199">
        <f t="shared" ca="1" si="85"/>
        <v>0</v>
      </c>
      <c r="AK148" s="73">
        <f t="shared" ca="1" si="86"/>
        <v>0</v>
      </c>
      <c r="AL148" s="199">
        <f t="shared" ca="1" si="87"/>
        <v>0</v>
      </c>
      <c r="AN148" s="199">
        <f t="shared" ca="1" si="79"/>
        <v>0</v>
      </c>
    </row>
    <row r="149" spans="2:40" ht="13" x14ac:dyDescent="0.3">
      <c r="B149" s="28">
        <f t="shared" ref="B149" si="100">B148+1</f>
        <v>92</v>
      </c>
      <c r="D149" s="63" t="s">
        <v>235</v>
      </c>
      <c r="F149" s="113">
        <f ca="1">Function!R149</f>
        <v>0</v>
      </c>
      <c r="H149" s="200"/>
      <c r="K149" s="91">
        <f>_xlfn.IFNA(MATCH(J149,'Stor Factors'!$B$13:$B$439,0),0)</f>
        <v>0</v>
      </c>
      <c r="L149" s="113">
        <f t="shared" ca="1" si="96"/>
        <v>0</v>
      </c>
      <c r="N149" s="70"/>
      <c r="O149" s="186">
        <f>_xlfn.IFNA(MATCH(N149,'Stor Factors'!$B$13:$B$439,0),0)</f>
        <v>0</v>
      </c>
      <c r="P149" s="22">
        <f ca="1">OFFSET('Stor Factors'!$B$13,$O149-1,P$14)*$L149+OFFSET('Stor Factors'!$B$13,$K149-1,P$14)*$H149</f>
        <v>0</v>
      </c>
      <c r="Q149" s="24"/>
      <c r="R149" s="22">
        <f ca="1">OFFSET('Stor Factors'!$B$13,$O149-1,R$14)*$L149+OFFSET('Stor Factors'!$B$13,$K149-1,R$14)*$H149</f>
        <v>0</v>
      </c>
      <c r="S149" s="22"/>
      <c r="T149" s="22">
        <f ca="1">OFFSET('Stor Factors'!$B$13,$O149-1,T$14)*$L149+OFFSET('Stor Factors'!$B$13,$K149-1,T$14)*$H149</f>
        <v>0</v>
      </c>
      <c r="U149" s="22"/>
      <c r="V149" s="22">
        <f ca="1">OFFSET('Stor Factors'!$B$13,$O149-1,V$14)*$L149+OFFSET('Stor Factors'!$B$13,$K149-1,V$14)*$H149</f>
        <v>0</v>
      </c>
      <c r="X149" s="9">
        <f t="shared" ca="1" si="97"/>
        <v>0</v>
      </c>
      <c r="Z149" s="35" t="str">
        <f t="shared" ca="1" si="68"/>
        <v/>
      </c>
      <c r="AA149" s="24"/>
      <c r="AB149" s="22"/>
      <c r="AC149" s="235">
        <f ca="1">Function!AH149</f>
        <v>0</v>
      </c>
      <c r="AD149" s="242">
        <f t="shared" ca="1" si="98"/>
        <v>0</v>
      </c>
      <c r="AF149" s="199">
        <f t="shared" ca="1" si="99"/>
        <v>0</v>
      </c>
      <c r="AH149" s="199">
        <f t="shared" ca="1" si="84"/>
        <v>0</v>
      </c>
      <c r="AJ149" s="199">
        <f t="shared" ca="1" si="85"/>
        <v>0</v>
      </c>
      <c r="AK149" s="73">
        <f t="shared" ca="1" si="86"/>
        <v>0</v>
      </c>
      <c r="AL149" s="199">
        <f t="shared" ca="1" si="87"/>
        <v>0</v>
      </c>
      <c r="AN149" s="199">
        <f t="shared" ca="1" si="79"/>
        <v>0</v>
      </c>
    </row>
    <row r="150" spans="2:40" ht="13" x14ac:dyDescent="0.3">
      <c r="B150" s="28"/>
      <c r="D150" s="97" t="s">
        <v>72</v>
      </c>
      <c r="N150" s="70"/>
      <c r="P150" s="97"/>
      <c r="Z150" s="35" t="str">
        <f t="shared" si="68"/>
        <v/>
      </c>
      <c r="AB150" s="22"/>
      <c r="AF150" s="199">
        <f t="shared" si="99"/>
        <v>0</v>
      </c>
      <c r="AH150" s="199">
        <f t="shared" si="84"/>
        <v>0</v>
      </c>
      <c r="AJ150" s="199">
        <f t="shared" si="85"/>
        <v>0</v>
      </c>
      <c r="AK150" s="73">
        <f t="shared" si="86"/>
        <v>0</v>
      </c>
      <c r="AL150" s="199">
        <f t="shared" si="87"/>
        <v>0</v>
      </c>
      <c r="AN150" s="199">
        <f t="shared" si="79"/>
        <v>0</v>
      </c>
    </row>
    <row r="151" spans="2:40" ht="13" x14ac:dyDescent="0.3">
      <c r="B151" s="28">
        <f>B149+1</f>
        <v>93</v>
      </c>
      <c r="D151" s="63" t="s">
        <v>196</v>
      </c>
      <c r="F151" s="113">
        <f ca="1">Function!R151</f>
        <v>0</v>
      </c>
      <c r="H151" s="200"/>
      <c r="K151" s="91">
        <f>_xlfn.IFNA(MATCH(J151,'Stor Factors'!$B$13:$B$439,0),0)</f>
        <v>0</v>
      </c>
      <c r="L151" s="113">
        <f t="shared" ref="L151:L160" ca="1" si="101">F151-H151</f>
        <v>0</v>
      </c>
      <c r="N151" s="96"/>
      <c r="O151" s="186">
        <f>_xlfn.IFNA(MATCH(N151,'Stor Factors'!$B$13:$B$439,0),0)</f>
        <v>0</v>
      </c>
      <c r="P151" s="22">
        <f ca="1">OFFSET('Stor Factors'!$B$13,$O151-1,P$14)*$L151+OFFSET('Stor Factors'!$B$13,$K151-1,P$14)*$H151</f>
        <v>0</v>
      </c>
      <c r="Q151" s="24"/>
      <c r="R151" s="22">
        <f ca="1">OFFSET('Stor Factors'!$B$13,$O151-1,R$14)*$L151+OFFSET('Stor Factors'!$B$13,$K151-1,R$14)*$H151</f>
        <v>0</v>
      </c>
      <c r="S151" s="22"/>
      <c r="T151" s="22">
        <f ca="1">OFFSET('Stor Factors'!$B$13,$O151-1,T$14)*$L151+OFFSET('Stor Factors'!$B$13,$K151-1,T$14)*$H151</f>
        <v>0</v>
      </c>
      <c r="U151" s="22"/>
      <c r="V151" s="22">
        <f ca="1">OFFSET('Stor Factors'!$B$13,$O151-1,V$14)*$L151+OFFSET('Stor Factors'!$B$13,$K151-1,V$14)*$H151</f>
        <v>0</v>
      </c>
      <c r="X151" s="9">
        <f t="shared" ref="X151:X157" ca="1" si="102">P151+R151+T151+V151</f>
        <v>0</v>
      </c>
      <c r="Z151" s="35" t="str">
        <f t="shared" ca="1" si="68"/>
        <v/>
      </c>
      <c r="AA151" s="24"/>
      <c r="AB151" s="22"/>
      <c r="AC151" s="235">
        <f ca="1">Function!AH151</f>
        <v>0</v>
      </c>
      <c r="AD151" s="242">
        <f t="shared" ref="AD151:AD157" ca="1" si="103">IFERROR(AC151/F151,0)</f>
        <v>0</v>
      </c>
      <c r="AF151" s="199">
        <f t="shared" ca="1" si="99"/>
        <v>0</v>
      </c>
      <c r="AH151" s="199">
        <f t="shared" ca="1" si="84"/>
        <v>0</v>
      </c>
      <c r="AJ151" s="199">
        <f t="shared" ca="1" si="85"/>
        <v>0</v>
      </c>
      <c r="AK151" s="73">
        <f t="shared" ca="1" si="86"/>
        <v>0</v>
      </c>
      <c r="AL151" s="199">
        <f t="shared" ca="1" si="87"/>
        <v>0</v>
      </c>
      <c r="AN151" s="199">
        <f t="shared" ca="1" si="79"/>
        <v>0</v>
      </c>
    </row>
    <row r="152" spans="2:40" ht="13" x14ac:dyDescent="0.3">
      <c r="B152" s="28">
        <f>B151+1</f>
        <v>94</v>
      </c>
      <c r="D152" s="63" t="s">
        <v>236</v>
      </c>
      <c r="F152" s="113">
        <f ca="1">Function!R152</f>
        <v>0</v>
      </c>
      <c r="H152" s="200"/>
      <c r="K152" s="91">
        <f>_xlfn.IFNA(MATCH(J152,'Stor Factors'!$B$13:$B$439,0),0)</f>
        <v>0</v>
      </c>
      <c r="L152" s="113">
        <f t="shared" ca="1" si="101"/>
        <v>0</v>
      </c>
      <c r="N152" s="70"/>
      <c r="O152" s="186">
        <f>_xlfn.IFNA(MATCH(N152,'Stor Factors'!$B$13:$B$439,0),0)</f>
        <v>0</v>
      </c>
      <c r="P152" s="22">
        <f ca="1">OFFSET('Stor Factors'!$B$13,$O152-1,P$14)*$L152+OFFSET('Stor Factors'!$B$13,$K152-1,P$14)*$H152</f>
        <v>0</v>
      </c>
      <c r="Q152" s="24"/>
      <c r="R152" s="22">
        <f ca="1">OFFSET('Stor Factors'!$B$13,$O152-1,R$14)*$L152+OFFSET('Stor Factors'!$B$13,$K152-1,R$14)*$H152</f>
        <v>0</v>
      </c>
      <c r="S152" s="22"/>
      <c r="T152" s="22">
        <f ca="1">OFFSET('Stor Factors'!$B$13,$O152-1,T$14)*$L152+OFFSET('Stor Factors'!$B$13,$K152-1,T$14)*$H152</f>
        <v>0</v>
      </c>
      <c r="U152" s="22"/>
      <c r="V152" s="22">
        <f ca="1">OFFSET('Stor Factors'!$B$13,$O152-1,V$14)*$L152+OFFSET('Stor Factors'!$B$13,$K152-1,V$14)*$H152</f>
        <v>0</v>
      </c>
      <c r="X152" s="9">
        <f t="shared" ca="1" si="102"/>
        <v>0</v>
      </c>
      <c r="Z152" s="35" t="str">
        <f t="shared" ca="1" si="68"/>
        <v/>
      </c>
      <c r="AA152" s="24"/>
      <c r="AB152" s="22"/>
      <c r="AC152" s="235">
        <f ca="1">Function!AH152</f>
        <v>0</v>
      </c>
      <c r="AD152" s="242">
        <f t="shared" ca="1" si="103"/>
        <v>0</v>
      </c>
      <c r="AF152" s="199">
        <f t="shared" ca="1" si="99"/>
        <v>0</v>
      </c>
      <c r="AH152" s="199">
        <f t="shared" ca="1" si="84"/>
        <v>0</v>
      </c>
      <c r="AJ152" s="199">
        <f t="shared" ca="1" si="85"/>
        <v>0</v>
      </c>
      <c r="AK152" s="73">
        <f t="shared" ca="1" si="86"/>
        <v>0</v>
      </c>
      <c r="AL152" s="199">
        <f t="shared" ca="1" si="87"/>
        <v>0</v>
      </c>
      <c r="AN152" s="199">
        <f t="shared" ca="1" si="79"/>
        <v>0</v>
      </c>
    </row>
    <row r="153" spans="2:40" ht="13" x14ac:dyDescent="0.3">
      <c r="B153" s="28">
        <f>B152+1</f>
        <v>95</v>
      </c>
      <c r="D153" s="63" t="s">
        <v>197</v>
      </c>
      <c r="F153" s="113">
        <f ca="1">Function!R153</f>
        <v>0</v>
      </c>
      <c r="H153" s="200"/>
      <c r="K153" s="91">
        <f>_xlfn.IFNA(MATCH(J153,'Stor Factors'!$B$13:$B$439,0),0)</f>
        <v>0</v>
      </c>
      <c r="L153" s="113">
        <f t="shared" ca="1" si="101"/>
        <v>0</v>
      </c>
      <c r="N153" s="70"/>
      <c r="O153" s="186">
        <f>_xlfn.IFNA(MATCH(N153,'Stor Factors'!$B$13:$B$439,0),0)</f>
        <v>0</v>
      </c>
      <c r="P153" s="22">
        <f ca="1">OFFSET('Stor Factors'!$B$13,$O153-1,P$14)*$L153+OFFSET('Stor Factors'!$B$13,$K153-1,P$14)*$H153</f>
        <v>0</v>
      </c>
      <c r="Q153" s="24"/>
      <c r="R153" s="22">
        <f ca="1">OFFSET('Stor Factors'!$B$13,$O153-1,R$14)*$L153+OFFSET('Stor Factors'!$B$13,$K153-1,R$14)*$H153</f>
        <v>0</v>
      </c>
      <c r="S153" s="22"/>
      <c r="T153" s="22">
        <f ca="1">OFFSET('Stor Factors'!$B$13,$O153-1,T$14)*$L153+OFFSET('Stor Factors'!$B$13,$K153-1,T$14)*$H153</f>
        <v>0</v>
      </c>
      <c r="U153" s="22"/>
      <c r="V153" s="22">
        <f ca="1">OFFSET('Stor Factors'!$B$13,$O153-1,V$14)*$L153+OFFSET('Stor Factors'!$B$13,$K153-1,V$14)*$H153</f>
        <v>0</v>
      </c>
      <c r="X153" s="9">
        <f t="shared" ca="1" si="102"/>
        <v>0</v>
      </c>
      <c r="Z153" s="35" t="str">
        <f t="shared" ca="1" si="68"/>
        <v/>
      </c>
      <c r="AA153" s="24"/>
      <c r="AB153" s="22"/>
      <c r="AC153" s="235">
        <f ca="1">Function!AH153</f>
        <v>0</v>
      </c>
      <c r="AD153" s="242">
        <f t="shared" ca="1" si="103"/>
        <v>0</v>
      </c>
      <c r="AF153" s="199">
        <f t="shared" ca="1" si="99"/>
        <v>0</v>
      </c>
      <c r="AH153" s="199">
        <f t="shared" ca="1" si="84"/>
        <v>0</v>
      </c>
      <c r="AJ153" s="199">
        <f t="shared" ca="1" si="85"/>
        <v>0</v>
      </c>
      <c r="AK153" s="73">
        <f t="shared" ca="1" si="86"/>
        <v>0</v>
      </c>
      <c r="AL153" s="199">
        <f t="shared" ca="1" si="87"/>
        <v>0</v>
      </c>
      <c r="AN153" s="199">
        <f t="shared" ca="1" si="79"/>
        <v>0</v>
      </c>
    </row>
    <row r="154" spans="2:40" ht="13" x14ac:dyDescent="0.3">
      <c r="B154" s="28">
        <f t="shared" ref="B154:B157" si="104">B153+1</f>
        <v>96</v>
      </c>
      <c r="D154" s="63" t="s">
        <v>198</v>
      </c>
      <c r="F154" s="113">
        <f ca="1">Function!R154</f>
        <v>0</v>
      </c>
      <c r="H154" s="200"/>
      <c r="K154" s="91">
        <f>_xlfn.IFNA(MATCH(J154,'Stor Factors'!$B$13:$B$439,0),0)</f>
        <v>0</v>
      </c>
      <c r="L154" s="113">
        <f t="shared" ca="1" si="101"/>
        <v>0</v>
      </c>
      <c r="N154" s="70"/>
      <c r="O154" s="186">
        <f>_xlfn.IFNA(MATCH(N154,'Stor Factors'!$B$13:$B$439,0),0)</f>
        <v>0</v>
      </c>
      <c r="P154" s="22">
        <f ca="1">OFFSET('Stor Factors'!$B$13,$O154-1,P$14)*$L154+OFFSET('Stor Factors'!$B$13,$K154-1,P$14)*$H154</f>
        <v>0</v>
      </c>
      <c r="Q154" s="24"/>
      <c r="R154" s="22">
        <f ca="1">OFFSET('Stor Factors'!$B$13,$O154-1,R$14)*$L154+OFFSET('Stor Factors'!$B$13,$K154-1,R$14)*$H154</f>
        <v>0</v>
      </c>
      <c r="S154" s="22"/>
      <c r="T154" s="22">
        <f ca="1">OFFSET('Stor Factors'!$B$13,$O154-1,T$14)*$L154+OFFSET('Stor Factors'!$B$13,$K154-1,T$14)*$H154</f>
        <v>0</v>
      </c>
      <c r="U154" s="22"/>
      <c r="V154" s="22">
        <f ca="1">OFFSET('Stor Factors'!$B$13,$O154-1,V$14)*$L154+OFFSET('Stor Factors'!$B$13,$K154-1,V$14)*$H154</f>
        <v>0</v>
      </c>
      <c r="X154" s="9">
        <f t="shared" ca="1" si="102"/>
        <v>0</v>
      </c>
      <c r="Z154" s="35" t="str">
        <f t="shared" ca="1" si="68"/>
        <v/>
      </c>
      <c r="AA154" s="24"/>
      <c r="AB154" s="22"/>
      <c r="AC154" s="235">
        <f ca="1">Function!AH154</f>
        <v>0</v>
      </c>
      <c r="AD154" s="242">
        <f t="shared" ca="1" si="103"/>
        <v>0</v>
      </c>
      <c r="AF154" s="199">
        <f t="shared" ca="1" si="99"/>
        <v>0</v>
      </c>
      <c r="AH154" s="199">
        <f t="shared" ca="1" si="84"/>
        <v>0</v>
      </c>
      <c r="AJ154" s="199">
        <f t="shared" ca="1" si="85"/>
        <v>0</v>
      </c>
      <c r="AK154" s="73">
        <f t="shared" ca="1" si="86"/>
        <v>0</v>
      </c>
      <c r="AL154" s="199">
        <f t="shared" ca="1" si="87"/>
        <v>0</v>
      </c>
      <c r="AN154" s="199">
        <f t="shared" ca="1" si="79"/>
        <v>0</v>
      </c>
    </row>
    <row r="155" spans="2:40" ht="13" x14ac:dyDescent="0.3">
      <c r="B155" s="28">
        <f t="shared" si="104"/>
        <v>97</v>
      </c>
      <c r="D155" s="63" t="s">
        <v>199</v>
      </c>
      <c r="F155" s="113">
        <f ca="1">Function!R155</f>
        <v>0</v>
      </c>
      <c r="H155" s="200"/>
      <c r="K155" s="91">
        <f>_xlfn.IFNA(MATCH(J155,'Stor Factors'!$B$13:$B$439,0),0)</f>
        <v>0</v>
      </c>
      <c r="L155" s="113">
        <f t="shared" ca="1" si="101"/>
        <v>0</v>
      </c>
      <c r="N155" s="70"/>
      <c r="O155" s="186">
        <f>_xlfn.IFNA(MATCH(N155,'Stor Factors'!$B$13:$B$439,0),0)</f>
        <v>0</v>
      </c>
      <c r="P155" s="22">
        <f ca="1">OFFSET('Stor Factors'!$B$13,$O155-1,P$14)*$L155+OFFSET('Stor Factors'!$B$13,$K155-1,P$14)*$H155</f>
        <v>0</v>
      </c>
      <c r="Q155" s="24"/>
      <c r="R155" s="22">
        <f ca="1">OFFSET('Stor Factors'!$B$13,$O155-1,R$14)*$L155+OFFSET('Stor Factors'!$B$13,$K155-1,R$14)*$H155</f>
        <v>0</v>
      </c>
      <c r="S155" s="22"/>
      <c r="T155" s="22">
        <f ca="1">OFFSET('Stor Factors'!$B$13,$O155-1,T$14)*$L155+OFFSET('Stor Factors'!$B$13,$K155-1,T$14)*$H155</f>
        <v>0</v>
      </c>
      <c r="U155" s="22"/>
      <c r="V155" s="22">
        <f ca="1">OFFSET('Stor Factors'!$B$13,$O155-1,V$14)*$L155+OFFSET('Stor Factors'!$B$13,$K155-1,V$14)*$H155</f>
        <v>0</v>
      </c>
      <c r="X155" s="9">
        <f t="shared" ca="1" si="102"/>
        <v>0</v>
      </c>
      <c r="Z155" s="35" t="str">
        <f t="shared" ca="1" si="68"/>
        <v/>
      </c>
      <c r="AA155" s="24"/>
      <c r="AB155" s="22"/>
      <c r="AC155" s="235">
        <f ca="1">Function!AH155</f>
        <v>0</v>
      </c>
      <c r="AD155" s="242">
        <f t="shared" ca="1" si="103"/>
        <v>0</v>
      </c>
      <c r="AF155" s="199">
        <f t="shared" ca="1" si="99"/>
        <v>0</v>
      </c>
      <c r="AH155" s="199">
        <f t="shared" ref="AH155:AH160" ca="1" si="105">$AD155*R155</f>
        <v>0</v>
      </c>
      <c r="AJ155" s="199">
        <f t="shared" ref="AJ155:AJ160" ca="1" si="106">$AD155*T155</f>
        <v>0</v>
      </c>
      <c r="AK155" s="73">
        <f t="shared" ref="AK155:AK160" ca="1" si="107">$AD155*U155</f>
        <v>0</v>
      </c>
      <c r="AL155" s="199">
        <f t="shared" ref="AL155:AL160" ca="1" si="108">$AD155*V155</f>
        <v>0</v>
      </c>
      <c r="AN155" s="199">
        <f t="shared" ca="1" si="79"/>
        <v>0</v>
      </c>
    </row>
    <row r="156" spans="2:40" ht="13" x14ac:dyDescent="0.3">
      <c r="B156" s="28">
        <f t="shared" si="104"/>
        <v>98</v>
      </c>
      <c r="D156" s="63" t="s">
        <v>200</v>
      </c>
      <c r="F156" s="113">
        <f ca="1">Function!R156</f>
        <v>0</v>
      </c>
      <c r="H156" s="200"/>
      <c r="K156" s="91">
        <f>_xlfn.IFNA(MATCH(J156,'Stor Factors'!$B$13:$B$439,0),0)</f>
        <v>0</v>
      </c>
      <c r="L156" s="113">
        <f t="shared" ca="1" si="101"/>
        <v>0</v>
      </c>
      <c r="N156" s="70"/>
      <c r="O156" s="186">
        <f>_xlfn.IFNA(MATCH(N156,'Stor Factors'!$B$13:$B$439,0),0)</f>
        <v>0</v>
      </c>
      <c r="P156" s="22">
        <f ca="1">OFFSET('Stor Factors'!$B$13,$O156-1,P$14)*$L156+OFFSET('Stor Factors'!$B$13,$K156-1,P$14)*$H156</f>
        <v>0</v>
      </c>
      <c r="Q156" s="24"/>
      <c r="R156" s="22">
        <f ca="1">OFFSET('Stor Factors'!$B$13,$O156-1,R$14)*$L156+OFFSET('Stor Factors'!$B$13,$K156-1,R$14)*$H156</f>
        <v>0</v>
      </c>
      <c r="S156" s="22"/>
      <c r="T156" s="22">
        <f ca="1">OFFSET('Stor Factors'!$B$13,$O156-1,T$14)*$L156+OFFSET('Stor Factors'!$B$13,$K156-1,T$14)*$H156</f>
        <v>0</v>
      </c>
      <c r="U156" s="22"/>
      <c r="V156" s="22">
        <f ca="1">OFFSET('Stor Factors'!$B$13,$O156-1,V$14)*$L156+OFFSET('Stor Factors'!$B$13,$K156-1,V$14)*$H156</f>
        <v>0</v>
      </c>
      <c r="X156" s="9">
        <f t="shared" ca="1" si="102"/>
        <v>0</v>
      </c>
      <c r="Z156" s="35" t="str">
        <f t="shared" ca="1" si="68"/>
        <v/>
      </c>
      <c r="AA156" s="24"/>
      <c r="AB156" s="22"/>
      <c r="AC156" s="235">
        <f ca="1">Function!AH156</f>
        <v>0</v>
      </c>
      <c r="AD156" s="242">
        <f t="shared" ca="1" si="103"/>
        <v>0</v>
      </c>
      <c r="AF156" s="199">
        <f t="shared" ca="1" si="99"/>
        <v>0</v>
      </c>
      <c r="AH156" s="199">
        <f t="shared" ca="1" si="105"/>
        <v>0</v>
      </c>
      <c r="AJ156" s="199">
        <f t="shared" ca="1" si="106"/>
        <v>0</v>
      </c>
      <c r="AK156" s="73">
        <f t="shared" ca="1" si="107"/>
        <v>0</v>
      </c>
      <c r="AL156" s="199">
        <f t="shared" ca="1" si="108"/>
        <v>0</v>
      </c>
      <c r="AN156" s="199">
        <f t="shared" ca="1" si="79"/>
        <v>0</v>
      </c>
    </row>
    <row r="157" spans="2:40" ht="13" x14ac:dyDescent="0.3">
      <c r="B157" s="28">
        <f t="shared" si="104"/>
        <v>99</v>
      </c>
      <c r="D157" s="63" t="s">
        <v>201</v>
      </c>
      <c r="F157" s="113">
        <f ca="1">Function!R157</f>
        <v>0</v>
      </c>
      <c r="H157" s="200"/>
      <c r="K157" s="91">
        <f>_xlfn.IFNA(MATCH(J157,'Stor Factors'!$B$13:$B$439,0),0)</f>
        <v>0</v>
      </c>
      <c r="L157" s="113">
        <f t="shared" ca="1" si="101"/>
        <v>0</v>
      </c>
      <c r="N157" s="70"/>
      <c r="O157" s="186">
        <f>_xlfn.IFNA(MATCH(N157,'Stor Factors'!$B$13:$B$439,0),0)</f>
        <v>0</v>
      </c>
      <c r="P157" s="22">
        <f ca="1">OFFSET('Stor Factors'!$B$13,$O157-1,P$14)*$L157+OFFSET('Stor Factors'!$B$13,$K157-1,P$14)*$H157</f>
        <v>0</v>
      </c>
      <c r="Q157" s="24"/>
      <c r="R157" s="22">
        <f ca="1">OFFSET('Stor Factors'!$B$13,$O157-1,R$14)*$L157+OFFSET('Stor Factors'!$B$13,$K157-1,R$14)*$H157</f>
        <v>0</v>
      </c>
      <c r="S157" s="22"/>
      <c r="T157" s="22">
        <f ca="1">OFFSET('Stor Factors'!$B$13,$O157-1,T$14)*$L157+OFFSET('Stor Factors'!$B$13,$K157-1,T$14)*$H157</f>
        <v>0</v>
      </c>
      <c r="U157" s="22"/>
      <c r="V157" s="22">
        <f ca="1">OFFSET('Stor Factors'!$B$13,$O157-1,V$14)*$L157+OFFSET('Stor Factors'!$B$13,$K157-1,V$14)*$H157</f>
        <v>0</v>
      </c>
      <c r="X157" s="9">
        <f t="shared" ca="1" si="102"/>
        <v>0</v>
      </c>
      <c r="Z157" s="35" t="str">
        <f t="shared" ca="1" si="68"/>
        <v/>
      </c>
      <c r="AA157" s="24"/>
      <c r="AB157" s="22"/>
      <c r="AC157" s="235">
        <f ca="1">Function!AH157</f>
        <v>0</v>
      </c>
      <c r="AD157" s="242">
        <f t="shared" ca="1" si="103"/>
        <v>0</v>
      </c>
      <c r="AF157" s="199">
        <f t="shared" ca="1" si="99"/>
        <v>0</v>
      </c>
      <c r="AH157" s="199">
        <f t="shared" ca="1" si="105"/>
        <v>0</v>
      </c>
      <c r="AJ157" s="199">
        <f t="shared" ca="1" si="106"/>
        <v>0</v>
      </c>
      <c r="AK157" s="73">
        <f t="shared" ca="1" si="107"/>
        <v>0</v>
      </c>
      <c r="AL157" s="199">
        <f t="shared" ca="1" si="108"/>
        <v>0</v>
      </c>
      <c r="AN157" s="199">
        <f t="shared" ca="1" si="79"/>
        <v>0</v>
      </c>
    </row>
    <row r="158" spans="2:40" ht="13" x14ac:dyDescent="0.3">
      <c r="B158" s="28"/>
      <c r="D158" s="97" t="s">
        <v>237</v>
      </c>
      <c r="N158" s="70"/>
      <c r="P158" s="22"/>
      <c r="Q158" s="24"/>
      <c r="R158" s="22"/>
      <c r="S158" s="22"/>
      <c r="T158" s="22"/>
      <c r="U158" s="22"/>
      <c r="V158" s="22"/>
      <c r="X158" s="9"/>
      <c r="Z158" s="35" t="str">
        <f t="shared" si="68"/>
        <v/>
      </c>
      <c r="AB158" s="22"/>
      <c r="AF158" s="199">
        <f t="shared" si="99"/>
        <v>0</v>
      </c>
      <c r="AH158" s="199">
        <f t="shared" si="105"/>
        <v>0</v>
      </c>
      <c r="AJ158" s="199">
        <f t="shared" si="106"/>
        <v>0</v>
      </c>
      <c r="AK158" s="73">
        <f t="shared" si="107"/>
        <v>0</v>
      </c>
      <c r="AL158" s="199">
        <f t="shared" si="108"/>
        <v>0</v>
      </c>
      <c r="AN158" s="199">
        <f t="shared" si="79"/>
        <v>0</v>
      </c>
    </row>
    <row r="159" spans="2:40" ht="13" x14ac:dyDescent="0.3">
      <c r="B159" s="28">
        <f>B157+1</f>
        <v>100</v>
      </c>
      <c r="D159" s="63" t="s">
        <v>110</v>
      </c>
      <c r="F159" s="113">
        <f ca="1">Function!R159</f>
        <v>10500.981965602561</v>
      </c>
      <c r="H159" s="200"/>
      <c r="K159" s="91">
        <f>_xlfn.IFNA(MATCH(J159,'Stor Factors'!$B$13:$B$439,0),0)</f>
        <v>0</v>
      </c>
      <c r="L159" s="113">
        <f t="shared" ca="1" si="101"/>
        <v>10500.981965602561</v>
      </c>
      <c r="N159" s="28" t="s">
        <v>256</v>
      </c>
      <c r="O159" s="186">
        <f>_xlfn.IFNA(MATCH(N159,'Stor Factors'!$B$13:$B$439,0),0)</f>
        <v>48</v>
      </c>
      <c r="P159" s="22">
        <f ca="1">OFFSET('Stor Factors'!$B$13,$O159-1,P$14)*$L159+OFFSET('Stor Factors'!$B$13,$K159-1,P$14)*$H159</f>
        <v>7365.5153904479312</v>
      </c>
      <c r="Q159" s="24"/>
      <c r="R159" s="22">
        <f ca="1">OFFSET('Stor Factors'!$B$13,$O159-1,R$14)*$L159+OFFSET('Stor Factors'!$B$13,$K159-1,R$14)*$H159</f>
        <v>2890.1235088850422</v>
      </c>
      <c r="S159" s="22"/>
      <c r="T159" s="22">
        <f ca="1">OFFSET('Stor Factors'!$B$13,$O159-1,T$14)*$L159+OFFSET('Stor Factors'!$B$13,$K159-1,T$14)*$H159</f>
        <v>245.34306626959017</v>
      </c>
      <c r="U159" s="22"/>
      <c r="V159" s="22">
        <f ca="1">OFFSET('Stor Factors'!$B$13,$O159-1,V$14)*$L159+OFFSET('Stor Factors'!$B$13,$K159-1,V$14)*$H159</f>
        <v>0</v>
      </c>
      <c r="X159" s="9">
        <f t="shared" ref="X159:X160" ca="1" si="109">P159+R159+T159+V159</f>
        <v>10500.981965602563</v>
      </c>
      <c r="Z159" s="35" t="str">
        <f t="shared" ca="1" si="68"/>
        <v/>
      </c>
      <c r="AA159" s="24"/>
      <c r="AB159" s="22"/>
      <c r="AC159" s="235"/>
      <c r="AD159" s="242"/>
      <c r="AF159" s="199"/>
      <c r="AH159" s="199"/>
      <c r="AJ159" s="199"/>
      <c r="AL159" s="199"/>
      <c r="AN159" s="199"/>
    </row>
    <row r="160" spans="2:40" ht="13" x14ac:dyDescent="0.3">
      <c r="B160" s="28">
        <f>B159+1</f>
        <v>101</v>
      </c>
      <c r="D160" s="63" t="s">
        <v>238</v>
      </c>
      <c r="F160" s="105">
        <f ca="1">Function!R160</f>
        <v>13897.723897224518</v>
      </c>
      <c r="G160" s="170"/>
      <c r="H160" s="66"/>
      <c r="I160" s="170"/>
      <c r="J160" s="170"/>
      <c r="K160" s="42">
        <f>_xlfn.IFNA(MATCH(J160,'Stor Factors'!$B$13:$B$439,0),0)</f>
        <v>0</v>
      </c>
      <c r="L160" s="105">
        <f t="shared" ca="1" si="101"/>
        <v>13897.723897224518</v>
      </c>
      <c r="M160" s="84"/>
      <c r="N160" s="41" t="s">
        <v>183</v>
      </c>
      <c r="O160" s="189">
        <f>_xlfn.IFNA(MATCH(N160,'Stor Factors'!$B$13:$B$439,0),0)</f>
        <v>54</v>
      </c>
      <c r="P160" s="30">
        <f ca="1">OFFSET('Stor Factors'!$B$13,$O160-1,P$14)*$L160+OFFSET('Stor Factors'!$B$13,$K160-1,P$14)*$H160</f>
        <v>9587.8076110506045</v>
      </c>
      <c r="Q160" s="109"/>
      <c r="R160" s="30">
        <f ca="1">OFFSET('Stor Factors'!$B$13,$O160-1,R$14)*$L160+OFFSET('Stor Factors'!$B$13,$K160-1,R$14)*$H160</f>
        <v>3972.6752243829696</v>
      </c>
      <c r="S160" s="30"/>
      <c r="T160" s="30">
        <f ca="1">OFFSET('Stor Factors'!$B$13,$O160-1,T$14)*$L160+OFFSET('Stor Factors'!$B$13,$K160-1,T$14)*$H160</f>
        <v>337.24106179094042</v>
      </c>
      <c r="U160" s="30"/>
      <c r="V160" s="30">
        <f ca="1">OFFSET('Stor Factors'!$B$13,$O160-1,V$14)*$L160+OFFSET('Stor Factors'!$B$13,$K160-1,V$14)*$H160</f>
        <v>0</v>
      </c>
      <c r="W160" s="84"/>
      <c r="X160" s="13">
        <f t="shared" ca="1" si="109"/>
        <v>13897.723897224514</v>
      </c>
      <c r="Z160" s="35" t="str">
        <f t="shared" ca="1" si="68"/>
        <v/>
      </c>
      <c r="AA160" s="24"/>
      <c r="AB160" s="22"/>
      <c r="AC160" s="235">
        <f ca="1">Function!AH160</f>
        <v>7774.6494738879765</v>
      </c>
      <c r="AD160" s="242">
        <f t="shared" ref="AD160" ca="1" si="110">IFERROR(AC160/F160,0)</f>
        <v>0.55941890423083118</v>
      </c>
      <c r="AF160" s="199">
        <f t="shared" ca="1" si="99"/>
        <v>5363.6008277499523</v>
      </c>
      <c r="AH160" s="199">
        <f t="shared" ca="1" si="105"/>
        <v>2222.3896208892925</v>
      </c>
      <c r="AJ160" s="199">
        <f t="shared" ca="1" si="106"/>
        <v>188.65902524872993</v>
      </c>
      <c r="AK160" s="73">
        <f t="shared" ca="1" si="107"/>
        <v>0</v>
      </c>
      <c r="AL160" s="199">
        <f t="shared" ca="1" si="108"/>
        <v>0</v>
      </c>
      <c r="AN160" s="199">
        <f t="shared" ca="1" si="79"/>
        <v>7774.6494738879746</v>
      </c>
    </row>
    <row r="161" spans="2:40" ht="13" x14ac:dyDescent="0.3">
      <c r="B161" s="28"/>
      <c r="F161" s="170"/>
      <c r="H161" s="170"/>
      <c r="L161" s="170"/>
      <c r="N161" s="70"/>
      <c r="P161" s="84"/>
      <c r="Q161" s="24"/>
      <c r="R161" s="84"/>
      <c r="S161" s="22"/>
      <c r="T161" s="84"/>
      <c r="U161" s="22"/>
      <c r="V161" s="84"/>
      <c r="X161" s="84"/>
      <c r="Z161" s="35" t="str">
        <f t="shared" si="68"/>
        <v/>
      </c>
      <c r="AA161" s="24"/>
      <c r="AB161" s="22"/>
    </row>
    <row r="162" spans="2:40" ht="13" x14ac:dyDescent="0.3">
      <c r="B162" s="28">
        <f>B160+1</f>
        <v>102</v>
      </c>
      <c r="D162" s="97" t="s">
        <v>482</v>
      </c>
      <c r="F162" s="204">
        <f ca="1">SUM(F116:F160)</f>
        <v>91374.002072707284</v>
      </c>
      <c r="H162" s="204">
        <f ca="1">SUM(H115:H160)</f>
        <v>2341.028111287892</v>
      </c>
      <c r="L162" s="204">
        <f ca="1">SUM(L116:L160)</f>
        <v>89032.973961419368</v>
      </c>
      <c r="P162" s="11">
        <f ca="1">SUM(P115:P160)</f>
        <v>49052.857858439122</v>
      </c>
      <c r="Q162" s="24"/>
      <c r="R162" s="11">
        <f ca="1">SUM(R115:R160)</f>
        <v>19495.13450341767</v>
      </c>
      <c r="S162" s="22"/>
      <c r="T162" s="11">
        <f ca="1">SUM(T115:T160)</f>
        <v>1375.329994562765</v>
      </c>
      <c r="U162" s="22"/>
      <c r="V162" s="11">
        <f ca="1">SUM(V115:V160)</f>
        <v>21450.679716287705</v>
      </c>
      <c r="X162" s="11">
        <f ca="1">SUM(X115:X160)</f>
        <v>91374.00207270727</v>
      </c>
      <c r="Z162" s="35" t="str">
        <f ca="1">IF(ROUND(F162,4)=ROUND(X162,4), "", "check")</f>
        <v/>
      </c>
      <c r="AA162" s="24"/>
      <c r="AB162" s="22"/>
      <c r="AC162" s="236">
        <f ca="1">SUM(AC116:AC161)</f>
        <v>17976.776754797029</v>
      </c>
      <c r="AF162" s="236">
        <f ca="1">SUM(AF116:AF161)</f>
        <v>12609.128012201698</v>
      </c>
      <c r="AH162" s="236">
        <f ca="1">SUM(AH116:AH161)</f>
        <v>4947.6425426882233</v>
      </c>
      <c r="AJ162" s="236">
        <f ca="1">SUM(AJ116:AJ161)</f>
        <v>420.00619990710697</v>
      </c>
      <c r="AL162" s="236">
        <f ca="1">SUM(AL116:AL161)</f>
        <v>0</v>
      </c>
      <c r="AN162" s="236">
        <f ca="1">SUM(AN116:AN161)</f>
        <v>17976.776754797029</v>
      </c>
    </row>
    <row r="163" spans="2:40" ht="13" x14ac:dyDescent="0.3">
      <c r="B163" s="28"/>
      <c r="Q163" s="24"/>
      <c r="S163" s="22"/>
      <c r="U163" s="22"/>
      <c r="Z163" s="35" t="str">
        <f t="shared" si="68"/>
        <v/>
      </c>
      <c r="AA163" s="24"/>
      <c r="AB163" s="22"/>
    </row>
    <row r="164" spans="2:40" ht="13.5" thickBot="1" x14ac:dyDescent="0.35">
      <c r="B164" s="28">
        <f>B162+1</f>
        <v>103</v>
      </c>
      <c r="D164" s="97" t="s">
        <v>483</v>
      </c>
      <c r="F164" s="207">
        <f ca="1">F162+F104+F109+F108+F97</f>
        <v>224417.96329704439</v>
      </c>
      <c r="H164" s="207">
        <f ca="1">H162+H102+H109+H108+H97</f>
        <v>3505.0892347116605</v>
      </c>
      <c r="L164" s="207">
        <f ca="1">L162+L104+L109+L108+L97</f>
        <v>220912.8740623327</v>
      </c>
      <c r="P164" s="60">
        <f ca="1">P162+P104+P109+P108+P97</f>
        <v>113409.54535994586</v>
      </c>
      <c r="Q164" s="24"/>
      <c r="R164" s="60">
        <f ca="1">R162+R104+R109+R108+R97</f>
        <v>82370.647938411828</v>
      </c>
      <c r="S164" s="22"/>
      <c r="T164" s="60">
        <f ca="1">T162+T104+T109+T108+T97</f>
        <v>7187.0902823989782</v>
      </c>
      <c r="U164" s="22"/>
      <c r="V164" s="60">
        <f ca="1">V162+V104+V109+V108+V97</f>
        <v>21450.679716287705</v>
      </c>
      <c r="X164" s="60">
        <f ca="1">X162+X104+X109+X108+X97</f>
        <v>224417.96329704439</v>
      </c>
      <c r="Z164" s="35" t="str">
        <f t="shared" ca="1" si="68"/>
        <v/>
      </c>
      <c r="AA164" s="24"/>
      <c r="AB164" s="22"/>
      <c r="AF164" s="251"/>
      <c r="AH164" s="251"/>
      <c r="AJ164" s="251"/>
      <c r="AL164" s="251"/>
      <c r="AN164" s="251"/>
    </row>
    <row r="165" spans="2:40" ht="13.5" thickTop="1" x14ac:dyDescent="0.3">
      <c r="B165" s="28"/>
      <c r="F165" s="105"/>
      <c r="H165" s="105"/>
      <c r="L165" s="105"/>
      <c r="P165" s="26"/>
      <c r="Q165" s="24"/>
      <c r="R165" s="26"/>
      <c r="S165" s="22"/>
      <c r="T165" s="26"/>
      <c r="U165" s="22"/>
      <c r="V165" s="26"/>
      <c r="X165" s="26"/>
      <c r="Z165" s="35" t="str">
        <f t="shared" si="68"/>
        <v/>
      </c>
      <c r="AA165" s="24"/>
      <c r="AB165" s="22"/>
    </row>
    <row r="166" spans="2:40" ht="13" x14ac:dyDescent="0.3">
      <c r="B166" s="28"/>
      <c r="F166" s="105"/>
      <c r="H166" s="105"/>
      <c r="L166" s="105"/>
      <c r="P166" s="8"/>
      <c r="Q166" s="24"/>
      <c r="S166" s="22"/>
      <c r="U166" s="22"/>
      <c r="Z166" s="35" t="str">
        <f t="shared" si="68"/>
        <v/>
      </c>
      <c r="AA166" s="24"/>
      <c r="AB166" s="22"/>
      <c r="AH166" s="251"/>
      <c r="AJ166" s="251"/>
      <c r="AL166" s="251"/>
      <c r="AN166" s="251"/>
    </row>
    <row r="167" spans="2:40" ht="13" x14ac:dyDescent="0.3">
      <c r="B167" s="28"/>
      <c r="F167" s="105"/>
      <c r="H167" s="105"/>
      <c r="L167" s="105"/>
      <c r="Q167" s="24"/>
      <c r="S167" s="22"/>
      <c r="U167" s="22"/>
      <c r="Z167" s="35" t="str">
        <f t="shared" si="68"/>
        <v/>
      </c>
      <c r="AA167" s="24"/>
    </row>
    <row r="168" spans="2:40" ht="13" x14ac:dyDescent="0.3">
      <c r="B168" s="28"/>
      <c r="D168" s="6" t="s">
        <v>132</v>
      </c>
      <c r="Q168" s="24"/>
      <c r="S168" s="22"/>
      <c r="U168" s="22"/>
      <c r="Z168" s="35" t="str">
        <f t="shared" si="68"/>
        <v/>
      </c>
      <c r="AA168" s="24"/>
    </row>
    <row r="169" spans="2:40" ht="13" x14ac:dyDescent="0.3">
      <c r="B169" s="28"/>
      <c r="D169" s="6"/>
      <c r="F169" s="113"/>
      <c r="H169" s="200"/>
      <c r="K169" s="91"/>
      <c r="L169" s="113"/>
      <c r="O169" s="186"/>
      <c r="P169" s="22"/>
      <c r="Q169" s="24"/>
      <c r="R169" s="22"/>
      <c r="S169" s="22"/>
      <c r="T169" s="22"/>
      <c r="U169" s="22"/>
      <c r="V169" s="22"/>
      <c r="X169" s="9"/>
      <c r="Z169" s="35" t="str">
        <f t="shared" si="68"/>
        <v/>
      </c>
      <c r="AA169" s="24"/>
      <c r="AB169" s="22"/>
    </row>
    <row r="170" spans="2:40" ht="13" x14ac:dyDescent="0.3">
      <c r="B170" s="28">
        <f>B164+1</f>
        <v>104</v>
      </c>
      <c r="D170" s="99" t="s">
        <v>146</v>
      </c>
      <c r="F170" s="113">
        <f ca="1">Function!R170</f>
        <v>0</v>
      </c>
      <c r="H170" s="200"/>
      <c r="K170" s="91">
        <f>_xlfn.IFNA(MATCH(J170,'Stor Factors'!$B$13:$B$439,0),0)</f>
        <v>0</v>
      </c>
      <c r="L170" s="113">
        <f t="shared" ref="L170:L176" ca="1" si="111">F170-H170</f>
        <v>0</v>
      </c>
      <c r="O170" s="186">
        <f>_xlfn.IFNA(MATCH(N170,'Stor Factors'!$B$13:$B$439,0),0)</f>
        <v>0</v>
      </c>
      <c r="P170" s="22">
        <f ca="1">OFFSET('Stor Factors'!$B$13,$O170-1,P$14)*$L170+OFFSET('Stor Factors'!$B$13,$K170-1,P$14)*$H170</f>
        <v>0</v>
      </c>
      <c r="Q170" s="24"/>
      <c r="R170" s="22">
        <f ca="1">OFFSET('Stor Factors'!$B$13,$O170-1,R$14)*$L170+OFFSET('Stor Factors'!$B$13,$K170-1,R$14)*$H170</f>
        <v>0</v>
      </c>
      <c r="S170" s="22"/>
      <c r="T170" s="22">
        <f ca="1">OFFSET('Stor Factors'!$B$13,$O170-1,T$14)*$L170+OFFSET('Stor Factors'!$B$13,$K170-1,T$14)*$H170</f>
        <v>0</v>
      </c>
      <c r="U170" s="22"/>
      <c r="V170" s="22">
        <f ca="1">OFFSET('Stor Factors'!$B$13,$O170-1,V$14)*$L170+OFFSET('Stor Factors'!$B$13,$K170-1,V$14)*$H170</f>
        <v>0</v>
      </c>
      <c r="X170" s="9">
        <f t="shared" ref="X170" ca="1" si="112">P170+R170+T170+V170</f>
        <v>0</v>
      </c>
      <c r="Z170" s="35" t="str">
        <f t="shared" ca="1" si="68"/>
        <v/>
      </c>
      <c r="AA170" s="24"/>
      <c r="AB170" s="22"/>
    </row>
    <row r="171" spans="2:40" ht="13" x14ac:dyDescent="0.3">
      <c r="B171" s="28">
        <f t="shared" ref="B171:B176" si="113">B170+1</f>
        <v>105</v>
      </c>
      <c r="D171" s="99" t="s">
        <v>157</v>
      </c>
      <c r="F171" s="113">
        <f ca="1">Function!R171</f>
        <v>0</v>
      </c>
      <c r="H171" s="200"/>
      <c r="J171" s="91"/>
      <c r="K171" s="91">
        <f>_xlfn.IFNA(MATCH(J171,'Stor Factors'!$B$13:$B$439,0),0)</f>
        <v>0</v>
      </c>
      <c r="L171" s="113">
        <f t="shared" ca="1" si="111"/>
        <v>0</v>
      </c>
      <c r="O171" s="186">
        <f>_xlfn.IFNA(MATCH(N171,'Stor Factors'!$B$13:$B$439,0),0)</f>
        <v>0</v>
      </c>
      <c r="P171" s="22">
        <f ca="1">OFFSET('Stor Factors'!$B$13,$O171-1,P$14)*$L171+OFFSET('Stor Factors'!$B$13,$K171-1,P$14)*$H171</f>
        <v>0</v>
      </c>
      <c r="Q171" s="24"/>
      <c r="R171" s="22">
        <f ca="1">OFFSET('Stor Factors'!$B$13,$O171-1,R$14)*$L171+OFFSET('Stor Factors'!$B$13,$K171-1,R$14)*$H171</f>
        <v>0</v>
      </c>
      <c r="S171" s="22"/>
      <c r="T171" s="22">
        <f ca="1">OFFSET('Stor Factors'!$B$13,$O171-1,T$14)*$L171+OFFSET('Stor Factors'!$B$13,$K171-1,T$14)*$H171</f>
        <v>0</v>
      </c>
      <c r="U171" s="22"/>
      <c r="V171" s="22">
        <f ca="1">OFFSET('Stor Factors'!$B$13,$O171-1,V$14)*$L171+OFFSET('Stor Factors'!$B$13,$K171-1,V$14)*$H171</f>
        <v>0</v>
      </c>
      <c r="X171" s="9">
        <f t="shared" ref="X171:X176" ca="1" si="114">P171+R171+T171+V171</f>
        <v>0</v>
      </c>
      <c r="Z171" s="35" t="str">
        <f t="shared" ca="1" si="68"/>
        <v/>
      </c>
      <c r="AA171" s="24"/>
      <c r="AB171" s="22"/>
    </row>
    <row r="172" spans="2:40" ht="13" x14ac:dyDescent="0.3">
      <c r="B172" s="28">
        <f t="shared" si="113"/>
        <v>106</v>
      </c>
      <c r="D172" s="99" t="s">
        <v>133</v>
      </c>
      <c r="F172" s="113">
        <f ca="1">Function!R172</f>
        <v>0</v>
      </c>
      <c r="H172" s="200"/>
      <c r="J172" s="91"/>
      <c r="K172" s="91">
        <f>_xlfn.IFNA(MATCH(J172,'Stor Factors'!$B$13:$B$439,0),0)</f>
        <v>0</v>
      </c>
      <c r="L172" s="113">
        <f t="shared" ca="1" si="111"/>
        <v>0</v>
      </c>
      <c r="O172" s="186">
        <f>_xlfn.IFNA(MATCH(N172,'Stor Factors'!$B$13:$B$439,0),0)</f>
        <v>0</v>
      </c>
      <c r="P172" s="22">
        <f ca="1">OFFSET('Stor Factors'!$B$13,$O172-1,P$14)*$L172+OFFSET('Stor Factors'!$B$13,$K172-1,P$14)*$H172</f>
        <v>0</v>
      </c>
      <c r="Q172" s="24"/>
      <c r="R172" s="22">
        <f ca="1">OFFSET('Stor Factors'!$B$13,$O172-1,R$14)*$L172+OFFSET('Stor Factors'!$B$13,$K172-1,R$14)*$H172</f>
        <v>0</v>
      </c>
      <c r="S172" s="22"/>
      <c r="T172" s="22">
        <f ca="1">OFFSET('Stor Factors'!$B$13,$O172-1,T$14)*$L172+OFFSET('Stor Factors'!$B$13,$K172-1,T$14)*$H172</f>
        <v>0</v>
      </c>
      <c r="U172" s="22"/>
      <c r="V172" s="22">
        <f ca="1">OFFSET('Stor Factors'!$B$13,$O172-1,V$14)*$L172+OFFSET('Stor Factors'!$B$13,$K172-1,V$14)*$H172</f>
        <v>0</v>
      </c>
      <c r="X172" s="9">
        <f t="shared" ca="1" si="114"/>
        <v>0</v>
      </c>
      <c r="Z172" s="35" t="str">
        <f t="shared" ca="1" si="68"/>
        <v/>
      </c>
      <c r="AA172" s="24"/>
      <c r="AB172" s="22"/>
    </row>
    <row r="173" spans="2:40" ht="13" x14ac:dyDescent="0.3">
      <c r="B173" s="28">
        <f t="shared" si="113"/>
        <v>107</v>
      </c>
      <c r="D173" s="99" t="s">
        <v>148</v>
      </c>
      <c r="F173" s="113">
        <f ca="1">Function!R173</f>
        <v>0</v>
      </c>
      <c r="H173" s="200"/>
      <c r="J173" s="91"/>
      <c r="K173" s="91">
        <f>_xlfn.IFNA(MATCH(J173,'Stor Factors'!$B$13:$B$439,0),0)</f>
        <v>0</v>
      </c>
      <c r="L173" s="113">
        <f t="shared" ca="1" si="111"/>
        <v>0</v>
      </c>
      <c r="O173" s="186">
        <f>_xlfn.IFNA(MATCH(N173,'Stor Factors'!$B$13:$B$439,0),0)</f>
        <v>0</v>
      </c>
      <c r="P173" s="22">
        <f ca="1">OFFSET('Stor Factors'!$B$13,$O173-1,P$14)*$L173+OFFSET('Stor Factors'!$B$13,$K173-1,P$14)*$H173</f>
        <v>0</v>
      </c>
      <c r="Q173" s="24"/>
      <c r="R173" s="22">
        <f ca="1">OFFSET('Stor Factors'!$B$13,$O173-1,R$14)*$L173+OFFSET('Stor Factors'!$B$13,$K173-1,R$14)*$H173</f>
        <v>0</v>
      </c>
      <c r="S173" s="22"/>
      <c r="T173" s="22">
        <f ca="1">OFFSET('Stor Factors'!$B$13,$O173-1,T$14)*$L173+OFFSET('Stor Factors'!$B$13,$K173-1,T$14)*$H173</f>
        <v>0</v>
      </c>
      <c r="U173" s="22"/>
      <c r="V173" s="22">
        <f ca="1">OFFSET('Stor Factors'!$B$13,$O173-1,V$14)*$L173+OFFSET('Stor Factors'!$B$13,$K173-1,V$14)*$H173</f>
        <v>0</v>
      </c>
      <c r="X173" s="9">
        <f t="shared" ca="1" si="114"/>
        <v>0</v>
      </c>
      <c r="Z173" s="35" t="str">
        <f t="shared" ca="1" si="68"/>
        <v/>
      </c>
      <c r="AA173" s="24"/>
      <c r="AB173" s="22"/>
    </row>
    <row r="174" spans="2:40" ht="13" x14ac:dyDescent="0.3">
      <c r="B174" s="28">
        <f t="shared" si="113"/>
        <v>108</v>
      </c>
      <c r="D174" s="99" t="s">
        <v>149</v>
      </c>
      <c r="F174" s="113">
        <f ca="1">Function!R174</f>
        <v>0</v>
      </c>
      <c r="H174" s="200"/>
      <c r="J174" s="91"/>
      <c r="K174" s="91">
        <f>_xlfn.IFNA(MATCH(J174,'Stor Factors'!$B$13:$B$439,0),0)</f>
        <v>0</v>
      </c>
      <c r="L174" s="113">
        <f t="shared" ca="1" si="111"/>
        <v>0</v>
      </c>
      <c r="O174" s="186">
        <f>_xlfn.IFNA(MATCH(N174,'Stor Factors'!$B$13:$B$439,0),0)</f>
        <v>0</v>
      </c>
      <c r="P174" s="22">
        <f ca="1">OFFSET('Stor Factors'!$B$13,$O174-1,P$14)*$L174+OFFSET('Stor Factors'!$B$13,$K174-1,P$14)*$H174</f>
        <v>0</v>
      </c>
      <c r="Q174" s="24"/>
      <c r="R174" s="22">
        <f ca="1">OFFSET('Stor Factors'!$B$13,$O174-1,R$14)*$L174+OFFSET('Stor Factors'!$B$13,$K174-1,R$14)*$H174</f>
        <v>0</v>
      </c>
      <c r="S174" s="22"/>
      <c r="T174" s="22">
        <f ca="1">OFFSET('Stor Factors'!$B$13,$O174-1,T$14)*$L174+OFFSET('Stor Factors'!$B$13,$K174-1,T$14)*$H174</f>
        <v>0</v>
      </c>
      <c r="U174" s="22"/>
      <c r="V174" s="22">
        <f ca="1">OFFSET('Stor Factors'!$B$13,$O174-1,V$14)*$L174+OFFSET('Stor Factors'!$B$13,$K174-1,V$14)*$H174</f>
        <v>0</v>
      </c>
      <c r="X174" s="9">
        <f t="shared" ca="1" si="114"/>
        <v>0</v>
      </c>
      <c r="Z174" s="35" t="str">
        <f t="shared" ca="1" si="68"/>
        <v/>
      </c>
      <c r="AA174" s="24"/>
      <c r="AB174" s="22"/>
    </row>
    <row r="175" spans="2:40" ht="13" x14ac:dyDescent="0.3">
      <c r="B175" s="28">
        <f t="shared" si="113"/>
        <v>109</v>
      </c>
      <c r="D175" s="99" t="s">
        <v>150</v>
      </c>
      <c r="F175" s="113">
        <f ca="1">Function!R175</f>
        <v>0</v>
      </c>
      <c r="H175" s="200"/>
      <c r="J175" s="91"/>
      <c r="K175" s="91">
        <f>_xlfn.IFNA(MATCH(J175,'Stor Factors'!$B$13:$B$439,0),0)</f>
        <v>0</v>
      </c>
      <c r="L175" s="113">
        <f t="shared" ca="1" si="111"/>
        <v>0</v>
      </c>
      <c r="O175" s="186">
        <f>_xlfn.IFNA(MATCH(N175,'Stor Factors'!$B$13:$B$439,0),0)</f>
        <v>0</v>
      </c>
      <c r="P175" s="22">
        <f ca="1">OFFSET('Stor Factors'!$B$13,$O175-1,P$14)*$L175+OFFSET('Stor Factors'!$B$13,$K175-1,P$14)*$H175</f>
        <v>0</v>
      </c>
      <c r="Q175" s="24"/>
      <c r="R175" s="22">
        <f ca="1">OFFSET('Stor Factors'!$B$13,$O175-1,R$14)*$L175+OFFSET('Stor Factors'!$B$13,$K175-1,R$14)*$H175</f>
        <v>0</v>
      </c>
      <c r="S175" s="22"/>
      <c r="T175" s="22">
        <f ca="1">OFFSET('Stor Factors'!$B$13,$O175-1,T$14)*$L175+OFFSET('Stor Factors'!$B$13,$K175-1,T$14)*$H175</f>
        <v>0</v>
      </c>
      <c r="U175" s="22"/>
      <c r="V175" s="22">
        <f ca="1">OFFSET('Stor Factors'!$B$13,$O175-1,V$14)*$L175+OFFSET('Stor Factors'!$B$13,$K175-1,V$14)*$H175</f>
        <v>0</v>
      </c>
      <c r="X175" s="9">
        <f t="shared" ca="1" si="114"/>
        <v>0</v>
      </c>
      <c r="Z175" s="35" t="str">
        <f t="shared" ca="1" si="68"/>
        <v/>
      </c>
      <c r="AA175" s="24"/>
      <c r="AB175" s="22"/>
    </row>
    <row r="176" spans="2:40" ht="13" x14ac:dyDescent="0.3">
      <c r="B176" s="28">
        <f t="shared" si="113"/>
        <v>110</v>
      </c>
      <c r="D176" s="99" t="s">
        <v>465</v>
      </c>
      <c r="F176" s="113">
        <f ca="1">Function!R176</f>
        <v>0</v>
      </c>
      <c r="H176" s="200"/>
      <c r="J176" s="91"/>
      <c r="K176" s="91">
        <f>_xlfn.IFNA(MATCH(J176,'Stor Factors'!$B$13:$B$439,0),0)</f>
        <v>0</v>
      </c>
      <c r="L176" s="113">
        <f t="shared" ca="1" si="111"/>
        <v>0</v>
      </c>
      <c r="O176" s="186">
        <f>_xlfn.IFNA(MATCH(N176,'Stor Factors'!$B$13:$B$439,0),0)</f>
        <v>0</v>
      </c>
      <c r="P176" s="22">
        <f ca="1">OFFSET('Stor Factors'!$B$13,$O176-1,P$14)*$L176+OFFSET('Stor Factors'!$B$13,$K176-1,P$14)*$H176</f>
        <v>0</v>
      </c>
      <c r="Q176" s="24"/>
      <c r="R176" s="22">
        <f ca="1">OFFSET('Stor Factors'!$B$13,$O176-1,R$14)*$L176+OFFSET('Stor Factors'!$B$13,$K176-1,R$14)*$H176</f>
        <v>0</v>
      </c>
      <c r="S176" s="22"/>
      <c r="T176" s="22">
        <f ca="1">OFFSET('Stor Factors'!$B$13,$O176-1,T$14)*$L176+OFFSET('Stor Factors'!$B$13,$K176-1,T$14)*$H176</f>
        <v>0</v>
      </c>
      <c r="U176" s="22"/>
      <c r="V176" s="22">
        <f ca="1">OFFSET('Stor Factors'!$B$13,$O176-1,V$14)*$L176+OFFSET('Stor Factors'!$B$13,$K176-1,V$14)*$H176</f>
        <v>0</v>
      </c>
      <c r="X176" s="9">
        <f t="shared" ca="1" si="114"/>
        <v>0</v>
      </c>
      <c r="Z176" s="35" t="str">
        <f t="shared" ca="1" si="68"/>
        <v/>
      </c>
      <c r="AA176" s="24"/>
      <c r="AB176" s="22"/>
    </row>
    <row r="177" spans="2:28" ht="13" x14ac:dyDescent="0.3">
      <c r="B177" s="28"/>
      <c r="Q177" s="24"/>
      <c r="S177" s="22"/>
      <c r="U177" s="22"/>
      <c r="Z177" s="35" t="str">
        <f t="shared" si="68"/>
        <v/>
      </c>
      <c r="AA177" s="24"/>
      <c r="AB177" s="22"/>
    </row>
    <row r="178" spans="2:28" ht="13" x14ac:dyDescent="0.3">
      <c r="B178" s="28">
        <f>B176+1</f>
        <v>111</v>
      </c>
      <c r="D178" s="99" t="s">
        <v>484</v>
      </c>
      <c r="F178" s="79">
        <f ca="1">SUM(F170:F176)</f>
        <v>0</v>
      </c>
      <c r="H178" s="79">
        <f>SUM(H170:H176)</f>
        <v>0</v>
      </c>
      <c r="J178" s="91"/>
      <c r="L178" s="79">
        <f ca="1">SUM(L170:L176)</f>
        <v>0</v>
      </c>
      <c r="P178" s="10">
        <f ca="1">SUM(P170:P176)</f>
        <v>0</v>
      </c>
      <c r="Q178" s="24"/>
      <c r="R178" s="10">
        <f ca="1">SUM(R170:R176)</f>
        <v>0</v>
      </c>
      <c r="S178" s="22"/>
      <c r="T178" s="10">
        <f ca="1">SUM(T170:T176)</f>
        <v>0</v>
      </c>
      <c r="U178" s="22"/>
      <c r="V178" s="10">
        <f ca="1">SUM(V170:V176)</f>
        <v>0</v>
      </c>
      <c r="X178" s="10">
        <f ca="1">SUM(X170:X176)</f>
        <v>0</v>
      </c>
      <c r="Z178" s="35" t="str">
        <f t="shared" ca="1" si="68"/>
        <v/>
      </c>
      <c r="AA178" s="24"/>
      <c r="AB178" s="22"/>
    </row>
    <row r="179" spans="2:28" ht="13" x14ac:dyDescent="0.3">
      <c r="B179" s="28"/>
      <c r="Q179" s="24"/>
      <c r="S179" s="22"/>
      <c r="U179" s="22"/>
      <c r="Z179" s="35" t="str">
        <f t="shared" si="68"/>
        <v/>
      </c>
      <c r="AA179" s="24"/>
      <c r="AB179" s="22"/>
    </row>
    <row r="180" spans="2:28" ht="13.5" thickBot="1" x14ac:dyDescent="0.35">
      <c r="B180" s="28">
        <f>B178+1</f>
        <v>112</v>
      </c>
      <c r="D180" s="99" t="s">
        <v>172</v>
      </c>
      <c r="F180" s="207">
        <f ca="1">F164-F178</f>
        <v>224417.96329704439</v>
      </c>
      <c r="H180" s="207">
        <f ca="1">H164-H178</f>
        <v>3505.0892347116605</v>
      </c>
      <c r="L180" s="207">
        <f ca="1">L164-L178</f>
        <v>220912.8740623327</v>
      </c>
      <c r="P180" s="60">
        <f ca="1">P164-P178</f>
        <v>113409.54535994586</v>
      </c>
      <c r="Q180" s="24"/>
      <c r="R180" s="60">
        <f ca="1">R164-R178</f>
        <v>82370.647938411828</v>
      </c>
      <c r="S180" s="22"/>
      <c r="T180" s="60">
        <f ca="1">T164-T178</f>
        <v>7187.0902823989782</v>
      </c>
      <c r="U180" s="22"/>
      <c r="V180" s="60">
        <f ca="1">V164-V178</f>
        <v>21450.679716287705</v>
      </c>
      <c r="X180" s="60">
        <f ca="1">X164-X178</f>
        <v>224417.96329704439</v>
      </c>
      <c r="Z180" s="35" t="str">
        <f t="shared" ca="1" si="68"/>
        <v/>
      </c>
      <c r="AA180" s="24"/>
      <c r="AB180" s="22"/>
    </row>
    <row r="181" spans="2:28" ht="13" thickTop="1" x14ac:dyDescent="0.25">
      <c r="D181" s="99" t="s">
        <v>485</v>
      </c>
      <c r="Q181" s="24"/>
      <c r="S181" s="22"/>
      <c r="U181" s="22"/>
      <c r="AA181" s="24"/>
      <c r="AB181" s="22"/>
    </row>
    <row r="182" spans="2:28" x14ac:dyDescent="0.25">
      <c r="D182" s="99" t="s">
        <v>254</v>
      </c>
      <c r="R182" s="100"/>
      <c r="AB182" s="22"/>
    </row>
    <row r="183" spans="2:28" x14ac:dyDescent="0.25">
      <c r="L183" s="113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5" fitToHeight="4" orientation="landscape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  <ignoredErrors>
    <ignoredError sqref="F92:F94 P80:X80 F78:F79 P89:X94 F96:F97 P96:X96 Q95 S95 U95 W95 Q97:X97 Q81:X81 P78:Q79 S78:S79 U78:U79 W78:X7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dimension ref="A3:AV144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5" width="9.1796875" style="1"/>
    <col min="16" max="16" width="26.54296875" style="1" bestFit="1" customWidth="1"/>
    <col min="17" max="17" width="1.7265625" style="1" customWidth="1"/>
    <col min="18" max="18" width="11.1796875" style="1" customWidth="1"/>
    <col min="19" max="19" width="1.7265625" style="1" customWidth="1"/>
    <col min="20" max="20" width="11.1796875" style="1" customWidth="1"/>
    <col min="21" max="21" width="1.7265625" style="1" customWidth="1"/>
    <col min="22" max="22" width="11.1796875" style="1" customWidth="1"/>
    <col min="23" max="23" width="1.7265625" style="1" customWidth="1"/>
    <col min="24" max="24" width="11.1796875" style="1" customWidth="1"/>
    <col min="25" max="31" width="9.1796875" style="1" customWidth="1"/>
    <col min="32" max="33" width="9.1796875" style="1"/>
    <col min="34" max="34" width="9.1796875" style="84"/>
    <col min="35" max="36" width="9.1796875" style="84" customWidth="1"/>
    <col min="37" max="38" width="9.1796875" style="84"/>
    <col min="39" max="39" width="9.1796875" style="84" customWidth="1"/>
    <col min="40" max="48" width="9.1796875" style="84"/>
    <col min="49" max="16384" width="9.1796875" style="1"/>
  </cols>
  <sheetData>
    <row r="3" spans="1:48" x14ac:dyDescent="0.25">
      <c r="B3" s="97"/>
    </row>
    <row r="5" spans="1:48" s="99" customFormat="1" x14ac:dyDescent="0.25"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</row>
    <row r="6" spans="1:48" s="99" customFormat="1" x14ac:dyDescent="0.25">
      <c r="B6" s="263" t="s">
        <v>412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15"/>
      <c r="N6" s="215"/>
      <c r="O6" s="215"/>
      <c r="P6" s="215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99" customFormat="1" x14ac:dyDescent="0.25">
      <c r="B7" s="263" t="s">
        <v>472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15"/>
      <c r="N7" s="215"/>
      <c r="O7" s="215"/>
      <c r="P7" s="215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99" customFormat="1" x14ac:dyDescent="0.25"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</row>
    <row r="9" spans="1:48" x14ac:dyDescent="0.25">
      <c r="A9" s="128" t="s">
        <v>2</v>
      </c>
      <c r="B9" s="128" t="s">
        <v>8</v>
      </c>
      <c r="C9" s="99"/>
      <c r="D9" s="99"/>
      <c r="E9" s="99"/>
      <c r="F9" s="128"/>
      <c r="G9" s="99"/>
      <c r="H9" s="99"/>
      <c r="I9" s="99"/>
      <c r="J9" s="128" t="s">
        <v>391</v>
      </c>
      <c r="K9" s="99"/>
      <c r="L9" s="128" t="s">
        <v>8</v>
      </c>
    </row>
    <row r="10" spans="1:48" x14ac:dyDescent="0.25">
      <c r="A10" s="129" t="s">
        <v>4</v>
      </c>
      <c r="B10" s="129" t="s">
        <v>354</v>
      </c>
      <c r="C10" s="5"/>
      <c r="D10" s="129" t="s">
        <v>11</v>
      </c>
      <c r="E10" s="99"/>
      <c r="F10" s="129" t="s">
        <v>46</v>
      </c>
      <c r="G10" s="99"/>
      <c r="H10" s="16" t="s">
        <v>47</v>
      </c>
      <c r="I10" s="99"/>
      <c r="J10" s="129" t="s">
        <v>392</v>
      </c>
      <c r="K10" s="99"/>
      <c r="L10" s="129" t="s">
        <v>49</v>
      </c>
      <c r="AH10" s="19"/>
      <c r="AJ10" s="19"/>
      <c r="AO10" s="19"/>
      <c r="AS10" s="19"/>
      <c r="AU10" s="19"/>
    </row>
    <row r="11" spans="1:48" x14ac:dyDescent="0.25">
      <c r="A11" s="19"/>
      <c r="B11" s="19"/>
      <c r="C11" s="84"/>
      <c r="D11" s="128" t="s">
        <v>12</v>
      </c>
      <c r="E11" s="128"/>
      <c r="F11" s="130" t="s">
        <v>13</v>
      </c>
      <c r="G11" s="128"/>
      <c r="H11" s="130" t="s">
        <v>14</v>
      </c>
      <c r="I11" s="128"/>
      <c r="J11" s="130" t="s">
        <v>415</v>
      </c>
      <c r="K11" s="128"/>
      <c r="L11" s="130" t="s">
        <v>15</v>
      </c>
      <c r="AH11" s="19"/>
      <c r="AJ11" s="19"/>
      <c r="AK11" s="19"/>
      <c r="AM11" s="19"/>
      <c r="AO11" s="19"/>
      <c r="AQ11" s="152"/>
      <c r="AS11" s="19"/>
      <c r="AU11" s="19"/>
    </row>
    <row r="12" spans="1:48" x14ac:dyDescent="0.25">
      <c r="M12" s="99"/>
      <c r="AH12" s="19"/>
      <c r="AM12" s="19"/>
      <c r="AN12" s="19"/>
      <c r="AO12" s="154"/>
      <c r="AP12" s="19"/>
      <c r="AQ12" s="154"/>
      <c r="AR12" s="19"/>
      <c r="AS12" s="154"/>
      <c r="AT12" s="19"/>
      <c r="AU12" s="154"/>
    </row>
    <row r="13" spans="1:48" s="99" customFormat="1" x14ac:dyDescent="0.25">
      <c r="B13" s="2"/>
      <c r="C13" s="2"/>
      <c r="AH13" s="19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</row>
    <row r="14" spans="1:48" s="99" customFormat="1" x14ac:dyDescent="0.25">
      <c r="A14" s="128">
        <v>1</v>
      </c>
      <c r="B14" s="2"/>
      <c r="C14" s="2" t="s">
        <v>416</v>
      </c>
      <c r="D14" s="22">
        <f>SUM(F14:L14)</f>
        <v>32021.043297775072</v>
      </c>
      <c r="F14" s="22">
        <v>32021.043297775072</v>
      </c>
      <c r="G14" s="22"/>
      <c r="H14" s="22">
        <v>0</v>
      </c>
      <c r="I14" s="22"/>
      <c r="J14" s="22">
        <v>0</v>
      </c>
      <c r="K14" s="22"/>
      <c r="L14" s="22">
        <v>0</v>
      </c>
      <c r="AH14" s="19"/>
      <c r="AI14" s="84"/>
      <c r="AJ14" s="56"/>
      <c r="AK14" s="155"/>
      <c r="AL14" s="84"/>
      <c r="AM14" s="30"/>
      <c r="AN14" s="84"/>
      <c r="AO14" s="30"/>
      <c r="AP14" s="30"/>
      <c r="AQ14" s="30"/>
      <c r="AR14" s="30"/>
      <c r="AS14" s="30"/>
      <c r="AT14" s="30"/>
      <c r="AU14" s="30"/>
      <c r="AV14" s="84"/>
    </row>
    <row r="15" spans="1:48" s="99" customFormat="1" x14ac:dyDescent="0.25">
      <c r="A15" s="128">
        <v>2</v>
      </c>
      <c r="B15" s="2" t="s">
        <v>302</v>
      </c>
      <c r="C15" s="2"/>
      <c r="D15" s="34">
        <f>SUM(F15:L15)</f>
        <v>1</v>
      </c>
      <c r="F15" s="34">
        <f>IFERROR(F14/$D14,0)</f>
        <v>1</v>
      </c>
      <c r="H15" s="34">
        <f>IFERROR(H14/$D14,0)</f>
        <v>0</v>
      </c>
      <c r="J15" s="34">
        <f>IFERROR(J14/$D14,0)</f>
        <v>0</v>
      </c>
      <c r="L15" s="34">
        <f>IFERROR(L14/$D14,0)</f>
        <v>0</v>
      </c>
      <c r="AH15" s="19"/>
      <c r="AI15" s="84"/>
      <c r="AJ15" s="56"/>
      <c r="AK15" s="155"/>
      <c r="AL15" s="84"/>
      <c r="AM15" s="144"/>
      <c r="AN15" s="84"/>
      <c r="AO15" s="144"/>
      <c r="AP15" s="84"/>
      <c r="AQ15" s="144"/>
      <c r="AR15" s="84"/>
      <c r="AS15" s="144"/>
      <c r="AT15" s="84"/>
      <c r="AU15" s="144"/>
      <c r="AV15" s="84"/>
    </row>
    <row r="16" spans="1:48" s="99" customFormat="1" x14ac:dyDescent="0.25">
      <c r="A16" s="128"/>
      <c r="B16" s="2"/>
      <c r="C16" s="2"/>
      <c r="AH16" s="19"/>
      <c r="AI16" s="84"/>
      <c r="AJ16" s="156"/>
      <c r="AK16" s="156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</row>
    <row r="17" spans="1:48" s="99" customFormat="1" x14ac:dyDescent="0.25">
      <c r="A17" s="128">
        <v>3</v>
      </c>
      <c r="B17" s="2"/>
      <c r="C17" s="2" t="s">
        <v>416</v>
      </c>
      <c r="D17" s="22">
        <f>SUM(F17:L17)</f>
        <v>-17452.974556718505</v>
      </c>
      <c r="F17" s="22">
        <v>-17452.974556718505</v>
      </c>
      <c r="G17" s="22"/>
      <c r="H17" s="22">
        <v>0</v>
      </c>
      <c r="I17" s="22"/>
      <c r="J17" s="22">
        <v>0</v>
      </c>
      <c r="K17" s="22"/>
      <c r="L17" s="22">
        <v>0</v>
      </c>
      <c r="AH17" s="19"/>
      <c r="AI17" s="84"/>
      <c r="AJ17" s="56"/>
      <c r="AK17" s="155"/>
      <c r="AL17" s="84"/>
      <c r="AM17" s="30"/>
      <c r="AN17" s="84"/>
      <c r="AO17" s="30"/>
      <c r="AP17" s="30"/>
      <c r="AQ17" s="30"/>
      <c r="AR17" s="30"/>
      <c r="AS17" s="30"/>
      <c r="AT17" s="30"/>
      <c r="AU17" s="30"/>
      <c r="AV17" s="84"/>
    </row>
    <row r="18" spans="1:48" s="99" customFormat="1" x14ac:dyDescent="0.25">
      <c r="A18" s="128">
        <v>4</v>
      </c>
      <c r="B18" s="2" t="s">
        <v>358</v>
      </c>
      <c r="C18" s="2"/>
      <c r="D18" s="34">
        <f>SUM(F18:L18)</f>
        <v>1</v>
      </c>
      <c r="F18" s="34">
        <f>IFERROR(F17/$D17,0)</f>
        <v>1</v>
      </c>
      <c r="H18" s="34">
        <f>IFERROR(H17/$D17,0)</f>
        <v>0</v>
      </c>
      <c r="J18" s="34">
        <f>IFERROR(J17/$D17,0)</f>
        <v>0</v>
      </c>
      <c r="L18" s="34">
        <f>IFERROR(L17/$D17,0)</f>
        <v>0</v>
      </c>
      <c r="AH18" s="19"/>
      <c r="AI18" s="84"/>
      <c r="AJ18" s="56"/>
      <c r="AK18" s="155"/>
      <c r="AL18" s="84"/>
      <c r="AM18" s="144"/>
      <c r="AN18" s="84"/>
      <c r="AO18" s="144"/>
      <c r="AP18" s="84"/>
      <c r="AQ18" s="144"/>
      <c r="AR18" s="84"/>
      <c r="AS18" s="144"/>
      <c r="AT18" s="84"/>
      <c r="AU18" s="144"/>
      <c r="AV18" s="84"/>
    </row>
    <row r="19" spans="1:48" s="99" customFormat="1" x14ac:dyDescent="0.25">
      <c r="A19" s="128"/>
      <c r="B19" s="2"/>
      <c r="C19" s="2"/>
      <c r="AH19" s="19"/>
      <c r="AI19" s="84"/>
      <c r="AJ19" s="156"/>
      <c r="AK19" s="156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</row>
    <row r="20" spans="1:48" s="99" customFormat="1" x14ac:dyDescent="0.25">
      <c r="A20" s="128">
        <v>5</v>
      </c>
      <c r="B20" s="2"/>
      <c r="C20" s="2" t="s">
        <v>416</v>
      </c>
      <c r="D20" s="22">
        <f>SUM(F20:L20)</f>
        <v>7.3027000000000006</v>
      </c>
      <c r="F20" s="22">
        <v>7.3027000000000006</v>
      </c>
      <c r="G20" s="22"/>
      <c r="H20" s="22">
        <v>0</v>
      </c>
      <c r="I20" s="22"/>
      <c r="J20" s="22">
        <v>0</v>
      </c>
      <c r="K20" s="22"/>
      <c r="L20" s="22">
        <v>0</v>
      </c>
      <c r="AH20" s="19"/>
      <c r="AI20" s="84"/>
      <c r="AJ20" s="56"/>
      <c r="AK20" s="155"/>
      <c r="AL20" s="84"/>
      <c r="AM20" s="30"/>
      <c r="AN20" s="84"/>
      <c r="AO20" s="30"/>
      <c r="AP20" s="30"/>
      <c r="AQ20" s="30"/>
      <c r="AR20" s="30"/>
      <c r="AS20" s="30"/>
      <c r="AT20" s="30"/>
      <c r="AU20" s="30"/>
      <c r="AV20" s="84"/>
    </row>
    <row r="21" spans="1:48" s="99" customFormat="1" ht="14.5" x14ac:dyDescent="0.35">
      <c r="A21" s="128">
        <v>6</v>
      </c>
      <c r="B21" s="153" t="s">
        <v>301</v>
      </c>
      <c r="C21" s="2"/>
      <c r="D21" s="34">
        <f>SUM(F21:L21)</f>
        <v>1</v>
      </c>
      <c r="F21" s="34">
        <f>IFERROR(F20/$D20,0)</f>
        <v>1</v>
      </c>
      <c r="H21" s="34">
        <f>IFERROR(H20/$D20,0)</f>
        <v>0</v>
      </c>
      <c r="J21" s="34">
        <f>IFERROR(J20/$D20,0)</f>
        <v>0</v>
      </c>
      <c r="L21" s="34">
        <f>IFERROR(L20/$D20,0)</f>
        <v>0</v>
      </c>
      <c r="AH21" s="19"/>
      <c r="AI21" s="84"/>
      <c r="AJ21" s="56"/>
      <c r="AK21" s="155"/>
      <c r="AL21" s="84"/>
      <c r="AM21" s="144"/>
      <c r="AN21" s="84"/>
      <c r="AO21" s="144"/>
      <c r="AP21" s="84"/>
      <c r="AQ21" s="144"/>
      <c r="AR21" s="84"/>
      <c r="AS21" s="144"/>
      <c r="AT21" s="84"/>
      <c r="AU21" s="144"/>
      <c r="AV21" s="84"/>
    </row>
    <row r="22" spans="1:48" s="99" customFormat="1" ht="14.5" x14ac:dyDescent="0.35">
      <c r="A22" s="128"/>
      <c r="B22" s="2"/>
      <c r="C22" s="2"/>
      <c r="D22" s="98"/>
      <c r="AH22" s="19"/>
      <c r="AI22" s="84"/>
      <c r="AJ22" s="157"/>
      <c r="AK22" s="156"/>
      <c r="AL22" s="84"/>
      <c r="AM22" s="93"/>
      <c r="AN22" s="84"/>
      <c r="AO22" s="84"/>
      <c r="AP22" s="84"/>
      <c r="AQ22" s="84"/>
      <c r="AR22" s="84"/>
      <c r="AS22" s="84"/>
      <c r="AT22" s="84"/>
      <c r="AU22" s="84"/>
      <c r="AV22" s="84"/>
    </row>
    <row r="23" spans="1:48" s="99" customFormat="1" x14ac:dyDescent="0.25">
      <c r="A23" s="128">
        <v>7</v>
      </c>
      <c r="B23" s="2"/>
      <c r="C23" s="2" t="s">
        <v>417</v>
      </c>
      <c r="D23" s="22">
        <f ca="1">SUM(F23:L23)</f>
        <v>1640.1810497976596</v>
      </c>
      <c r="F23" s="22">
        <f ca="1">'Storage Class'!F124</f>
        <v>1640.1810497976596</v>
      </c>
      <c r="G23" s="22"/>
      <c r="H23" s="22">
        <v>0</v>
      </c>
      <c r="I23" s="22"/>
      <c r="J23" s="22">
        <v>0</v>
      </c>
      <c r="K23" s="22"/>
      <c r="L23" s="22">
        <v>0</v>
      </c>
      <c r="AH23" s="19"/>
      <c r="AI23" s="84"/>
      <c r="AJ23" s="56"/>
      <c r="AK23" s="155"/>
      <c r="AL23" s="84"/>
      <c r="AM23" s="30"/>
      <c r="AN23" s="84"/>
      <c r="AO23" s="30"/>
      <c r="AP23" s="30"/>
      <c r="AQ23" s="30"/>
      <c r="AR23" s="30"/>
      <c r="AS23" s="30"/>
      <c r="AT23" s="30"/>
      <c r="AU23" s="30"/>
      <c r="AV23" s="84"/>
    </row>
    <row r="24" spans="1:48" s="99" customFormat="1" x14ac:dyDescent="0.25">
      <c r="A24" s="128">
        <v>8</v>
      </c>
      <c r="B24" s="2" t="s">
        <v>305</v>
      </c>
      <c r="C24" s="2"/>
      <c r="D24" s="34">
        <f ca="1">SUM(F24:L24)</f>
        <v>1</v>
      </c>
      <c r="F24" s="34">
        <f ca="1">IFERROR(F23/$D23,0)</f>
        <v>1</v>
      </c>
      <c r="H24" s="34">
        <f ca="1">IFERROR(H23/$D23,0)</f>
        <v>0</v>
      </c>
      <c r="J24" s="34">
        <f ca="1">IFERROR(J23/$D23,0)</f>
        <v>0</v>
      </c>
      <c r="L24" s="34">
        <f ca="1">IFERROR(L23/$D23,0)</f>
        <v>0</v>
      </c>
      <c r="AH24" s="19"/>
      <c r="AI24" s="84"/>
      <c r="AJ24" s="56"/>
      <c r="AK24" s="156"/>
      <c r="AL24" s="84"/>
      <c r="AM24" s="144"/>
      <c r="AN24" s="84"/>
      <c r="AO24" s="144"/>
      <c r="AP24" s="84"/>
      <c r="AQ24" s="144"/>
      <c r="AR24" s="84"/>
      <c r="AS24" s="144"/>
      <c r="AT24" s="84"/>
      <c r="AU24" s="144"/>
      <c r="AV24" s="84"/>
    </row>
    <row r="25" spans="1:48" s="99" customFormat="1" x14ac:dyDescent="0.25">
      <c r="A25" s="128"/>
      <c r="B25" s="2"/>
      <c r="C25" s="2"/>
      <c r="AH25" s="19"/>
      <c r="AI25" s="84"/>
      <c r="AJ25" s="156"/>
      <c r="AK25" s="156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</row>
    <row r="26" spans="1:48" s="99" customFormat="1" x14ac:dyDescent="0.25">
      <c r="A26" s="128">
        <v>9</v>
      </c>
      <c r="B26" s="2"/>
      <c r="C26" s="2" t="s">
        <v>416</v>
      </c>
      <c r="D26" s="22">
        <f>SUM(F26:L26)</f>
        <v>8437.2249179863848</v>
      </c>
      <c r="F26" s="22">
        <v>8437.2249179863848</v>
      </c>
      <c r="G26" s="22"/>
      <c r="H26" s="22">
        <v>0</v>
      </c>
      <c r="I26" s="22"/>
      <c r="J26" s="22">
        <v>0</v>
      </c>
      <c r="K26" s="22"/>
      <c r="L26" s="22">
        <v>0</v>
      </c>
      <c r="AH26" s="19"/>
      <c r="AI26" s="84"/>
      <c r="AJ26" s="56"/>
      <c r="AK26" s="155"/>
      <c r="AL26" s="84"/>
      <c r="AM26" s="30"/>
      <c r="AN26" s="84"/>
      <c r="AO26" s="30"/>
      <c r="AP26" s="30"/>
      <c r="AQ26" s="30"/>
      <c r="AR26" s="30"/>
      <c r="AS26" s="30"/>
      <c r="AT26" s="30"/>
      <c r="AU26" s="30"/>
      <c r="AV26" s="84"/>
    </row>
    <row r="27" spans="1:48" s="99" customFormat="1" x14ac:dyDescent="0.25">
      <c r="A27" s="128">
        <v>10</v>
      </c>
      <c r="B27" s="2" t="s">
        <v>359</v>
      </c>
      <c r="C27" s="2"/>
      <c r="D27" s="34">
        <f>SUM(F27:L27)</f>
        <v>1</v>
      </c>
      <c r="F27" s="34">
        <f>IFERROR(F26/$D26,0)</f>
        <v>1</v>
      </c>
      <c r="H27" s="34">
        <f>IFERROR(H26/$D26,0)</f>
        <v>0</v>
      </c>
      <c r="J27" s="34">
        <f>IFERROR(J26/$D26,0)</f>
        <v>0</v>
      </c>
      <c r="L27" s="34">
        <f>IFERROR(L26/$D26,0)</f>
        <v>0</v>
      </c>
      <c r="AH27" s="19"/>
      <c r="AI27" s="84"/>
      <c r="AJ27" s="56"/>
      <c r="AK27" s="155"/>
      <c r="AL27" s="84"/>
      <c r="AM27" s="144"/>
      <c r="AN27" s="84"/>
      <c r="AO27" s="144"/>
      <c r="AP27" s="84"/>
      <c r="AQ27" s="144"/>
      <c r="AR27" s="84"/>
      <c r="AS27" s="144"/>
      <c r="AT27" s="84"/>
      <c r="AU27" s="144"/>
      <c r="AV27" s="84"/>
    </row>
    <row r="28" spans="1:48" s="99" customFormat="1" x14ac:dyDescent="0.25">
      <c r="A28" s="128"/>
      <c r="B28" s="2"/>
      <c r="C28" s="2"/>
      <c r="AH28" s="19"/>
      <c r="AI28" s="84"/>
      <c r="AJ28" s="156"/>
      <c r="AK28" s="156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</row>
    <row r="29" spans="1:48" s="99" customFormat="1" x14ac:dyDescent="0.25">
      <c r="A29" s="128">
        <v>11</v>
      </c>
      <c r="B29" s="2"/>
      <c r="C29" s="2" t="s">
        <v>416</v>
      </c>
      <c r="D29" s="22">
        <f>SUM(F29:L29)</f>
        <v>-3182.3723924816295</v>
      </c>
      <c r="F29" s="22">
        <v>-3182.3723924816295</v>
      </c>
      <c r="G29" s="22"/>
      <c r="H29" s="22">
        <v>0</v>
      </c>
      <c r="I29" s="22"/>
      <c r="J29" s="22">
        <v>0</v>
      </c>
      <c r="K29" s="22"/>
      <c r="L29" s="22">
        <v>0</v>
      </c>
      <c r="AH29" s="19"/>
      <c r="AI29" s="84"/>
      <c r="AJ29" s="56"/>
      <c r="AK29" s="155"/>
      <c r="AL29" s="84"/>
      <c r="AM29" s="30"/>
      <c r="AN29" s="84"/>
      <c r="AO29" s="30"/>
      <c r="AP29" s="30"/>
      <c r="AQ29" s="30"/>
      <c r="AR29" s="30"/>
      <c r="AS29" s="30"/>
      <c r="AT29" s="30"/>
      <c r="AU29" s="30"/>
      <c r="AV29" s="84"/>
    </row>
    <row r="30" spans="1:48" s="99" customFormat="1" x14ac:dyDescent="0.25">
      <c r="A30" s="128">
        <v>12</v>
      </c>
      <c r="B30" s="2" t="s">
        <v>360</v>
      </c>
      <c r="C30" s="2"/>
      <c r="D30" s="34">
        <f>SUM(F30:L30)</f>
        <v>1</v>
      </c>
      <c r="F30" s="34">
        <f>IFERROR(F29/$D29,0)</f>
        <v>1</v>
      </c>
      <c r="H30" s="34">
        <f>IFERROR(H29/$D29,0)</f>
        <v>0</v>
      </c>
      <c r="J30" s="34">
        <f>IFERROR(J29/$D29,0)</f>
        <v>0</v>
      </c>
      <c r="L30" s="34">
        <f>IFERROR(L29/$D29,0)</f>
        <v>0</v>
      </c>
      <c r="AH30" s="19"/>
      <c r="AI30" s="84"/>
      <c r="AJ30" s="56"/>
      <c r="AK30" s="155"/>
      <c r="AL30" s="84"/>
      <c r="AM30" s="144"/>
      <c r="AN30" s="84"/>
      <c r="AO30" s="144"/>
      <c r="AP30" s="84"/>
      <c r="AQ30" s="144"/>
      <c r="AR30" s="84"/>
      <c r="AS30" s="144"/>
      <c r="AT30" s="84"/>
      <c r="AU30" s="144"/>
      <c r="AV30" s="84"/>
    </row>
    <row r="31" spans="1:48" s="99" customFormat="1" x14ac:dyDescent="0.25">
      <c r="A31" s="128"/>
      <c r="B31" s="2"/>
      <c r="C31" s="2"/>
      <c r="AH31" s="19"/>
      <c r="AI31" s="84"/>
      <c r="AJ31" s="156"/>
      <c r="AK31" s="156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</row>
    <row r="32" spans="1:48" s="99" customFormat="1" x14ac:dyDescent="0.25">
      <c r="A32" s="128">
        <v>13</v>
      </c>
      <c r="B32" s="2"/>
      <c r="C32" s="2" t="s">
        <v>416</v>
      </c>
      <c r="D32" s="22">
        <f>SUM(F32:L32)</f>
        <v>700.84706149023225</v>
      </c>
      <c r="F32" s="22">
        <v>0</v>
      </c>
      <c r="G32" s="22"/>
      <c r="H32" s="22">
        <v>0</v>
      </c>
      <c r="I32" s="22"/>
      <c r="J32" s="22">
        <v>0</v>
      </c>
      <c r="K32" s="22"/>
      <c r="L32" s="22">
        <v>700.84706149023225</v>
      </c>
      <c r="AH32" s="19"/>
      <c r="AI32" s="84"/>
      <c r="AJ32" s="56"/>
      <c r="AK32" s="155"/>
      <c r="AL32" s="84"/>
      <c r="AM32" s="30"/>
      <c r="AN32" s="84"/>
      <c r="AO32" s="30"/>
      <c r="AP32" s="30"/>
      <c r="AQ32" s="30"/>
      <c r="AR32" s="30"/>
      <c r="AS32" s="30"/>
      <c r="AT32" s="30"/>
      <c r="AU32" s="30"/>
      <c r="AV32" s="84"/>
    </row>
    <row r="33" spans="1:48" s="99" customFormat="1" x14ac:dyDescent="0.25">
      <c r="A33" s="128">
        <v>14</v>
      </c>
      <c r="B33" s="2" t="s">
        <v>240</v>
      </c>
      <c r="C33" s="2"/>
      <c r="D33" s="34">
        <f>SUM(F33:L33)</f>
        <v>1</v>
      </c>
      <c r="F33" s="34">
        <f>IFERROR(F32/$D32,0)</f>
        <v>0</v>
      </c>
      <c r="H33" s="34">
        <f>IFERROR(H32/$D32,0)</f>
        <v>0</v>
      </c>
      <c r="J33" s="34">
        <f>IFERROR(J32/$D32,0)</f>
        <v>0</v>
      </c>
      <c r="L33" s="34">
        <f>IFERROR(L32/$D32,0)</f>
        <v>1</v>
      </c>
      <c r="AH33" s="19"/>
      <c r="AI33" s="84"/>
      <c r="AJ33" s="56"/>
      <c r="AK33" s="156"/>
      <c r="AL33" s="84"/>
      <c r="AM33" s="144"/>
      <c r="AN33" s="84"/>
      <c r="AO33" s="144"/>
      <c r="AP33" s="84"/>
      <c r="AQ33" s="144"/>
      <c r="AR33" s="84"/>
      <c r="AS33" s="144"/>
      <c r="AT33" s="84"/>
      <c r="AU33" s="144"/>
      <c r="AV33" s="84"/>
    </row>
    <row r="34" spans="1:48" s="99" customFormat="1" x14ac:dyDescent="0.25">
      <c r="A34" s="128"/>
      <c r="B34" s="2"/>
      <c r="C34" s="2"/>
      <c r="D34" s="34"/>
      <c r="F34" s="34"/>
      <c r="H34" s="34"/>
      <c r="J34" s="34"/>
      <c r="L34" s="34"/>
      <c r="AH34" s="19"/>
      <c r="AI34" s="84"/>
      <c r="AJ34" s="56"/>
      <c r="AK34" s="156"/>
      <c r="AL34" s="84"/>
      <c r="AM34" s="144"/>
      <c r="AN34" s="84"/>
      <c r="AO34" s="144"/>
      <c r="AP34" s="84"/>
      <c r="AQ34" s="144"/>
      <c r="AR34" s="84"/>
      <c r="AS34" s="144"/>
      <c r="AT34" s="84"/>
      <c r="AU34" s="144"/>
      <c r="AV34" s="84"/>
    </row>
    <row r="35" spans="1:48" s="99" customFormat="1" x14ac:dyDescent="0.25">
      <c r="A35" s="128">
        <v>15</v>
      </c>
      <c r="B35" s="2"/>
      <c r="C35" s="2" t="s">
        <v>416</v>
      </c>
      <c r="D35" s="22">
        <f>SUM(F35:L35)</f>
        <v>100</v>
      </c>
      <c r="E35" s="14"/>
      <c r="F35" s="134">
        <v>50</v>
      </c>
      <c r="G35" s="134"/>
      <c r="H35" s="134">
        <v>46.087614707589566</v>
      </c>
      <c r="I35" s="134"/>
      <c r="J35" s="134">
        <v>3.9123852924104372</v>
      </c>
      <c r="K35" s="134"/>
      <c r="L35" s="134">
        <v>0</v>
      </c>
      <c r="AH35" s="19"/>
      <c r="AI35" s="84"/>
      <c r="AJ35" s="56"/>
      <c r="AK35" s="155"/>
      <c r="AL35" s="84"/>
      <c r="AM35" s="30"/>
      <c r="AN35" s="158"/>
      <c r="AO35" s="32"/>
      <c r="AP35" s="32"/>
      <c r="AQ35" s="32"/>
      <c r="AR35" s="32"/>
      <c r="AS35" s="32"/>
      <c r="AT35" s="32"/>
      <c r="AU35" s="32"/>
      <c r="AV35" s="84"/>
    </row>
    <row r="36" spans="1:48" s="99" customFormat="1" x14ac:dyDescent="0.25">
      <c r="A36" s="128">
        <v>16</v>
      </c>
      <c r="B36" s="2" t="s">
        <v>395</v>
      </c>
      <c r="C36" s="2"/>
      <c r="D36" s="34">
        <f>SUM(F36:L36)</f>
        <v>1</v>
      </c>
      <c r="F36" s="34">
        <f>IFERROR(F35/$D35,0)</f>
        <v>0.5</v>
      </c>
      <c r="H36" s="34">
        <f>IFERROR(H35/$D35,0)</f>
        <v>0.46087614707589564</v>
      </c>
      <c r="J36" s="34">
        <f>IFERROR(J35/$D35,0)</f>
        <v>3.912385292410437E-2</v>
      </c>
      <c r="L36" s="34">
        <f>IFERROR(L35/$D35,0)</f>
        <v>0</v>
      </c>
      <c r="V36" s="119"/>
      <c r="W36" s="119"/>
      <c r="X36" s="97"/>
      <c r="Y36" s="1"/>
      <c r="Z36" s="1"/>
      <c r="AA36" s="1"/>
      <c r="AB36" s="1"/>
      <c r="AC36" s="1"/>
      <c r="AD36" s="1"/>
      <c r="AH36" s="19"/>
      <c r="AI36" s="84"/>
      <c r="AJ36" s="56"/>
      <c r="AK36" s="155"/>
      <c r="AL36" s="84"/>
      <c r="AM36" s="144"/>
      <c r="AN36" s="84"/>
      <c r="AO36" s="144"/>
      <c r="AP36" s="84"/>
      <c r="AQ36" s="144"/>
      <c r="AR36" s="84"/>
      <c r="AS36" s="144"/>
      <c r="AT36" s="84"/>
      <c r="AU36" s="144"/>
      <c r="AV36" s="84"/>
    </row>
    <row r="37" spans="1:48" s="99" customFormat="1" x14ac:dyDescent="0.25">
      <c r="A37" s="128"/>
      <c r="B37" s="2"/>
      <c r="C37" s="2"/>
      <c r="D37" s="149"/>
      <c r="F37" s="34"/>
      <c r="H37" s="34"/>
      <c r="J37" s="34"/>
      <c r="L37" s="34"/>
      <c r="AH37" s="19"/>
      <c r="AI37" s="84"/>
      <c r="AJ37" s="156"/>
      <c r="AK37" s="156"/>
      <c r="AL37" s="159"/>
      <c r="AM37" s="159"/>
      <c r="AN37" s="84"/>
      <c r="AO37" s="144"/>
      <c r="AP37" s="84"/>
      <c r="AQ37" s="144"/>
      <c r="AR37" s="84"/>
      <c r="AS37" s="144"/>
      <c r="AT37" s="84"/>
      <c r="AU37" s="144"/>
      <c r="AV37" s="84"/>
    </row>
    <row r="38" spans="1:48" s="99" customFormat="1" x14ac:dyDescent="0.25">
      <c r="A38" s="128">
        <v>17</v>
      </c>
      <c r="B38" s="2"/>
      <c r="C38" s="2" t="s">
        <v>417</v>
      </c>
      <c r="D38" s="22">
        <f>SUM(F38:L38)</f>
        <v>1</v>
      </c>
      <c r="E38" s="22"/>
      <c r="F38" s="22">
        <v>1</v>
      </c>
      <c r="G38" s="22"/>
      <c r="H38" s="22">
        <v>0</v>
      </c>
      <c r="I38" s="22"/>
      <c r="J38" s="22">
        <v>0</v>
      </c>
      <c r="K38" s="22"/>
      <c r="L38" s="22">
        <v>0</v>
      </c>
      <c r="AH38" s="19"/>
      <c r="AI38" s="84"/>
      <c r="AJ38" s="56"/>
      <c r="AK38" s="155"/>
      <c r="AL38" s="84"/>
      <c r="AM38" s="30"/>
      <c r="AN38" s="30"/>
      <c r="AO38" s="30"/>
      <c r="AP38" s="30"/>
      <c r="AQ38" s="30"/>
      <c r="AR38" s="30"/>
      <c r="AS38" s="30"/>
      <c r="AT38" s="30"/>
      <c r="AU38" s="30"/>
      <c r="AV38" s="84"/>
    </row>
    <row r="39" spans="1:48" s="99" customFormat="1" x14ac:dyDescent="0.25">
      <c r="A39" s="128">
        <v>18</v>
      </c>
      <c r="B39" s="2" t="s">
        <v>50</v>
      </c>
      <c r="C39" s="2"/>
      <c r="D39" s="34">
        <f>SUM(F39:L39)</f>
        <v>1</v>
      </c>
      <c r="F39" s="34">
        <f>IFERROR(F38/$D38,0)</f>
        <v>1</v>
      </c>
      <c r="H39" s="34">
        <f>IFERROR(H38/$D38,0)</f>
        <v>0</v>
      </c>
      <c r="J39" s="34">
        <f>IFERROR(J38/$D38,0)</f>
        <v>0</v>
      </c>
      <c r="L39" s="34">
        <f>IFERROR(L38/$D38,0)</f>
        <v>0</v>
      </c>
      <c r="AH39" s="19"/>
      <c r="AI39" s="84"/>
      <c r="AJ39" s="56"/>
      <c r="AK39" s="156"/>
      <c r="AL39" s="84"/>
      <c r="AM39" s="144"/>
      <c r="AN39" s="84"/>
      <c r="AO39" s="144"/>
      <c r="AP39" s="84"/>
      <c r="AQ39" s="144"/>
      <c r="AR39" s="84"/>
      <c r="AS39" s="144"/>
      <c r="AT39" s="84"/>
      <c r="AU39" s="144"/>
      <c r="AV39" s="84"/>
    </row>
    <row r="40" spans="1:48" s="99" customFormat="1" x14ac:dyDescent="0.25">
      <c r="A40" s="128"/>
      <c r="B40" s="2"/>
      <c r="C40" s="2"/>
      <c r="AH40" s="19"/>
      <c r="AI40" s="84"/>
      <c r="AJ40" s="156"/>
      <c r="AK40" s="156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</row>
    <row r="41" spans="1:48" s="99" customFormat="1" x14ac:dyDescent="0.25">
      <c r="A41" s="128">
        <v>19</v>
      </c>
      <c r="B41" s="2"/>
      <c r="C41" s="2" t="s">
        <v>416</v>
      </c>
      <c r="D41" s="22">
        <f>SUM(F41:L41)</f>
        <v>648411.24997650366</v>
      </c>
      <c r="F41" s="22">
        <v>0</v>
      </c>
      <c r="G41" s="22"/>
      <c r="H41" s="22">
        <v>591069.21767275734</v>
      </c>
      <c r="I41" s="22"/>
      <c r="J41" s="22">
        <v>57342.03230374628</v>
      </c>
      <c r="K41" s="22"/>
      <c r="L41" s="22">
        <v>0</v>
      </c>
      <c r="AH41" s="19"/>
      <c r="AI41" s="84"/>
      <c r="AJ41" s="56"/>
      <c r="AK41" s="155"/>
      <c r="AL41" s="84"/>
      <c r="AM41" s="30"/>
      <c r="AN41" s="84"/>
      <c r="AO41" s="30"/>
      <c r="AP41" s="30"/>
      <c r="AQ41" s="30"/>
      <c r="AR41" s="30"/>
      <c r="AS41" s="30"/>
      <c r="AT41" s="30"/>
      <c r="AU41" s="30"/>
      <c r="AV41" s="84"/>
    </row>
    <row r="42" spans="1:48" s="99" customFormat="1" x14ac:dyDescent="0.25">
      <c r="A42" s="128">
        <v>20</v>
      </c>
      <c r="B42" s="2" t="s">
        <v>299</v>
      </c>
      <c r="C42" s="2"/>
      <c r="D42" s="34">
        <f>SUM(F42:L42)</f>
        <v>1</v>
      </c>
      <c r="F42" s="34">
        <f>IFERROR(F41/$D41,0)</f>
        <v>0</v>
      </c>
      <c r="G42" s="22"/>
      <c r="H42" s="34">
        <f>IFERROR(H41/$D41,0)</f>
        <v>0.9115653340286366</v>
      </c>
      <c r="I42" s="22"/>
      <c r="J42" s="34">
        <f>IFERROR(J41/$D41,0)</f>
        <v>8.8434665971363347E-2</v>
      </c>
      <c r="L42" s="34">
        <f>IFERROR(L41/$D41,0)</f>
        <v>0</v>
      </c>
      <c r="AH42" s="19"/>
      <c r="AI42" s="84"/>
      <c r="AJ42" s="56"/>
      <c r="AK42" s="155"/>
      <c r="AL42" s="84"/>
      <c r="AM42" s="144"/>
      <c r="AN42" s="84"/>
      <c r="AO42" s="144"/>
      <c r="AP42" s="30"/>
      <c r="AQ42" s="144"/>
      <c r="AR42" s="30"/>
      <c r="AS42" s="144"/>
      <c r="AT42" s="84"/>
      <c r="AU42" s="144"/>
      <c r="AV42" s="84"/>
    </row>
    <row r="43" spans="1:48" s="99" customFormat="1" x14ac:dyDescent="0.25">
      <c r="A43" s="128"/>
      <c r="B43" s="2"/>
      <c r="C43" s="2"/>
      <c r="D43" s="22"/>
      <c r="F43" s="22"/>
      <c r="G43" s="22"/>
      <c r="H43" s="22"/>
      <c r="I43" s="22"/>
      <c r="J43" s="22"/>
      <c r="L43" s="22"/>
      <c r="AH43" s="19"/>
      <c r="AI43" s="84"/>
      <c r="AJ43" s="56"/>
      <c r="AK43" s="156"/>
      <c r="AL43" s="84"/>
      <c r="AM43" s="30"/>
      <c r="AN43" s="84"/>
      <c r="AO43" s="30"/>
      <c r="AP43" s="30"/>
      <c r="AQ43" s="30"/>
      <c r="AR43" s="30"/>
      <c r="AS43" s="30"/>
      <c r="AT43" s="84"/>
      <c r="AU43" s="30"/>
      <c r="AV43" s="84"/>
    </row>
    <row r="44" spans="1:48" s="99" customFormat="1" x14ac:dyDescent="0.25">
      <c r="A44" s="128">
        <v>21</v>
      </c>
      <c r="B44" s="2"/>
      <c r="C44" s="2" t="s">
        <v>417</v>
      </c>
      <c r="D44" s="22">
        <f ca="1">SUM(F44:L44)</f>
        <v>656513.92106796801</v>
      </c>
      <c r="F44" s="22">
        <f ca="1">'Storage Class'!P75-'Storage Class'!P74-'Storage Class'!P70</f>
        <v>493259.05734751967</v>
      </c>
      <c r="G44" s="22"/>
      <c r="H44" s="22">
        <f ca="1">'Storage Class'!R75-'Storage Class'!R74-'Storage Class'!R70</f>
        <v>163254.86372044834</v>
      </c>
      <c r="I44" s="22"/>
      <c r="J44" s="22">
        <v>0</v>
      </c>
      <c r="K44" s="22"/>
      <c r="L44" s="22">
        <v>0</v>
      </c>
      <c r="AH44" s="19"/>
      <c r="AI44" s="84"/>
      <c r="AJ44" s="56"/>
      <c r="AK44" s="155"/>
      <c r="AL44" s="84"/>
      <c r="AM44" s="30"/>
      <c r="AN44" s="84"/>
      <c r="AO44" s="30"/>
      <c r="AP44" s="30"/>
      <c r="AQ44" s="30"/>
      <c r="AR44" s="30"/>
      <c r="AS44" s="30"/>
      <c r="AT44" s="30"/>
      <c r="AU44" s="30"/>
      <c r="AV44" s="84"/>
    </row>
    <row r="45" spans="1:48" s="99" customFormat="1" x14ac:dyDescent="0.25">
      <c r="A45" s="128">
        <v>22</v>
      </c>
      <c r="B45" s="2" t="s">
        <v>241</v>
      </c>
      <c r="C45" s="2"/>
      <c r="D45" s="34">
        <f ca="1">SUM(F45:L45)</f>
        <v>1</v>
      </c>
      <c r="F45" s="34">
        <f ca="1">IFERROR(F44/$D44,0)</f>
        <v>0.75133069005623299</v>
      </c>
      <c r="H45" s="34">
        <f ca="1">IFERROR(H44/$D44,0)</f>
        <v>0.24866930994376701</v>
      </c>
      <c r="J45" s="34">
        <f ca="1">IFERROR(J44/$D44,0)</f>
        <v>0</v>
      </c>
      <c r="L45" s="34">
        <f ca="1">IFERROR(L44/$D44,0)</f>
        <v>0</v>
      </c>
      <c r="AH45" s="19"/>
      <c r="AI45" s="84"/>
      <c r="AJ45" s="56"/>
      <c r="AK45" s="156"/>
      <c r="AL45" s="84"/>
      <c r="AM45" s="144"/>
      <c r="AN45" s="84"/>
      <c r="AO45" s="144"/>
      <c r="AP45" s="84"/>
      <c r="AQ45" s="144"/>
      <c r="AR45" s="84"/>
      <c r="AS45" s="144"/>
      <c r="AT45" s="84"/>
      <c r="AU45" s="144"/>
      <c r="AV45" s="84"/>
    </row>
    <row r="46" spans="1:48" s="99" customFormat="1" x14ac:dyDescent="0.25">
      <c r="A46" s="128"/>
      <c r="B46" s="2"/>
      <c r="C46" s="2"/>
      <c r="D46" s="22"/>
      <c r="F46" s="22"/>
      <c r="G46" s="22"/>
      <c r="H46" s="22"/>
      <c r="I46" s="22"/>
      <c r="J46" s="22"/>
      <c r="L46" s="22"/>
      <c r="AH46" s="19"/>
      <c r="AI46" s="84"/>
      <c r="AJ46" s="56"/>
      <c r="AK46" s="156"/>
      <c r="AL46" s="84"/>
      <c r="AM46" s="30"/>
      <c r="AN46" s="84"/>
      <c r="AO46" s="30"/>
      <c r="AP46" s="30"/>
      <c r="AQ46" s="30"/>
      <c r="AR46" s="30"/>
      <c r="AS46" s="30"/>
      <c r="AT46" s="84"/>
      <c r="AU46" s="30"/>
      <c r="AV46" s="84"/>
    </row>
    <row r="47" spans="1:48" s="99" customFormat="1" x14ac:dyDescent="0.25">
      <c r="A47" s="128">
        <v>23</v>
      </c>
      <c r="B47" s="2"/>
      <c r="C47" s="2" t="s">
        <v>417</v>
      </c>
      <c r="D47" s="134">
        <f>SUM(F47:L47)</f>
        <v>100</v>
      </c>
      <c r="E47" s="134"/>
      <c r="F47" s="134">
        <v>0</v>
      </c>
      <c r="G47" s="134"/>
      <c r="H47" s="134">
        <f>H35/SUM($H$35:$J$35)*100</f>
        <v>92.175229415179132</v>
      </c>
      <c r="I47" s="134"/>
      <c r="J47" s="134">
        <f>J35/SUM($H$35:$J$35)*100</f>
        <v>7.8247705848208744</v>
      </c>
      <c r="K47" s="134"/>
      <c r="L47" s="134">
        <v>0</v>
      </c>
      <c r="AH47" s="19"/>
      <c r="AI47" s="84"/>
      <c r="AJ47" s="56"/>
      <c r="AK47" s="155"/>
      <c r="AL47" s="84"/>
      <c r="AM47" s="32"/>
      <c r="AN47" s="32"/>
      <c r="AO47" s="32"/>
      <c r="AP47" s="32"/>
      <c r="AQ47" s="32"/>
      <c r="AR47" s="32"/>
      <c r="AS47" s="32"/>
      <c r="AT47" s="32"/>
      <c r="AU47" s="32"/>
      <c r="AV47" s="84"/>
    </row>
    <row r="48" spans="1:48" s="99" customFormat="1" x14ac:dyDescent="0.25">
      <c r="A48" s="128">
        <v>24</v>
      </c>
      <c r="B48" s="2" t="s">
        <v>396</v>
      </c>
      <c r="C48" s="2"/>
      <c r="D48" s="34">
        <f>SUM(F48:L48)</f>
        <v>1</v>
      </c>
      <c r="F48" s="34">
        <f>IFERROR(F47/$D47,0)</f>
        <v>0</v>
      </c>
      <c r="H48" s="34">
        <f>IFERROR(H47/$D47,0)</f>
        <v>0.92175229415179127</v>
      </c>
      <c r="J48" s="34">
        <f>IFERROR(J47/$D47,0)</f>
        <v>7.824770584820874E-2</v>
      </c>
      <c r="L48" s="34">
        <f>IFERROR(L47/$D47,0)</f>
        <v>0</v>
      </c>
      <c r="V48" s="1"/>
      <c r="W48" s="1"/>
      <c r="X48" s="1"/>
      <c r="Y48" s="1"/>
      <c r="Z48" s="1"/>
      <c r="AA48" s="1"/>
      <c r="AB48" s="1"/>
      <c r="AC48" s="1"/>
      <c r="AD48" s="1"/>
      <c r="AH48" s="19"/>
      <c r="AI48" s="84"/>
      <c r="AJ48" s="56"/>
      <c r="AK48" s="156"/>
      <c r="AL48" s="84"/>
      <c r="AM48" s="144"/>
      <c r="AN48" s="84"/>
      <c r="AO48" s="144"/>
      <c r="AP48" s="84"/>
      <c r="AQ48" s="144"/>
      <c r="AR48" s="84"/>
      <c r="AS48" s="144"/>
      <c r="AT48" s="84"/>
      <c r="AU48" s="144"/>
      <c r="AV48" s="84"/>
    </row>
    <row r="49" spans="1:48" s="99" customFormat="1" x14ac:dyDescent="0.25">
      <c r="A49" s="128"/>
      <c r="B49" s="2"/>
      <c r="C49" s="2"/>
      <c r="V49" s="1"/>
      <c r="W49" s="1"/>
      <c r="X49" s="1"/>
      <c r="Y49" s="1"/>
      <c r="Z49" s="1"/>
      <c r="AA49" s="1"/>
      <c r="AB49" s="1"/>
      <c r="AC49" s="1"/>
      <c r="AD49" s="1"/>
      <c r="AH49" s="19"/>
      <c r="AI49" s="84"/>
      <c r="AJ49" s="156"/>
      <c r="AK49" s="156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</row>
    <row r="50" spans="1:48" s="99" customFormat="1" x14ac:dyDescent="0.25">
      <c r="A50" s="128">
        <v>25</v>
      </c>
      <c r="B50" s="2"/>
      <c r="C50" s="2" t="s">
        <v>417</v>
      </c>
      <c r="D50" s="22">
        <f>SUM(F50:L50)</f>
        <v>1</v>
      </c>
      <c r="F50" s="22">
        <v>0</v>
      </c>
      <c r="G50" s="22"/>
      <c r="H50" s="22">
        <v>0</v>
      </c>
      <c r="I50" s="22"/>
      <c r="J50" s="22">
        <v>0</v>
      </c>
      <c r="K50" s="22"/>
      <c r="L50" s="22">
        <v>1</v>
      </c>
      <c r="V50" s="1"/>
      <c r="W50" s="1"/>
      <c r="Y50" s="1"/>
      <c r="Z50" s="1"/>
      <c r="AA50" s="1"/>
      <c r="AB50" s="1"/>
      <c r="AC50" s="1"/>
      <c r="AD50" s="1"/>
      <c r="AH50" s="19"/>
      <c r="AI50" s="84"/>
      <c r="AJ50" s="56"/>
      <c r="AK50" s="155"/>
      <c r="AL50" s="84"/>
      <c r="AM50" s="30"/>
      <c r="AN50" s="84"/>
      <c r="AO50" s="30"/>
      <c r="AP50" s="30"/>
      <c r="AQ50" s="30"/>
      <c r="AR50" s="30"/>
      <c r="AS50" s="30"/>
      <c r="AT50" s="30"/>
      <c r="AU50" s="30"/>
      <c r="AV50" s="84"/>
    </row>
    <row r="51" spans="1:48" s="99" customFormat="1" x14ac:dyDescent="0.25">
      <c r="A51" s="128">
        <v>26</v>
      </c>
      <c r="B51" s="2" t="s">
        <v>292</v>
      </c>
      <c r="C51" s="2"/>
      <c r="D51" s="34">
        <f>SUM(F51:L51)</f>
        <v>1</v>
      </c>
      <c r="F51" s="34">
        <f>IFERROR(F50/$D50,0)</f>
        <v>0</v>
      </c>
      <c r="H51" s="34">
        <f>IFERROR(H50/$D50,0)</f>
        <v>0</v>
      </c>
      <c r="J51" s="34">
        <f>IFERROR(J50/$D50,0)</f>
        <v>0</v>
      </c>
      <c r="L51" s="34">
        <f>IFERROR(L50/$D50,0)</f>
        <v>1</v>
      </c>
      <c r="V51" s="1"/>
      <c r="W51" s="1"/>
      <c r="X51" s="1"/>
      <c r="Y51" s="1"/>
      <c r="Z51" s="1"/>
      <c r="AA51" s="1"/>
      <c r="AB51" s="1"/>
      <c r="AC51" s="1"/>
      <c r="AD51" s="1"/>
      <c r="AH51" s="19"/>
      <c r="AI51" s="84"/>
      <c r="AJ51" s="56"/>
      <c r="AK51" s="156"/>
      <c r="AL51" s="84"/>
      <c r="AM51" s="144"/>
      <c r="AN51" s="84"/>
      <c r="AO51" s="144"/>
      <c r="AP51" s="84"/>
      <c r="AQ51" s="144"/>
      <c r="AR51" s="84"/>
      <c r="AS51" s="144"/>
      <c r="AT51" s="84"/>
      <c r="AU51" s="144"/>
      <c r="AV51" s="84"/>
    </row>
    <row r="52" spans="1:48" s="99" customFormat="1" x14ac:dyDescent="0.25">
      <c r="A52" s="128"/>
      <c r="B52" s="2"/>
      <c r="C52" s="2"/>
      <c r="D52" s="34"/>
      <c r="F52" s="34"/>
      <c r="H52" s="34"/>
      <c r="J52" s="34"/>
      <c r="L52" s="34"/>
      <c r="V52" s="1"/>
      <c r="W52" s="1"/>
      <c r="X52" s="1"/>
      <c r="Y52" s="1"/>
      <c r="Z52" s="1"/>
      <c r="AA52" s="1"/>
      <c r="AB52" s="1"/>
      <c r="AC52" s="1"/>
      <c r="AD52" s="1"/>
      <c r="AH52" s="19"/>
      <c r="AI52" s="84"/>
      <c r="AJ52" s="156"/>
      <c r="AK52" s="156"/>
      <c r="AL52" s="84"/>
      <c r="AM52" s="144"/>
      <c r="AN52" s="84"/>
      <c r="AO52" s="144"/>
      <c r="AP52" s="84"/>
      <c r="AQ52" s="144"/>
      <c r="AR52" s="84"/>
      <c r="AS52" s="144"/>
      <c r="AT52" s="84"/>
      <c r="AU52" s="144"/>
      <c r="AV52" s="84"/>
    </row>
    <row r="53" spans="1:48" s="99" customFormat="1" x14ac:dyDescent="0.25">
      <c r="A53" s="128">
        <v>27</v>
      </c>
      <c r="B53" s="2"/>
      <c r="C53" s="2" t="s">
        <v>417</v>
      </c>
      <c r="D53" s="22">
        <f ca="1">SUM(F53:L53)</f>
        <v>30302.427119821805</v>
      </c>
      <c r="E53" s="14"/>
      <c r="F53" s="22">
        <f ca="1">'Storage Class'!AF31</f>
        <v>22769.488527016547</v>
      </c>
      <c r="G53" s="22"/>
      <c r="H53" s="22">
        <f ca="1">'Storage Class'!AH31</f>
        <v>6943.5034296228105</v>
      </c>
      <c r="I53" s="22"/>
      <c r="J53" s="22">
        <f ca="1">'Storage Class'!AJ31</f>
        <v>589.43516318244519</v>
      </c>
      <c r="K53" s="22"/>
      <c r="L53" s="22">
        <f ca="1">'Storage Class'!AL31</f>
        <v>0</v>
      </c>
      <c r="V53" s="1"/>
      <c r="W53" s="1"/>
      <c r="X53" s="1"/>
      <c r="Y53" s="1"/>
      <c r="Z53" s="1"/>
      <c r="AA53" s="1"/>
      <c r="AB53" s="1"/>
      <c r="AC53" s="1"/>
      <c r="AD53" s="1"/>
      <c r="AH53" s="19"/>
      <c r="AI53" s="84"/>
      <c r="AJ53" s="56"/>
      <c r="AK53" s="155"/>
      <c r="AL53" s="84"/>
      <c r="AM53" s="30"/>
      <c r="AN53" s="158"/>
      <c r="AO53" s="30"/>
      <c r="AP53" s="30"/>
      <c r="AQ53" s="30"/>
      <c r="AR53" s="30"/>
      <c r="AS53" s="30"/>
      <c r="AT53" s="30"/>
      <c r="AU53" s="30"/>
      <c r="AV53" s="84"/>
    </row>
    <row r="54" spans="1:48" s="99" customFormat="1" x14ac:dyDescent="0.25">
      <c r="A54" s="128">
        <v>28</v>
      </c>
      <c r="B54" s="2" t="s">
        <v>276</v>
      </c>
      <c r="C54" s="2"/>
      <c r="D54" s="34">
        <f ca="1">SUM(F54:L54)</f>
        <v>0.99999999999999989</v>
      </c>
      <c r="F54" s="34">
        <f ca="1">IFERROR(F53/$D53,0)</f>
        <v>0.75140807820381761</v>
      </c>
      <c r="H54" s="34">
        <f ca="1">IFERROR(H53/$D53,0)</f>
        <v>0.22914017422323371</v>
      </c>
      <c r="J54" s="34">
        <f ca="1">IFERROR(J53/$D53,0)</f>
        <v>1.9451747572948586E-2</v>
      </c>
      <c r="L54" s="34">
        <f ca="1">IFERROR(L53/$D53,0)</f>
        <v>0</v>
      </c>
      <c r="V54" s="1"/>
      <c r="W54" s="1"/>
      <c r="X54" s="1"/>
      <c r="Y54" s="1"/>
      <c r="Z54" s="1"/>
      <c r="AA54" s="1"/>
      <c r="AB54" s="1"/>
      <c r="AC54" s="1"/>
      <c r="AD54" s="1"/>
      <c r="AH54" s="19"/>
      <c r="AI54" s="84"/>
      <c r="AJ54" s="56"/>
      <c r="AK54" s="156"/>
      <c r="AL54" s="84"/>
      <c r="AM54" s="144"/>
      <c r="AN54" s="84"/>
      <c r="AO54" s="144"/>
      <c r="AP54" s="84"/>
      <c r="AQ54" s="144"/>
      <c r="AR54" s="84"/>
      <c r="AS54" s="144"/>
      <c r="AT54" s="84"/>
      <c r="AU54" s="144"/>
      <c r="AV54" s="84"/>
    </row>
    <row r="55" spans="1:48" s="99" customFormat="1" x14ac:dyDescent="0.25">
      <c r="A55" s="128"/>
      <c r="B55" s="2"/>
      <c r="C55" s="2"/>
      <c r="V55" s="1"/>
      <c r="W55" s="1"/>
      <c r="X55" s="1"/>
      <c r="Y55" s="1"/>
      <c r="Z55" s="1"/>
      <c r="AA55" s="1"/>
      <c r="AB55" s="1"/>
      <c r="AC55" s="1"/>
      <c r="AD55" s="1"/>
      <c r="AH55" s="19"/>
      <c r="AI55" s="84"/>
      <c r="AJ55" s="156"/>
      <c r="AK55" s="156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</row>
    <row r="56" spans="1:48" s="99" customFormat="1" x14ac:dyDescent="0.25">
      <c r="A56" s="128">
        <v>29</v>
      </c>
      <c r="B56" s="2"/>
      <c r="C56" s="2" t="s">
        <v>417</v>
      </c>
      <c r="D56" s="134">
        <f ca="1">SUM(F56:L56)</f>
        <v>100</v>
      </c>
      <c r="E56" s="134"/>
      <c r="F56" s="134">
        <f ca="1">R66*100</f>
        <v>71.284079833238067</v>
      </c>
      <c r="G56" s="134"/>
      <c r="H56" s="134">
        <f ca="1">T66*100</f>
        <v>26.468965292392511</v>
      </c>
      <c r="I56" s="134"/>
      <c r="J56" s="134">
        <f ca="1">V66*100</f>
        <v>2.2469548743694334</v>
      </c>
      <c r="K56" s="134"/>
      <c r="L56" s="134">
        <f ca="1">X66*100</f>
        <v>0</v>
      </c>
      <c r="P56" s="219" t="s">
        <v>143</v>
      </c>
      <c r="Q56" s="97"/>
      <c r="R56" s="97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H56" s="19"/>
      <c r="AI56" s="84"/>
      <c r="AJ56" s="56"/>
      <c r="AK56" s="155"/>
      <c r="AL56" s="84"/>
      <c r="AM56" s="32"/>
      <c r="AN56" s="32"/>
      <c r="AO56" s="32"/>
      <c r="AP56" s="32"/>
      <c r="AQ56" s="32"/>
      <c r="AR56" s="32"/>
      <c r="AS56" s="32"/>
      <c r="AT56" s="32"/>
      <c r="AU56" s="32"/>
      <c r="AV56" s="84"/>
    </row>
    <row r="57" spans="1:48" s="99" customFormat="1" x14ac:dyDescent="0.25">
      <c r="A57" s="128">
        <v>30</v>
      </c>
      <c r="B57" s="2" t="s">
        <v>143</v>
      </c>
      <c r="C57" s="2"/>
      <c r="D57" s="34">
        <f ca="1">SUM(F57:L57)</f>
        <v>1</v>
      </c>
      <c r="F57" s="34">
        <f ca="1">IFERROR(F56/$D56,0)</f>
        <v>0.71284079833238068</v>
      </c>
      <c r="H57" s="34">
        <f ca="1">IFERROR(H56/$D56,0)</f>
        <v>0.2646896529239251</v>
      </c>
      <c r="J57" s="34">
        <f ca="1">IFERROR(J56/$D56,0)</f>
        <v>2.2469548743694334E-2</v>
      </c>
      <c r="L57" s="34">
        <f ca="1">IFERROR(L56/$D56,0)</f>
        <v>0</v>
      </c>
      <c r="P57" s="1"/>
      <c r="Q57" s="1"/>
      <c r="R57" s="163"/>
      <c r="V57" s="163" t="s">
        <v>391</v>
      </c>
      <c r="X57" s="163" t="s">
        <v>8</v>
      </c>
      <c r="AH57" s="19"/>
      <c r="AI57" s="84"/>
      <c r="AJ57" s="56"/>
      <c r="AK57" s="156"/>
      <c r="AL57" s="84"/>
      <c r="AM57" s="144"/>
      <c r="AN57" s="84"/>
      <c r="AO57" s="144"/>
      <c r="AP57" s="84"/>
      <c r="AQ57" s="144"/>
      <c r="AR57" s="84"/>
      <c r="AS57" s="144"/>
      <c r="AT57" s="84"/>
      <c r="AU57" s="144"/>
      <c r="AV57" s="84"/>
    </row>
    <row r="58" spans="1:48" s="99" customFormat="1" x14ac:dyDescent="0.25">
      <c r="A58" s="128"/>
      <c r="B58" s="2"/>
      <c r="C58" s="2"/>
      <c r="P58" s="1"/>
      <c r="Q58" s="1"/>
      <c r="R58" s="164" t="s">
        <v>46</v>
      </c>
      <c r="T58" s="16" t="s">
        <v>47</v>
      </c>
      <c r="V58" s="164" t="s">
        <v>392</v>
      </c>
      <c r="X58" s="164" t="s">
        <v>49</v>
      </c>
      <c r="AH58" s="19"/>
      <c r="AI58" s="84"/>
      <c r="AJ58" s="156"/>
      <c r="AK58" s="156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</row>
    <row r="59" spans="1:48" s="99" customFormat="1" x14ac:dyDescent="0.25">
      <c r="A59" s="128">
        <v>31</v>
      </c>
      <c r="B59" s="2"/>
      <c r="C59" s="2" t="s">
        <v>417</v>
      </c>
      <c r="D59" s="22">
        <f ca="1">SUM(F59:L59)</f>
        <v>17976.776754797025</v>
      </c>
      <c r="E59" s="14"/>
      <c r="F59" s="22">
        <f ca="1">'Storage Class'!AF162</f>
        <v>12609.128012201698</v>
      </c>
      <c r="G59" s="22"/>
      <c r="H59" s="22">
        <f ca="1">'Storage Class'!AH162</f>
        <v>4947.6425426882242</v>
      </c>
      <c r="I59" s="22"/>
      <c r="J59" s="22">
        <f ca="1">'Storage Class'!AJ162</f>
        <v>420.00619990710697</v>
      </c>
      <c r="K59" s="22"/>
      <c r="L59" s="22">
        <f ca="1">'Storage Class'!AL162</f>
        <v>0</v>
      </c>
      <c r="P59" s="1"/>
      <c r="Q59" s="1"/>
      <c r="R59" s="1"/>
      <c r="S59" s="1"/>
      <c r="T59" s="1"/>
      <c r="U59" s="1"/>
      <c r="V59" s="1"/>
      <c r="W59" s="1"/>
      <c r="X59" s="1"/>
      <c r="AH59" s="19"/>
      <c r="AI59" s="84"/>
      <c r="AJ59" s="56"/>
      <c r="AK59" s="155"/>
      <c r="AL59" s="84"/>
      <c r="AM59" s="30"/>
      <c r="AN59" s="158"/>
      <c r="AO59" s="30"/>
      <c r="AP59" s="30"/>
      <c r="AQ59" s="30"/>
      <c r="AR59" s="30"/>
      <c r="AS59" s="30"/>
      <c r="AT59" s="30"/>
      <c r="AU59" s="30"/>
      <c r="AV59" s="84"/>
    </row>
    <row r="60" spans="1:48" s="99" customFormat="1" x14ac:dyDescent="0.25">
      <c r="A60" s="128">
        <v>32</v>
      </c>
      <c r="B60" s="2" t="s">
        <v>256</v>
      </c>
      <c r="C60" s="2"/>
      <c r="D60" s="34">
        <f ca="1">SUM(F60:L60)</f>
        <v>0.99999999999999944</v>
      </c>
      <c r="F60" s="34">
        <f ca="1">IFERROR(F59/$D59,0)</f>
        <v>0.701412059803046</v>
      </c>
      <c r="H60" s="34">
        <f ca="1">IFERROR(H59/$D59,0)</f>
        <v>0.2752241188826004</v>
      </c>
      <c r="J60" s="34">
        <f ca="1">IFERROR(J59/$D59,0)</f>
        <v>2.3363821314353817E-2</v>
      </c>
      <c r="L60" s="34">
        <f ca="1">IFERROR(L59/$D59,0)</f>
        <v>0</v>
      </c>
      <c r="P60" s="97" t="s">
        <v>407</v>
      </c>
      <c r="Q60" s="97"/>
      <c r="R60" s="89">
        <f ca="1">'Storage Class'!P75-'Storage Class'!P74-'Storage Class'!P70</f>
        <v>493259.05734751967</v>
      </c>
      <c r="S60" s="22"/>
      <c r="T60" s="89">
        <f ca="1">'Storage Class'!R75-'Storage Class'!R74-'Storage Class'!R70</f>
        <v>163254.86372044834</v>
      </c>
      <c r="U60" s="22"/>
      <c r="V60" s="89">
        <f ca="1">'Storage Class'!T75-'Storage Class'!T74-'Storage Class'!T70</f>
        <v>13858.732585463367</v>
      </c>
      <c r="W60" s="22"/>
      <c r="X60" s="89">
        <f ca="1">'Storage Class'!V75-'Storage Class'!V74-'Storage Class'!V70</f>
        <v>0</v>
      </c>
      <c r="Y60" s="1"/>
      <c r="Z60" s="1"/>
      <c r="AA60" s="1"/>
      <c r="AB60" s="1"/>
      <c r="AC60" s="1"/>
      <c r="AD60" s="1"/>
      <c r="AH60" s="19"/>
      <c r="AI60" s="84"/>
      <c r="AJ60" s="56"/>
      <c r="AK60" s="156"/>
      <c r="AL60" s="84"/>
      <c r="AM60" s="144"/>
      <c r="AN60" s="84"/>
      <c r="AO60" s="144"/>
      <c r="AP60" s="84"/>
      <c r="AQ60" s="144"/>
      <c r="AR60" s="84"/>
      <c r="AS60" s="144"/>
      <c r="AT60" s="84"/>
      <c r="AU60" s="144"/>
      <c r="AV60" s="84"/>
    </row>
    <row r="61" spans="1:48" s="99" customFormat="1" x14ac:dyDescent="0.25">
      <c r="A61" s="128"/>
      <c r="B61" s="2"/>
      <c r="C61" s="2"/>
      <c r="P61" s="97"/>
      <c r="Q61" s="97"/>
      <c r="R61" s="34">
        <f ca="1">R60/SUM($R$60:$X$60)</f>
        <v>0.73579829764733262</v>
      </c>
      <c r="S61" s="34"/>
      <c r="T61" s="34">
        <f ca="1">T60/SUM($R$60:$X$60)</f>
        <v>0.24352852526237995</v>
      </c>
      <c r="U61" s="34"/>
      <c r="V61" s="34">
        <f ca="1">V60/SUM($R$60:$X$60)</f>
        <v>2.0673177090287521E-2</v>
      </c>
      <c r="W61" s="34"/>
      <c r="X61" s="34">
        <f ca="1">X60/SUM($R$60:$X$60)</f>
        <v>0</v>
      </c>
      <c r="Y61" s="1"/>
      <c r="Z61" s="1"/>
      <c r="AA61" s="1"/>
      <c r="AB61" s="1"/>
      <c r="AC61" s="1"/>
      <c r="AD61" s="1"/>
      <c r="AH61" s="19"/>
      <c r="AI61" s="84"/>
      <c r="AJ61" s="156"/>
      <c r="AK61" s="156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</row>
    <row r="62" spans="1:48" s="99" customFormat="1" ht="14.5" x14ac:dyDescent="0.35">
      <c r="A62" s="128">
        <v>33</v>
      </c>
      <c r="B62" s="2"/>
      <c r="C62" s="2" t="s">
        <v>417</v>
      </c>
      <c r="D62" s="22">
        <f ca="1">SUM(F62:L62)</f>
        <v>670372.65365343133</v>
      </c>
      <c r="E62" s="14"/>
      <c r="F62" s="22">
        <f ca="1">'Storage Class'!P75-'Storage Class'!P74-'Storage Class'!P70</f>
        <v>493259.05734751967</v>
      </c>
      <c r="G62" s="22"/>
      <c r="H62" s="22">
        <f ca="1">'Storage Class'!R75-'Storage Class'!R74-'Storage Class'!R70</f>
        <v>163254.86372044834</v>
      </c>
      <c r="I62" s="22"/>
      <c r="J62" s="22">
        <f ca="1">'Storage Class'!T75-'Storage Class'!T74-'Storage Class'!T70</f>
        <v>13858.732585463367</v>
      </c>
      <c r="K62" s="22"/>
      <c r="L62" s="22">
        <f ca="1">'Storage Class'!V75-'Storage Class'!V74-'Storage Class'!V70</f>
        <v>0</v>
      </c>
      <c r="P62" s="255"/>
      <c r="Q62" s="255"/>
      <c r="R62" s="255"/>
      <c r="S62" s="255"/>
      <c r="T62" s="255"/>
      <c r="U62" s="255"/>
      <c r="V62" s="255"/>
      <c r="W62" s="255"/>
      <c r="X62" s="255"/>
      <c r="Y62" s="1"/>
      <c r="Z62" s="1"/>
      <c r="AA62" s="1"/>
      <c r="AB62" s="1"/>
      <c r="AC62" s="1"/>
      <c r="AD62" s="1"/>
      <c r="AH62" s="19"/>
      <c r="AI62" s="84"/>
      <c r="AJ62" s="56"/>
      <c r="AK62" s="155"/>
      <c r="AL62" s="84"/>
      <c r="AM62" s="30"/>
      <c r="AN62" s="158"/>
      <c r="AO62" s="30"/>
      <c r="AP62" s="30"/>
      <c r="AQ62" s="30"/>
      <c r="AR62" s="30"/>
      <c r="AS62" s="30"/>
      <c r="AT62" s="30"/>
      <c r="AU62" s="30"/>
      <c r="AV62" s="84"/>
    </row>
    <row r="63" spans="1:48" s="99" customFormat="1" x14ac:dyDescent="0.25">
      <c r="A63" s="128">
        <v>34</v>
      </c>
      <c r="B63" s="2" t="s">
        <v>263</v>
      </c>
      <c r="C63" s="2"/>
      <c r="D63" s="34">
        <f ca="1">SUM(F63:L63)</f>
        <v>1</v>
      </c>
      <c r="F63" s="34">
        <f ca="1">IFERROR(F62/$D62,0)</f>
        <v>0.73579829764733262</v>
      </c>
      <c r="H63" s="34">
        <f ca="1">IFERROR(H62/$D62,0)</f>
        <v>0.24352852526237995</v>
      </c>
      <c r="J63" s="34">
        <f ca="1">IFERROR(J62/$D62,0)</f>
        <v>2.0673177090287521E-2</v>
      </c>
      <c r="L63" s="34">
        <f ca="1">IFERROR(L62/$D62,0)</f>
        <v>0</v>
      </c>
      <c r="P63" s="97" t="s">
        <v>37</v>
      </c>
      <c r="Q63" s="97"/>
      <c r="R63" s="90">
        <f ca="1">'Storage Class'!P162-'Storage Class'!P148-SUM('Storage Class'!P116:P122)</f>
        <v>39100.812100246163</v>
      </c>
      <c r="S63" s="23"/>
      <c r="T63" s="90">
        <f ca="1">'Storage Class'!R162-'Storage Class'!R148-SUM('Storage Class'!R116:R122)</f>
        <v>16201.287487753481</v>
      </c>
      <c r="U63" s="23"/>
      <c r="V63" s="90">
        <f ca="1">'Storage Class'!T162-'Storage Class'!T148-SUM('Storage Class'!T116:T122)</f>
        <v>1375.329994562765</v>
      </c>
      <c r="W63" s="23"/>
      <c r="X63" s="90">
        <f ca="1">'Storage Class'!V162-'Storage Class'!V148-SUM('Storage Class'!V116:V122)</f>
        <v>0</v>
      </c>
      <c r="Y63" s="1"/>
      <c r="Z63" s="1"/>
      <c r="AA63" s="1"/>
      <c r="AB63" s="1"/>
      <c r="AC63" s="1"/>
      <c r="AD63" s="1"/>
      <c r="AH63" s="19"/>
      <c r="AI63" s="84"/>
      <c r="AJ63" s="56"/>
      <c r="AK63" s="156"/>
      <c r="AL63" s="84"/>
      <c r="AM63" s="144"/>
      <c r="AN63" s="84"/>
      <c r="AO63" s="144"/>
      <c r="AP63" s="84"/>
      <c r="AQ63" s="144"/>
      <c r="AR63" s="84"/>
      <c r="AS63" s="144"/>
      <c r="AT63" s="84"/>
      <c r="AU63" s="144"/>
      <c r="AV63" s="84"/>
    </row>
    <row r="64" spans="1:48" s="99" customFormat="1" x14ac:dyDescent="0.25">
      <c r="A64" s="128"/>
      <c r="B64" s="2"/>
      <c r="C64" s="2"/>
      <c r="P64" s="97"/>
      <c r="Q64" s="97"/>
      <c r="R64" s="34">
        <f ca="1">R63/SUM($R$63:$X$63)</f>
        <v>0.68988329901742862</v>
      </c>
      <c r="S64" s="34"/>
      <c r="T64" s="34">
        <f ca="1">T63/SUM($R$63:$X$63)</f>
        <v>0.28585078058547009</v>
      </c>
      <c r="U64" s="34"/>
      <c r="V64" s="34">
        <f ca="1">V63/SUM($R$63:$X$63)</f>
        <v>2.4265920397101143E-2</v>
      </c>
      <c r="W64" s="34"/>
      <c r="X64" s="34">
        <f ca="1">X63/SUM($R$63:$X$63)</f>
        <v>0</v>
      </c>
      <c r="Y64" s="1"/>
      <c r="Z64" s="1"/>
      <c r="AA64" s="1"/>
      <c r="AB64" s="1"/>
      <c r="AC64" s="1"/>
      <c r="AD64" s="1"/>
      <c r="AH64" s="19"/>
      <c r="AI64" s="84"/>
      <c r="AJ64" s="156"/>
      <c r="AK64" s="156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</row>
    <row r="65" spans="1:48" s="99" customFormat="1" x14ac:dyDescent="0.25">
      <c r="A65" s="128">
        <v>35</v>
      </c>
      <c r="B65" s="2"/>
      <c r="C65" s="2" t="s">
        <v>417</v>
      </c>
      <c r="D65" s="22">
        <f ca="1">SUM(F65:L65)</f>
        <v>42779.705685337896</v>
      </c>
      <c r="E65" s="14"/>
      <c r="F65" s="22">
        <f ca="1">SUM('Storage Class'!P124:P147,'Storage Class'!P149:P156,'Storage Class'!P159)</f>
        <v>29513.004489195551</v>
      </c>
      <c r="G65" s="22"/>
      <c r="H65" s="22">
        <f ca="1">SUM('Storage Class'!R124:R147,'Storage Class'!R149:R156,'Storage Class'!R159)</f>
        <v>12228.612263370511</v>
      </c>
      <c r="I65" s="22"/>
      <c r="J65" s="22">
        <f ca="1">SUM('Storage Class'!T124:T147,'Storage Class'!T149:T156,'Storage Class'!T159)</f>
        <v>1038.0889327718246</v>
      </c>
      <c r="K65" s="22"/>
      <c r="L65" s="22">
        <f ca="1">SUM('Storage Class'!V124:V147,'Storage Class'!V149:V156,'Storage Class'!V159)</f>
        <v>0</v>
      </c>
      <c r="P65" s="97"/>
      <c r="Q65" s="97"/>
      <c r="R65" s="97"/>
      <c r="S65" s="97"/>
      <c r="T65" s="97"/>
      <c r="U65" s="97"/>
      <c r="V65" s="97"/>
      <c r="W65" s="97"/>
      <c r="X65" s="97"/>
      <c r="Y65" s="1"/>
      <c r="Z65" s="1"/>
      <c r="AA65" s="1"/>
      <c r="AB65" s="1"/>
      <c r="AC65" s="1"/>
      <c r="AD65" s="1"/>
      <c r="AH65" s="19"/>
      <c r="AI65" s="84"/>
      <c r="AJ65" s="56"/>
      <c r="AK65" s="155"/>
      <c r="AL65" s="84"/>
      <c r="AM65" s="30"/>
      <c r="AN65" s="158"/>
      <c r="AO65" s="30"/>
      <c r="AP65" s="30"/>
      <c r="AQ65" s="30"/>
      <c r="AR65" s="30"/>
      <c r="AS65" s="30"/>
      <c r="AT65" s="30"/>
      <c r="AU65" s="30"/>
      <c r="AV65" s="84"/>
    </row>
    <row r="66" spans="1:48" s="99" customFormat="1" ht="13" x14ac:dyDescent="0.3">
      <c r="A66" s="128">
        <v>36</v>
      </c>
      <c r="B66" s="2" t="s">
        <v>183</v>
      </c>
      <c r="C66" s="2"/>
      <c r="D66" s="34">
        <f ca="1">SUM(F66:L66)</f>
        <v>1</v>
      </c>
      <c r="F66" s="34">
        <f ca="1">IFERROR(F65/$D65,0)</f>
        <v>0.68988329901742851</v>
      </c>
      <c r="H66" s="34">
        <f ca="1">IFERROR(H65/$D65,0)</f>
        <v>0.28585078058547009</v>
      </c>
      <c r="J66" s="34">
        <f ca="1">IFERROR(J65/$D65,0)</f>
        <v>2.4265920397101143E-2</v>
      </c>
      <c r="L66" s="34">
        <f ca="1">IFERROR(L65/$D65,0)</f>
        <v>0</v>
      </c>
      <c r="P66" s="94" t="s">
        <v>408</v>
      </c>
      <c r="Q66" s="256"/>
      <c r="R66" s="259">
        <f ca="1">0.5*R61+0.5*R64</f>
        <v>0.71284079833238057</v>
      </c>
      <c r="S66" s="258"/>
      <c r="T66" s="259">
        <f ca="1">0.5*T61+0.5*T64</f>
        <v>0.26468965292392499</v>
      </c>
      <c r="U66" s="257"/>
      <c r="V66" s="259">
        <f ca="1">0.5*V61+0.5*V64</f>
        <v>2.2469548743694334E-2</v>
      </c>
      <c r="W66" s="257"/>
      <c r="X66" s="259">
        <f ca="1">0.5*X61+0.5*X64</f>
        <v>0</v>
      </c>
      <c r="Y66" s="1"/>
      <c r="Z66" s="1"/>
      <c r="AA66" s="1"/>
      <c r="AB66" s="1"/>
      <c r="AC66" s="1"/>
      <c r="AD66" s="1"/>
      <c r="AH66" s="19"/>
      <c r="AI66" s="84"/>
      <c r="AJ66" s="56"/>
      <c r="AK66" s="156"/>
      <c r="AL66" s="84"/>
      <c r="AM66" s="144"/>
      <c r="AN66" s="84"/>
      <c r="AO66" s="144"/>
      <c r="AP66" s="84"/>
      <c r="AQ66" s="144"/>
      <c r="AR66" s="84"/>
      <c r="AS66" s="144"/>
      <c r="AT66" s="84"/>
      <c r="AU66" s="144"/>
      <c r="AV66" s="84"/>
    </row>
    <row r="67" spans="1:48" s="99" customFormat="1" x14ac:dyDescent="0.25">
      <c r="A67" s="128"/>
      <c r="B67" s="2"/>
      <c r="C67" s="2"/>
      <c r="P67" s="97"/>
      <c r="Q67" s="97"/>
      <c r="R67" s="97"/>
      <c r="S67" s="97"/>
      <c r="T67" s="97"/>
      <c r="U67" s="97"/>
      <c r="V67" s="97"/>
      <c r="W67" s="97"/>
      <c r="X67" s="97"/>
      <c r="Y67" s="1"/>
      <c r="Z67" s="1"/>
      <c r="AA67" s="1"/>
      <c r="AB67" s="1"/>
      <c r="AC67" s="1"/>
      <c r="AD67" s="1"/>
      <c r="AH67" s="19"/>
      <c r="AI67" s="84"/>
      <c r="AJ67" s="156"/>
      <c r="AK67" s="156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</row>
    <row r="68" spans="1:48" x14ac:dyDescent="0.25">
      <c r="A68" s="128">
        <v>37</v>
      </c>
      <c r="B68" s="2"/>
      <c r="C68" s="2" t="s">
        <v>416</v>
      </c>
      <c r="D68" s="22">
        <f>SUM(F68:L68)</f>
        <v>4084.6733599950671</v>
      </c>
      <c r="E68" s="99"/>
      <c r="F68" s="22">
        <v>4023.6655469486204</v>
      </c>
      <c r="G68" s="22"/>
      <c r="H68" s="22">
        <v>56.234091636745781</v>
      </c>
      <c r="I68" s="22"/>
      <c r="J68" s="22">
        <v>4.7737214097008689</v>
      </c>
      <c r="K68" s="22"/>
      <c r="L68" s="22">
        <v>0</v>
      </c>
      <c r="P68" s="97"/>
      <c r="Q68" s="97"/>
      <c r="R68" s="97"/>
      <c r="S68" s="97"/>
      <c r="T68" s="97"/>
      <c r="U68" s="97"/>
      <c r="V68" s="97"/>
      <c r="W68" s="97"/>
      <c r="X68" s="97"/>
      <c r="AH68" s="19"/>
      <c r="AJ68" s="56"/>
      <c r="AK68" s="155"/>
      <c r="AM68" s="30"/>
      <c r="AO68" s="30"/>
      <c r="AP68" s="30"/>
      <c r="AQ68" s="30"/>
      <c r="AR68" s="30"/>
      <c r="AS68" s="30"/>
      <c r="AT68" s="30"/>
      <c r="AU68" s="30"/>
    </row>
    <row r="69" spans="1:48" x14ac:dyDescent="0.25">
      <c r="A69" s="128">
        <v>38</v>
      </c>
      <c r="B69" s="2" t="s">
        <v>184</v>
      </c>
      <c r="C69" s="2"/>
      <c r="D69" s="34">
        <f>SUM(F69:L69)</f>
        <v>0.99999999999999989</v>
      </c>
      <c r="E69" s="99"/>
      <c r="F69" s="34">
        <f>IFERROR(F68/$D68,0)</f>
        <v>0.98506421256496246</v>
      </c>
      <c r="G69" s="99"/>
      <c r="H69" s="34">
        <f>IFERROR(H68/$D68,0)</f>
        <v>1.3767096333209295E-2</v>
      </c>
      <c r="I69" s="99"/>
      <c r="J69" s="34">
        <f>IFERROR(J68/$D68,0)</f>
        <v>1.1686911018281849E-3</v>
      </c>
      <c r="K69" s="99"/>
      <c r="L69" s="34">
        <f>IFERROR(L68/$D68,0)</f>
        <v>0</v>
      </c>
      <c r="P69" s="97"/>
      <c r="Q69" s="97"/>
      <c r="R69" s="97"/>
      <c r="S69" s="97"/>
      <c r="T69" s="97"/>
      <c r="U69" s="97"/>
      <c r="V69" s="97"/>
      <c r="W69" s="97"/>
      <c r="X69" s="97"/>
      <c r="AH69" s="19"/>
      <c r="AJ69" s="56"/>
      <c r="AK69" s="155"/>
      <c r="AM69" s="144"/>
      <c r="AO69" s="144"/>
      <c r="AQ69" s="144"/>
      <c r="AS69" s="144"/>
      <c r="AU69" s="144"/>
    </row>
    <row r="70" spans="1:48" x14ac:dyDescent="0.25">
      <c r="A70" s="128"/>
      <c r="B70" s="2"/>
      <c r="C70" s="2"/>
      <c r="D70" s="22"/>
      <c r="E70" s="99"/>
      <c r="F70" s="22"/>
      <c r="G70" s="22"/>
      <c r="H70" s="22"/>
      <c r="I70" s="22"/>
      <c r="J70" s="22"/>
      <c r="K70" s="99"/>
      <c r="L70" s="22"/>
      <c r="AH70" s="19"/>
      <c r="AJ70" s="56"/>
      <c r="AK70" s="156"/>
      <c r="AM70" s="30"/>
      <c r="AO70" s="30"/>
      <c r="AP70" s="30"/>
      <c r="AQ70" s="30"/>
      <c r="AR70" s="30"/>
      <c r="AS70" s="30"/>
      <c r="AU70" s="30"/>
    </row>
    <row r="71" spans="1:48" ht="13" x14ac:dyDescent="0.3">
      <c r="A71" s="128">
        <v>39</v>
      </c>
      <c r="B71" s="2"/>
      <c r="C71" s="2" t="s">
        <v>417</v>
      </c>
      <c r="D71" s="22">
        <f ca="1">SUM(F71:L71)</f>
        <v>1414974.1265197233</v>
      </c>
      <c r="E71" s="99"/>
      <c r="F71" s="22">
        <f ca="1">'Storage Class'!P92</f>
        <v>512339.829032371</v>
      </c>
      <c r="G71" s="22"/>
      <c r="H71" s="22">
        <f ca="1">'Storage Class'!R92</f>
        <v>825399.89494214184</v>
      </c>
      <c r="I71" s="22"/>
      <c r="J71" s="22">
        <f ca="1">'Storage Class'!T92</f>
        <v>77234.402545210352</v>
      </c>
      <c r="K71" s="22"/>
      <c r="L71" s="22">
        <f ca="1">'Storage Class'!V92</f>
        <v>0</v>
      </c>
      <c r="M71" s="120"/>
      <c r="AH71" s="19"/>
      <c r="AJ71" s="56"/>
      <c r="AK71" s="155"/>
      <c r="AM71" s="30"/>
      <c r="AO71" s="30"/>
      <c r="AP71" s="30"/>
      <c r="AQ71" s="30"/>
      <c r="AR71" s="30"/>
      <c r="AS71" s="30"/>
      <c r="AT71" s="30"/>
      <c r="AU71" s="30"/>
    </row>
    <row r="72" spans="1:48" x14ac:dyDescent="0.25">
      <c r="A72" s="128">
        <v>40</v>
      </c>
      <c r="B72" s="2" t="s">
        <v>108</v>
      </c>
      <c r="C72" s="2"/>
      <c r="D72" s="34">
        <f ca="1">SUM(F72:L72)</f>
        <v>1</v>
      </c>
      <c r="E72" s="99"/>
      <c r="F72" s="34">
        <f ca="1">IFERROR(F71/$D71,0)</f>
        <v>0.36208423845354992</v>
      </c>
      <c r="G72" s="99"/>
      <c r="H72" s="34">
        <f ca="1">IFERROR(H71/$D71,0)</f>
        <v>0.58333214683741186</v>
      </c>
      <c r="I72" s="99"/>
      <c r="J72" s="34">
        <f ca="1">IFERROR(J71/$D71,0)</f>
        <v>5.4583614709038129E-2</v>
      </c>
      <c r="K72" s="99"/>
      <c r="L72" s="34">
        <f ca="1">IFERROR(L71/$D71,0)</f>
        <v>0</v>
      </c>
      <c r="M72" s="97"/>
      <c r="AH72" s="19"/>
      <c r="AJ72" s="56"/>
      <c r="AK72" s="156"/>
      <c r="AM72" s="144"/>
      <c r="AO72" s="144"/>
      <c r="AQ72" s="144"/>
      <c r="AS72" s="144"/>
      <c r="AU72" s="144"/>
    </row>
    <row r="73" spans="1:48" x14ac:dyDescent="0.25">
      <c r="A73" s="128"/>
      <c r="B73" s="2"/>
      <c r="C73" s="2"/>
      <c r="D73" s="99"/>
      <c r="E73" s="99"/>
      <c r="F73" s="99"/>
      <c r="G73" s="99"/>
      <c r="H73" s="99"/>
      <c r="I73" s="99"/>
      <c r="J73" s="99"/>
      <c r="K73" s="99"/>
      <c r="L73" s="99"/>
      <c r="M73" s="97"/>
      <c r="AH73" s="19"/>
      <c r="AJ73" s="156"/>
      <c r="AK73" s="156"/>
    </row>
    <row r="74" spans="1:48" x14ac:dyDescent="0.25">
      <c r="A74" s="128">
        <v>41</v>
      </c>
      <c r="B74" s="2"/>
      <c r="C74" s="2" t="s">
        <v>417</v>
      </c>
      <c r="D74" s="22">
        <f ca="1">SUM(F74:L74)</f>
        <v>10889.315564516064</v>
      </c>
      <c r="E74" s="14"/>
      <c r="F74" s="22">
        <f ca="1">SUM('Storage Class'!P124,'Storage Class'!P126:P131)</f>
        <v>7314.2538809245907</v>
      </c>
      <c r="G74" s="22"/>
      <c r="H74" s="22">
        <f ca="1">SUM('Storage Class'!R124,'Storage Class'!R126:R131)</f>
        <v>3295.3213085846064</v>
      </c>
      <c r="I74" s="22"/>
      <c r="J74" s="22">
        <f ca="1">SUM('Storage Class'!T124,'Storage Class'!T126:T131)</f>
        <v>279.74037500686757</v>
      </c>
      <c r="K74" s="22"/>
      <c r="L74" s="22">
        <f ca="1">SUM('Storage Class'!V124,'Storage Class'!V126:V131)</f>
        <v>0</v>
      </c>
      <c r="AH74" s="19"/>
      <c r="AJ74" s="56"/>
      <c r="AK74" s="155"/>
      <c r="AM74" s="30"/>
      <c r="AN74" s="158"/>
      <c r="AO74" s="30"/>
      <c r="AP74" s="30"/>
      <c r="AQ74" s="30"/>
      <c r="AR74" s="30"/>
      <c r="AS74" s="30"/>
      <c r="AT74" s="30"/>
      <c r="AU74" s="30"/>
    </row>
    <row r="75" spans="1:48" x14ac:dyDescent="0.25">
      <c r="A75" s="128">
        <v>42</v>
      </c>
      <c r="B75" s="2" t="s">
        <v>398</v>
      </c>
      <c r="C75" s="99"/>
      <c r="D75" s="34">
        <f ca="1">SUM(F75:L75)</f>
        <v>0.99999999999999989</v>
      </c>
      <c r="E75" s="99"/>
      <c r="F75" s="34">
        <f ca="1">IFERROR(F74/$D74,0)</f>
        <v>0.67169087327754795</v>
      </c>
      <c r="G75" s="99"/>
      <c r="H75" s="34">
        <f ca="1">IFERROR(H74/$D74,0)</f>
        <v>0.30261969074739131</v>
      </c>
      <c r="I75" s="99"/>
      <c r="J75" s="34">
        <f ca="1">IFERROR(J74/$D74,0)</f>
        <v>2.5689435975060716E-2</v>
      </c>
      <c r="K75" s="99"/>
      <c r="L75" s="34">
        <f ca="1">IFERROR(L74/$D74,0)</f>
        <v>0</v>
      </c>
      <c r="AH75" s="19"/>
      <c r="AJ75" s="156"/>
      <c r="AK75" s="156"/>
      <c r="AM75" s="144"/>
      <c r="AO75" s="144"/>
      <c r="AQ75" s="144"/>
      <c r="AS75" s="144"/>
      <c r="AU75" s="144"/>
    </row>
    <row r="76" spans="1:48" x14ac:dyDescent="0.25">
      <c r="B76" s="28"/>
      <c r="C76" s="24"/>
      <c r="D76" s="22"/>
      <c r="E76" s="24"/>
      <c r="F76" s="22"/>
      <c r="G76" s="22"/>
      <c r="H76" s="22"/>
      <c r="I76" s="22"/>
      <c r="J76" s="22"/>
      <c r="K76" s="24"/>
      <c r="L76" s="22"/>
      <c r="AH76" s="19"/>
      <c r="AJ76" s="156"/>
      <c r="AK76" s="156"/>
    </row>
    <row r="77" spans="1:48" s="99" customFormat="1" ht="14.5" x14ac:dyDescent="0.35">
      <c r="A77" s="114"/>
      <c r="M77" s="1"/>
      <c r="V77" s="1"/>
      <c r="W77" s="1"/>
      <c r="X77" s="1"/>
      <c r="Y77" s="1"/>
      <c r="Z77" s="1"/>
      <c r="AA77" s="1"/>
      <c r="AB77" s="1"/>
      <c r="AC77" s="1"/>
      <c r="AD77" s="1"/>
      <c r="AH77" s="19"/>
      <c r="AI77" s="84"/>
      <c r="AJ77" s="157"/>
      <c r="AK77" s="156"/>
      <c r="AL77" s="84"/>
      <c r="AM77" s="93"/>
      <c r="AN77" s="84"/>
      <c r="AO77" s="84"/>
      <c r="AP77" s="84"/>
      <c r="AQ77" s="84"/>
      <c r="AR77" s="84"/>
      <c r="AS77" s="84"/>
      <c r="AT77" s="84"/>
      <c r="AU77" s="84"/>
      <c r="AV77" s="84"/>
    </row>
    <row r="78" spans="1:48" s="99" customFormat="1" x14ac:dyDescent="0.25">
      <c r="A78" s="13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"/>
      <c r="W78" s="1"/>
      <c r="X78" s="1"/>
      <c r="Y78" s="1"/>
      <c r="Z78" s="1"/>
      <c r="AA78" s="1"/>
      <c r="AB78" s="1"/>
      <c r="AC78" s="1"/>
      <c r="AD78" s="1"/>
      <c r="AE78" s="109"/>
      <c r="AF78" s="109"/>
      <c r="AH78" s="19"/>
      <c r="AI78" s="84"/>
      <c r="AJ78" s="56"/>
      <c r="AK78" s="155"/>
      <c r="AL78" s="84"/>
      <c r="AM78" s="30"/>
      <c r="AN78" s="84"/>
      <c r="AO78" s="30"/>
      <c r="AP78" s="30"/>
      <c r="AQ78" s="30"/>
      <c r="AR78" s="30"/>
      <c r="AS78" s="30"/>
      <c r="AT78" s="30"/>
      <c r="AU78" s="30"/>
      <c r="AV78" s="84"/>
    </row>
    <row r="79" spans="1:48" s="99" customFormat="1" x14ac:dyDescent="0.25">
      <c r="A79" s="109"/>
      <c r="B79" s="41"/>
      <c r="C79" s="109"/>
      <c r="D79" s="30"/>
      <c r="E79" s="109"/>
      <c r="F79" s="30"/>
      <c r="G79" s="30"/>
      <c r="H79" s="30"/>
      <c r="I79" s="30"/>
      <c r="J79" s="30"/>
      <c r="K79" s="109"/>
      <c r="L79" s="30"/>
      <c r="M79" s="109"/>
      <c r="N79" s="109"/>
      <c r="O79" s="109"/>
      <c r="P79" s="109"/>
      <c r="Q79" s="109"/>
      <c r="R79" s="109"/>
      <c r="S79" s="109"/>
      <c r="T79" s="109"/>
      <c r="U79" s="109"/>
      <c r="V79" s="1"/>
      <c r="W79" s="1"/>
      <c r="X79" s="1"/>
      <c r="Y79" s="1"/>
      <c r="Z79" s="1"/>
      <c r="AA79" s="1"/>
      <c r="AB79" s="1"/>
      <c r="AC79" s="1"/>
      <c r="AD79" s="1"/>
      <c r="AE79" s="109"/>
      <c r="AF79" s="109"/>
      <c r="AH79" s="19"/>
      <c r="AI79" s="84"/>
      <c r="AJ79" s="56"/>
      <c r="AK79" s="156"/>
      <c r="AL79" s="84"/>
      <c r="AM79" s="144"/>
      <c r="AN79" s="84"/>
      <c r="AO79" s="144"/>
      <c r="AP79" s="84"/>
      <c r="AQ79" s="144"/>
      <c r="AR79" s="84"/>
      <c r="AS79" s="144"/>
      <c r="AT79" s="84"/>
      <c r="AU79" s="144"/>
      <c r="AV79" s="84"/>
    </row>
    <row r="80" spans="1:48" s="99" customFormat="1" x14ac:dyDescent="0.25">
      <c r="A80" s="13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"/>
      <c r="W80" s="1"/>
      <c r="X80" s="1"/>
      <c r="Y80" s="1"/>
      <c r="Z80" s="1"/>
      <c r="AA80" s="1"/>
      <c r="AB80" s="1"/>
      <c r="AC80" s="1"/>
      <c r="AD80" s="1"/>
      <c r="AE80" s="109"/>
      <c r="AF80" s="109"/>
      <c r="AH80" s="19"/>
      <c r="AI80" s="84"/>
      <c r="AJ80" s="156"/>
      <c r="AK80" s="156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</row>
    <row r="81" spans="1:48" s="99" customFormat="1" x14ac:dyDescent="0.25">
      <c r="A81" s="13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"/>
      <c r="W81" s="1"/>
      <c r="X81" s="1"/>
      <c r="Y81" s="1"/>
      <c r="Z81" s="1"/>
      <c r="AA81" s="1"/>
      <c r="AB81" s="1"/>
      <c r="AC81" s="1"/>
      <c r="AD81" s="1"/>
      <c r="AE81" s="109"/>
      <c r="AF81" s="109"/>
      <c r="AH81" s="19"/>
      <c r="AI81" s="84"/>
      <c r="AJ81" s="56"/>
      <c r="AK81" s="155"/>
      <c r="AL81" s="84"/>
      <c r="AM81" s="30"/>
      <c r="AN81" s="84"/>
      <c r="AO81" s="30"/>
      <c r="AP81" s="30"/>
      <c r="AQ81" s="30"/>
      <c r="AR81" s="30"/>
      <c r="AS81" s="30"/>
      <c r="AT81" s="30"/>
      <c r="AU81" s="30"/>
      <c r="AV81" s="84"/>
    </row>
    <row r="82" spans="1:48" s="99" customFormat="1" x14ac:dyDescent="0.25">
      <c r="A82" s="109"/>
      <c r="B82" s="41"/>
      <c r="C82" s="109"/>
      <c r="D82" s="30"/>
      <c r="E82" s="109"/>
      <c r="F82" s="30"/>
      <c r="G82" s="30"/>
      <c r="H82" s="30"/>
      <c r="I82" s="30"/>
      <c r="J82" s="30"/>
      <c r="K82" s="109"/>
      <c r="L82" s="30"/>
      <c r="M82" s="109"/>
      <c r="N82" s="109"/>
      <c r="O82" s="109"/>
      <c r="P82" s="109"/>
      <c r="Q82" s="109"/>
      <c r="R82" s="109"/>
      <c r="S82" s="109"/>
      <c r="T82" s="109"/>
      <c r="U82" s="109"/>
      <c r="V82" s="1"/>
      <c r="W82" s="1"/>
      <c r="X82" s="1"/>
      <c r="Y82" s="1"/>
      <c r="Z82" s="1"/>
      <c r="AA82" s="1"/>
      <c r="AB82" s="1"/>
      <c r="AC82" s="1"/>
      <c r="AD82" s="1"/>
      <c r="AE82" s="109"/>
      <c r="AF82" s="109"/>
      <c r="AH82" s="19"/>
      <c r="AI82" s="84"/>
      <c r="AJ82" s="56"/>
      <c r="AK82" s="155"/>
      <c r="AL82" s="84"/>
      <c r="AM82" s="144"/>
      <c r="AN82" s="84"/>
      <c r="AO82" s="144"/>
      <c r="AP82" s="84"/>
      <c r="AQ82" s="144"/>
      <c r="AR82" s="84"/>
      <c r="AS82" s="144"/>
      <c r="AT82" s="84"/>
      <c r="AU82" s="144"/>
      <c r="AV82" s="84"/>
    </row>
    <row r="83" spans="1:48" s="99" customFormat="1" x14ac:dyDescent="0.25">
      <c r="A83" s="13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"/>
      <c r="W83" s="1"/>
      <c r="X83" s="1"/>
      <c r="Y83" s="1"/>
      <c r="Z83" s="1"/>
      <c r="AA83" s="1"/>
      <c r="AB83" s="1"/>
      <c r="AC83" s="1"/>
      <c r="AD83" s="1"/>
      <c r="AE83" s="109"/>
      <c r="AF83" s="109"/>
      <c r="AH83" s="19"/>
      <c r="AI83" s="84"/>
      <c r="AJ83" s="156"/>
      <c r="AK83" s="156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</row>
    <row r="84" spans="1:48" s="99" customFormat="1" x14ac:dyDescent="0.25">
      <c r="A84" s="13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"/>
      <c r="W84" s="1"/>
      <c r="X84" s="1"/>
      <c r="Y84" s="1"/>
      <c r="Z84" s="1"/>
      <c r="AA84" s="1"/>
      <c r="AB84" s="1"/>
      <c r="AC84" s="1"/>
      <c r="AD84" s="1"/>
      <c r="AE84" s="109"/>
      <c r="AF84" s="109"/>
      <c r="AH84" s="19"/>
      <c r="AI84" s="84"/>
      <c r="AJ84" s="56"/>
      <c r="AK84" s="155"/>
      <c r="AL84" s="84"/>
      <c r="AM84" s="30"/>
      <c r="AN84" s="84"/>
      <c r="AO84" s="30"/>
      <c r="AP84" s="30"/>
      <c r="AQ84" s="30"/>
      <c r="AR84" s="30"/>
      <c r="AS84" s="30"/>
      <c r="AT84" s="30"/>
      <c r="AU84" s="30"/>
      <c r="AV84" s="84"/>
    </row>
    <row r="85" spans="1:48" s="99" customFormat="1" x14ac:dyDescent="0.25">
      <c r="A85" s="109"/>
      <c r="B85" s="41"/>
      <c r="C85" s="109"/>
      <c r="D85" s="30"/>
      <c r="E85" s="109"/>
      <c r="F85" s="30"/>
      <c r="G85" s="30"/>
      <c r="H85" s="30"/>
      <c r="I85" s="30"/>
      <c r="J85" s="30"/>
      <c r="K85" s="109"/>
      <c r="L85" s="30"/>
      <c r="M85" s="109"/>
      <c r="N85" s="109"/>
      <c r="O85" s="109"/>
      <c r="P85" s="109"/>
      <c r="Q85" s="109"/>
      <c r="R85" s="109"/>
      <c r="S85" s="109"/>
      <c r="T85" s="109"/>
      <c r="U85" s="109"/>
      <c r="V85" s="1"/>
      <c r="W85" s="1"/>
      <c r="X85" s="1"/>
      <c r="Y85" s="1"/>
      <c r="Z85" s="1"/>
      <c r="AA85" s="1"/>
      <c r="AB85" s="1"/>
      <c r="AC85" s="1"/>
      <c r="AD85" s="1"/>
      <c r="AE85" s="109"/>
      <c r="AF85" s="109"/>
      <c r="AH85" s="19"/>
      <c r="AI85" s="84"/>
      <c r="AJ85" s="56"/>
      <c r="AK85" s="155"/>
      <c r="AL85" s="84"/>
      <c r="AM85" s="144"/>
      <c r="AN85" s="84"/>
      <c r="AO85" s="144"/>
      <c r="AP85" s="84"/>
      <c r="AQ85" s="144"/>
      <c r="AR85" s="84"/>
      <c r="AS85" s="144"/>
      <c r="AT85" s="84"/>
      <c r="AU85" s="144"/>
      <c r="AV85" s="84"/>
    </row>
    <row r="86" spans="1:48" s="99" customFormat="1" x14ac:dyDescent="0.25">
      <c r="A86" s="13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"/>
      <c r="W86" s="1"/>
      <c r="X86" s="1"/>
      <c r="Y86" s="1"/>
      <c r="Z86" s="1"/>
      <c r="AA86" s="1"/>
      <c r="AB86" s="1"/>
      <c r="AC86" s="1"/>
      <c r="AD86" s="1"/>
      <c r="AE86" s="109"/>
      <c r="AF86" s="109"/>
      <c r="AH86" s="19"/>
      <c r="AI86" s="84"/>
      <c r="AJ86" s="156"/>
      <c r="AK86" s="156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</row>
    <row r="87" spans="1:48" s="99" customFormat="1" x14ac:dyDescent="0.25">
      <c r="A87" s="13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"/>
      <c r="W87" s="1"/>
      <c r="X87" s="1"/>
      <c r="Y87" s="1"/>
      <c r="Z87" s="1"/>
      <c r="AA87" s="1"/>
      <c r="AB87" s="1"/>
      <c r="AC87" s="1"/>
      <c r="AD87" s="1"/>
      <c r="AE87" s="109"/>
      <c r="AF87" s="109"/>
      <c r="AH87" s="19"/>
      <c r="AI87" s="84"/>
      <c r="AJ87" s="56"/>
      <c r="AK87" s="155"/>
      <c r="AL87" s="84"/>
      <c r="AM87" s="30"/>
      <c r="AN87" s="84"/>
      <c r="AO87" s="30"/>
      <c r="AP87" s="30"/>
      <c r="AQ87" s="30"/>
      <c r="AR87" s="30"/>
      <c r="AS87" s="30"/>
      <c r="AT87" s="30"/>
      <c r="AU87" s="30"/>
      <c r="AV87" s="84"/>
    </row>
    <row r="88" spans="1:48" s="99" customFormat="1" x14ac:dyDescent="0.25">
      <c r="A88" s="109"/>
      <c r="B88" s="41"/>
      <c r="C88" s="109"/>
      <c r="D88" s="30"/>
      <c r="E88" s="109"/>
      <c r="F88" s="30"/>
      <c r="G88" s="30"/>
      <c r="H88" s="30"/>
      <c r="I88" s="30"/>
      <c r="J88" s="30"/>
      <c r="K88" s="109"/>
      <c r="L88" s="30"/>
      <c r="M88" s="109"/>
      <c r="N88" s="109"/>
      <c r="O88" s="109"/>
      <c r="P88" s="109"/>
      <c r="Q88" s="109"/>
      <c r="R88" s="109"/>
      <c r="S88" s="109"/>
      <c r="T88" s="109"/>
      <c r="U88" s="109"/>
      <c r="V88" s="1"/>
      <c r="W88" s="1"/>
      <c r="X88" s="1"/>
      <c r="Y88" s="1"/>
      <c r="Z88" s="1"/>
      <c r="AA88" s="1"/>
      <c r="AB88" s="1"/>
      <c r="AC88" s="1"/>
      <c r="AD88" s="1"/>
      <c r="AE88" s="109"/>
      <c r="AF88" s="109"/>
      <c r="AH88" s="19"/>
      <c r="AI88" s="84"/>
      <c r="AJ88" s="56"/>
      <c r="AK88" s="156"/>
      <c r="AL88" s="84"/>
      <c r="AM88" s="144"/>
      <c r="AN88" s="84"/>
      <c r="AO88" s="144"/>
      <c r="AP88" s="84"/>
      <c r="AQ88" s="144"/>
      <c r="AR88" s="84"/>
      <c r="AS88" s="144"/>
      <c r="AT88" s="84"/>
      <c r="AU88" s="144"/>
      <c r="AV88" s="84"/>
    </row>
    <row r="89" spans="1:48" s="99" customFormat="1" x14ac:dyDescent="0.25">
      <c r="A89" s="13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"/>
      <c r="W89" s="1"/>
      <c r="X89" s="1"/>
      <c r="Y89" s="1"/>
      <c r="Z89" s="1"/>
      <c r="AA89" s="1"/>
      <c r="AB89" s="1"/>
      <c r="AC89" s="1"/>
      <c r="AD89" s="1"/>
      <c r="AE89" s="109"/>
      <c r="AF89" s="109"/>
      <c r="AH89" s="19"/>
      <c r="AI89" s="84"/>
      <c r="AJ89" s="56"/>
      <c r="AK89" s="156"/>
      <c r="AL89" s="84"/>
      <c r="AM89" s="144"/>
      <c r="AN89" s="84"/>
      <c r="AO89" s="144"/>
      <c r="AP89" s="84"/>
      <c r="AQ89" s="144"/>
      <c r="AR89" s="84"/>
      <c r="AS89" s="144"/>
      <c r="AT89" s="84"/>
      <c r="AU89" s="144"/>
      <c r="AV89" s="84"/>
    </row>
    <row r="90" spans="1:48" s="99" customFormat="1" x14ac:dyDescent="0.25">
      <c r="A90" s="13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"/>
      <c r="W90" s="1"/>
      <c r="X90" s="1"/>
      <c r="Y90" s="1"/>
      <c r="Z90" s="1"/>
      <c r="AA90" s="1"/>
      <c r="AB90" s="1"/>
      <c r="AC90" s="1"/>
      <c r="AD90" s="1"/>
      <c r="AE90" s="109"/>
      <c r="AF90" s="109"/>
      <c r="AH90" s="19"/>
      <c r="AI90" s="84"/>
      <c r="AJ90" s="56"/>
      <c r="AK90" s="155"/>
      <c r="AL90" s="84"/>
      <c r="AM90" s="30"/>
      <c r="AN90" s="158"/>
      <c r="AO90" s="32"/>
      <c r="AP90" s="32"/>
      <c r="AQ90" s="32"/>
      <c r="AR90" s="32"/>
      <c r="AS90" s="32"/>
      <c r="AT90" s="32"/>
      <c r="AU90" s="32"/>
      <c r="AV90" s="84"/>
    </row>
    <row r="91" spans="1:48" s="99" customFormat="1" x14ac:dyDescent="0.25">
      <c r="A91" s="109"/>
      <c r="B91" s="41"/>
      <c r="C91" s="109"/>
      <c r="D91" s="30"/>
      <c r="E91" s="109"/>
      <c r="F91" s="30"/>
      <c r="G91" s="30"/>
      <c r="H91" s="30"/>
      <c r="I91" s="30"/>
      <c r="J91" s="30"/>
      <c r="K91" s="109"/>
      <c r="L91" s="30"/>
      <c r="M91" s="109"/>
      <c r="N91" s="109"/>
      <c r="O91" s="109"/>
      <c r="P91" s="109"/>
      <c r="Q91" s="109"/>
      <c r="R91" s="109"/>
      <c r="S91" s="109"/>
      <c r="T91" s="109"/>
      <c r="U91" s="109"/>
      <c r="V91" s="1"/>
      <c r="W91" s="1"/>
      <c r="X91" s="1"/>
      <c r="Y91" s="1"/>
      <c r="Z91" s="1"/>
      <c r="AA91" s="1"/>
      <c r="AB91" s="1"/>
      <c r="AC91" s="1"/>
      <c r="AD91" s="1"/>
      <c r="AE91" s="109"/>
      <c r="AF91" s="109"/>
      <c r="AH91" s="19"/>
      <c r="AI91" s="84"/>
      <c r="AJ91" s="56"/>
      <c r="AK91" s="155"/>
      <c r="AL91" s="84"/>
      <c r="AM91" s="144"/>
      <c r="AN91" s="84"/>
      <c r="AO91" s="144"/>
      <c r="AP91" s="84"/>
      <c r="AQ91" s="144"/>
      <c r="AR91" s="84"/>
      <c r="AS91" s="144"/>
      <c r="AT91" s="84"/>
      <c r="AU91" s="144"/>
      <c r="AV91" s="84"/>
    </row>
    <row r="92" spans="1:48" s="99" customFormat="1" x14ac:dyDescent="0.25">
      <c r="A92" s="13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"/>
      <c r="W92" s="1"/>
      <c r="X92" s="1"/>
      <c r="Y92" s="1"/>
      <c r="Z92" s="1"/>
      <c r="AA92" s="1"/>
      <c r="AB92" s="1"/>
      <c r="AC92" s="1"/>
      <c r="AD92" s="1"/>
      <c r="AE92" s="109"/>
      <c r="AF92" s="109"/>
      <c r="AH92" s="19"/>
      <c r="AI92" s="84"/>
      <c r="AJ92" s="156"/>
      <c r="AK92" s="156"/>
      <c r="AL92" s="159"/>
      <c r="AM92" s="159"/>
      <c r="AN92" s="84"/>
      <c r="AO92" s="144"/>
      <c r="AP92" s="84"/>
      <c r="AQ92" s="144"/>
      <c r="AR92" s="84"/>
      <c r="AS92" s="144"/>
      <c r="AT92" s="84"/>
      <c r="AU92" s="144"/>
      <c r="AV92" s="84"/>
    </row>
    <row r="93" spans="1:48" s="99" customFormat="1" x14ac:dyDescent="0.25">
      <c r="A93" s="13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"/>
      <c r="W93" s="1"/>
      <c r="X93" s="1"/>
      <c r="Y93" s="1"/>
      <c r="Z93" s="1"/>
      <c r="AA93" s="1"/>
      <c r="AB93" s="1"/>
      <c r="AC93" s="1"/>
      <c r="AD93" s="1"/>
      <c r="AE93" s="109"/>
      <c r="AF93" s="109"/>
      <c r="AH93" s="19"/>
      <c r="AI93" s="84"/>
      <c r="AJ93" s="56"/>
      <c r="AK93" s="155"/>
      <c r="AL93" s="84"/>
      <c r="AM93" s="30"/>
      <c r="AN93" s="30"/>
      <c r="AO93" s="30"/>
      <c r="AP93" s="30"/>
      <c r="AQ93" s="30"/>
      <c r="AR93" s="30"/>
      <c r="AS93" s="30"/>
      <c r="AT93" s="30"/>
      <c r="AU93" s="30"/>
      <c r="AV93" s="84"/>
    </row>
    <row r="94" spans="1:48" s="99" customFormat="1" x14ac:dyDescent="0.25">
      <c r="A94" s="109"/>
      <c r="B94" s="41"/>
      <c r="C94" s="109"/>
      <c r="D94" s="30"/>
      <c r="E94" s="109"/>
      <c r="F94" s="30"/>
      <c r="G94" s="30"/>
      <c r="H94" s="30"/>
      <c r="I94" s="30"/>
      <c r="J94" s="30"/>
      <c r="K94" s="109"/>
      <c r="L94" s="30"/>
      <c r="M94" s="109"/>
      <c r="N94" s="109"/>
      <c r="O94" s="109"/>
      <c r="P94" s="109"/>
      <c r="Q94" s="109"/>
      <c r="R94" s="109"/>
      <c r="S94" s="109"/>
      <c r="T94" s="109"/>
      <c r="U94" s="109"/>
      <c r="V94" s="1"/>
      <c r="W94" s="1"/>
      <c r="X94" s="1"/>
      <c r="Y94" s="1"/>
      <c r="Z94" s="1"/>
      <c r="AA94" s="1"/>
      <c r="AB94" s="1"/>
      <c r="AC94" s="1"/>
      <c r="AD94" s="1"/>
      <c r="AE94" s="109"/>
      <c r="AF94" s="109"/>
      <c r="AH94" s="19"/>
      <c r="AI94" s="84"/>
      <c r="AJ94" s="56"/>
      <c r="AK94" s="156"/>
      <c r="AL94" s="84"/>
      <c r="AM94" s="144"/>
      <c r="AN94" s="84"/>
      <c r="AO94" s="144"/>
      <c r="AP94" s="84"/>
      <c r="AQ94" s="144"/>
      <c r="AR94" s="84"/>
      <c r="AS94" s="144"/>
      <c r="AT94" s="84"/>
      <c r="AU94" s="144"/>
      <c r="AV94" s="84"/>
    </row>
    <row r="95" spans="1:48" s="99" customFormat="1" ht="13" x14ac:dyDescent="0.3">
      <c r="A95" s="139"/>
      <c r="B95" s="41"/>
      <c r="C95" s="109"/>
      <c r="D95" s="30"/>
      <c r="E95" s="109"/>
      <c r="F95" s="30"/>
      <c r="G95" s="30"/>
      <c r="H95" s="30"/>
      <c r="I95" s="30"/>
      <c r="J95" s="30"/>
      <c r="K95" s="30"/>
      <c r="L95" s="30"/>
      <c r="M95" s="150"/>
      <c r="N95" s="109"/>
      <c r="O95" s="109"/>
      <c r="P95" s="109"/>
      <c r="Q95" s="109"/>
      <c r="R95" s="109"/>
      <c r="S95" s="109"/>
      <c r="T95" s="109"/>
      <c r="U95" s="109"/>
      <c r="V95" s="1"/>
      <c r="W95" s="1"/>
      <c r="X95" s="1"/>
      <c r="Y95" s="1"/>
      <c r="Z95" s="1"/>
      <c r="AA95" s="1"/>
      <c r="AB95" s="1"/>
      <c r="AC95" s="1"/>
      <c r="AD95" s="1"/>
      <c r="AE95" s="109"/>
      <c r="AF95" s="109"/>
      <c r="AH95" s="19"/>
      <c r="AI95" s="84"/>
      <c r="AJ95" s="156"/>
      <c r="AK95" s="156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</row>
    <row r="96" spans="1:48" s="99" customFormat="1" ht="13" x14ac:dyDescent="0.3">
      <c r="A96" s="139"/>
      <c r="B96" s="140"/>
      <c r="C96" s="109"/>
      <c r="D96" s="144"/>
      <c r="E96" s="109"/>
      <c r="F96" s="144"/>
      <c r="G96" s="109"/>
      <c r="H96" s="144"/>
      <c r="I96" s="109"/>
      <c r="J96" s="144"/>
      <c r="K96" s="109"/>
      <c r="L96" s="144"/>
      <c r="M96" s="109"/>
      <c r="N96" s="109"/>
      <c r="O96" s="109"/>
      <c r="P96" s="109"/>
      <c r="Q96" s="109"/>
      <c r="R96" s="109"/>
      <c r="S96" s="109"/>
      <c r="T96" s="109"/>
      <c r="U96" s="109"/>
      <c r="V96" s="1"/>
      <c r="W96" s="1"/>
      <c r="X96" s="1"/>
      <c r="Y96" s="1"/>
      <c r="Z96" s="1"/>
      <c r="AA96" s="1"/>
      <c r="AB96" s="1"/>
      <c r="AC96" s="1"/>
      <c r="AD96" s="1"/>
      <c r="AE96" s="109"/>
      <c r="AF96" s="109"/>
      <c r="AH96" s="19"/>
      <c r="AI96" s="84"/>
      <c r="AJ96" s="56"/>
      <c r="AK96" s="155"/>
      <c r="AL96" s="84"/>
      <c r="AM96" s="30"/>
      <c r="AN96" s="84"/>
      <c r="AO96" s="30"/>
      <c r="AP96" s="30"/>
      <c r="AQ96" s="30"/>
      <c r="AR96" s="30"/>
      <c r="AS96" s="30"/>
      <c r="AT96" s="30"/>
      <c r="AU96" s="30"/>
      <c r="AV96" s="84"/>
    </row>
    <row r="97" spans="1:48" s="99" customFormat="1" x14ac:dyDescent="0.25">
      <c r="A97" s="109"/>
      <c r="B97" s="41"/>
      <c r="C97" s="109"/>
      <c r="D97" s="30"/>
      <c r="E97" s="109"/>
      <c r="F97" s="30"/>
      <c r="G97" s="30"/>
      <c r="H97" s="30"/>
      <c r="I97" s="30"/>
      <c r="J97" s="30"/>
      <c r="K97" s="109"/>
      <c r="L97" s="30"/>
      <c r="M97" s="109"/>
      <c r="N97" s="109"/>
      <c r="O97" s="109"/>
      <c r="P97" s="109"/>
      <c r="Q97" s="109"/>
      <c r="R97" s="109"/>
      <c r="S97" s="109"/>
      <c r="T97" s="109"/>
      <c r="U97" s="109"/>
      <c r="V97" s="1"/>
      <c r="W97" s="1"/>
      <c r="X97" s="1"/>
      <c r="Y97" s="1"/>
      <c r="Z97" s="1"/>
      <c r="AA97" s="1"/>
      <c r="AB97" s="1"/>
      <c r="AC97" s="1"/>
      <c r="AD97" s="1"/>
      <c r="AE97" s="109"/>
      <c r="AF97" s="109"/>
      <c r="AH97" s="19"/>
      <c r="AI97" s="84"/>
      <c r="AJ97" s="56"/>
      <c r="AK97" s="155"/>
      <c r="AL97" s="84"/>
      <c r="AM97" s="144"/>
      <c r="AN97" s="84"/>
      <c r="AO97" s="144"/>
      <c r="AP97" s="30"/>
      <c r="AQ97" s="144"/>
      <c r="AR97" s="30"/>
      <c r="AS97" s="144"/>
      <c r="AT97" s="84"/>
      <c r="AU97" s="144"/>
      <c r="AV97" s="84"/>
    </row>
    <row r="98" spans="1:48" s="99" customFormat="1" ht="13" x14ac:dyDescent="0.3">
      <c r="A98" s="139"/>
      <c r="B98" s="41"/>
      <c r="C98" s="109"/>
      <c r="D98" s="30"/>
      <c r="E98" s="109"/>
      <c r="F98" s="30"/>
      <c r="G98" s="30"/>
      <c r="H98" s="30"/>
      <c r="I98" s="30"/>
      <c r="J98" s="30"/>
      <c r="K98" s="30"/>
      <c r="L98" s="30"/>
      <c r="M98" s="150"/>
      <c r="N98" s="109"/>
      <c r="O98" s="109"/>
      <c r="P98" s="109"/>
      <c r="Q98" s="109"/>
      <c r="R98" s="109"/>
      <c r="S98" s="109"/>
      <c r="T98" s="109"/>
      <c r="U98" s="109"/>
      <c r="V98" s="1"/>
      <c r="W98" s="1"/>
      <c r="X98" s="1"/>
      <c r="Y98" s="1"/>
      <c r="Z98" s="1"/>
      <c r="AA98" s="1"/>
      <c r="AB98" s="1"/>
      <c r="AC98" s="1"/>
      <c r="AD98" s="1"/>
      <c r="AE98" s="109"/>
      <c r="AF98" s="109"/>
      <c r="AH98" s="19"/>
      <c r="AI98" s="84"/>
      <c r="AJ98" s="56"/>
      <c r="AK98" s="156"/>
      <c r="AL98" s="84"/>
      <c r="AM98" s="30"/>
      <c r="AN98" s="84"/>
      <c r="AO98" s="30"/>
      <c r="AP98" s="30"/>
      <c r="AQ98" s="30"/>
      <c r="AR98" s="30"/>
      <c r="AS98" s="30"/>
      <c r="AT98" s="84"/>
      <c r="AU98" s="30"/>
      <c r="AV98" s="84"/>
    </row>
    <row r="99" spans="1:48" s="99" customFormat="1" ht="13" x14ac:dyDescent="0.3">
      <c r="A99" s="139"/>
      <c r="B99" s="140"/>
      <c r="C99" s="109"/>
      <c r="D99" s="144"/>
      <c r="E99" s="109"/>
      <c r="F99" s="144"/>
      <c r="G99" s="109"/>
      <c r="H99" s="144"/>
      <c r="I99" s="109"/>
      <c r="J99" s="144"/>
      <c r="K99" s="109"/>
      <c r="L99" s="144"/>
      <c r="M99" s="109"/>
      <c r="N99" s="109"/>
      <c r="O99" s="109"/>
      <c r="P99" s="109"/>
      <c r="Q99" s="109"/>
      <c r="R99" s="109"/>
      <c r="S99" s="109"/>
      <c r="T99" s="109"/>
      <c r="U99" s="109"/>
      <c r="V99" s="1"/>
      <c r="W99" s="1"/>
      <c r="X99" s="1"/>
      <c r="Y99" s="1"/>
      <c r="Z99" s="1"/>
      <c r="AA99" s="1"/>
      <c r="AB99" s="1"/>
      <c r="AC99" s="1"/>
      <c r="AD99" s="1"/>
      <c r="AE99" s="109"/>
      <c r="AF99" s="109"/>
      <c r="AH99" s="19"/>
      <c r="AI99" s="84"/>
      <c r="AJ99" s="56"/>
      <c r="AK99" s="155"/>
      <c r="AL99" s="84"/>
      <c r="AM99" s="30"/>
      <c r="AN99" s="84"/>
      <c r="AO99" s="30"/>
      <c r="AP99" s="30"/>
      <c r="AQ99" s="30"/>
      <c r="AR99" s="30"/>
      <c r="AS99" s="30"/>
      <c r="AT99" s="30"/>
      <c r="AU99" s="30"/>
      <c r="AV99" s="84"/>
    </row>
    <row r="100" spans="1:48" s="99" customFormat="1" x14ac:dyDescent="0.25">
      <c r="A100" s="109"/>
      <c r="B100" s="41"/>
      <c r="C100" s="109"/>
      <c r="D100" s="30"/>
      <c r="E100" s="109"/>
      <c r="F100" s="30"/>
      <c r="G100" s="30"/>
      <c r="H100" s="30"/>
      <c r="I100" s="30"/>
      <c r="J100" s="30"/>
      <c r="K100" s="109"/>
      <c r="L100" s="30"/>
      <c r="M100" s="109"/>
      <c r="N100" s="109"/>
      <c r="O100" s="109"/>
      <c r="P100" s="109"/>
      <c r="Q100" s="109"/>
      <c r="R100" s="109"/>
      <c r="S100" s="109"/>
      <c r="T100" s="109"/>
      <c r="U100" s="109"/>
      <c r="V100" s="1"/>
      <c r="W100" s="1"/>
      <c r="X100" s="1"/>
      <c r="Y100" s="1"/>
      <c r="Z100" s="1"/>
      <c r="AA100" s="1"/>
      <c r="AB100" s="1"/>
      <c r="AC100" s="1"/>
      <c r="AD100" s="1"/>
      <c r="AE100" s="109"/>
      <c r="AF100" s="109"/>
      <c r="AH100" s="19"/>
      <c r="AI100" s="84"/>
      <c r="AJ100" s="56"/>
      <c r="AK100" s="156"/>
      <c r="AL100" s="84"/>
      <c r="AM100" s="144"/>
      <c r="AN100" s="84"/>
      <c r="AO100" s="144"/>
      <c r="AP100" s="84"/>
      <c r="AQ100" s="144"/>
      <c r="AR100" s="84"/>
      <c r="AS100" s="144"/>
      <c r="AT100" s="84"/>
      <c r="AU100" s="144"/>
      <c r="AV100" s="84"/>
    </row>
    <row r="101" spans="1:48" s="99" customFormat="1" x14ac:dyDescent="0.25">
      <c r="A101" s="13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"/>
      <c r="W101" s="1"/>
      <c r="X101" s="1"/>
      <c r="Y101" s="1"/>
      <c r="Z101" s="1"/>
      <c r="AA101" s="1"/>
      <c r="AB101" s="1"/>
      <c r="AC101" s="1"/>
      <c r="AD101" s="1"/>
      <c r="AE101" s="109"/>
      <c r="AF101" s="109"/>
      <c r="AH101" s="19"/>
      <c r="AI101" s="84"/>
      <c r="AJ101" s="56"/>
      <c r="AK101" s="156"/>
      <c r="AL101" s="84"/>
      <c r="AM101" s="30"/>
      <c r="AN101" s="84"/>
      <c r="AO101" s="30"/>
      <c r="AP101" s="30"/>
      <c r="AQ101" s="30"/>
      <c r="AR101" s="30"/>
      <c r="AS101" s="30"/>
      <c r="AT101" s="84"/>
      <c r="AU101" s="30"/>
      <c r="AV101" s="84"/>
    </row>
    <row r="102" spans="1:48" s="99" customFormat="1" x14ac:dyDescent="0.25">
      <c r="A102" s="13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"/>
      <c r="W102" s="1"/>
      <c r="X102" s="1"/>
      <c r="Y102" s="1"/>
      <c r="Z102" s="1"/>
      <c r="AA102" s="1"/>
      <c r="AB102" s="1"/>
      <c r="AC102" s="1"/>
      <c r="AD102" s="1"/>
      <c r="AE102" s="109"/>
      <c r="AF102" s="109"/>
      <c r="AH102" s="19"/>
      <c r="AI102" s="84"/>
      <c r="AJ102" s="56"/>
      <c r="AK102" s="155"/>
      <c r="AL102" s="84"/>
      <c r="AM102" s="32"/>
      <c r="AN102" s="32"/>
      <c r="AO102" s="32"/>
      <c r="AP102" s="32"/>
      <c r="AQ102" s="32"/>
      <c r="AR102" s="32"/>
      <c r="AS102" s="32"/>
      <c r="AT102" s="32"/>
      <c r="AU102" s="32"/>
      <c r="AV102" s="84"/>
    </row>
    <row r="103" spans="1:48" s="99" customFormat="1" x14ac:dyDescent="0.25">
      <c r="A103" s="109"/>
      <c r="B103" s="41"/>
      <c r="C103" s="109"/>
      <c r="D103" s="30"/>
      <c r="E103" s="109"/>
      <c r="F103" s="30"/>
      <c r="G103" s="30"/>
      <c r="H103" s="30"/>
      <c r="I103" s="30"/>
      <c r="J103" s="30"/>
      <c r="K103" s="109"/>
      <c r="L103" s="30"/>
      <c r="M103" s="109"/>
      <c r="N103" s="109"/>
      <c r="O103" s="109"/>
      <c r="P103" s="109"/>
      <c r="Q103" s="109"/>
      <c r="R103" s="109"/>
      <c r="S103" s="109"/>
      <c r="T103" s="109"/>
      <c r="U103" s="109"/>
      <c r="V103" s="1"/>
      <c r="W103" s="1"/>
      <c r="X103" s="1"/>
      <c r="Y103" s="1"/>
      <c r="Z103" s="1"/>
      <c r="AA103" s="1"/>
      <c r="AB103" s="1"/>
      <c r="AC103" s="1"/>
      <c r="AD103" s="1"/>
      <c r="AE103" s="109"/>
      <c r="AF103" s="109"/>
      <c r="AH103" s="19"/>
      <c r="AI103" s="84"/>
      <c r="AJ103" s="56"/>
      <c r="AK103" s="156"/>
      <c r="AL103" s="84"/>
      <c r="AM103" s="144"/>
      <c r="AN103" s="84"/>
      <c r="AO103" s="144"/>
      <c r="AP103" s="84"/>
      <c r="AQ103" s="144"/>
      <c r="AR103" s="84"/>
      <c r="AS103" s="144"/>
      <c r="AT103" s="84"/>
      <c r="AU103" s="144"/>
      <c r="AV103" s="84"/>
    </row>
    <row r="104" spans="1:48" x14ac:dyDescent="0.25">
      <c r="A104" s="43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AE104" s="109"/>
      <c r="AF104" s="109"/>
      <c r="AH104" s="19"/>
      <c r="AJ104" s="156"/>
      <c r="AK104" s="156"/>
    </row>
    <row r="105" spans="1:48" x14ac:dyDescent="0.25">
      <c r="A105" s="43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AE105" s="109"/>
      <c r="AF105" s="109"/>
      <c r="AH105" s="19"/>
      <c r="AJ105" s="56"/>
      <c r="AK105" s="155"/>
      <c r="AM105" s="30"/>
      <c r="AO105" s="30"/>
      <c r="AP105" s="30"/>
      <c r="AQ105" s="30"/>
      <c r="AR105" s="30"/>
      <c r="AS105" s="30"/>
      <c r="AT105" s="30"/>
      <c r="AU105" s="30"/>
    </row>
    <row r="106" spans="1:48" x14ac:dyDescent="0.25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AE106" s="109"/>
      <c r="AF106" s="109"/>
      <c r="AH106" s="19"/>
      <c r="AJ106" s="56"/>
      <c r="AK106" s="156"/>
      <c r="AM106" s="144"/>
      <c r="AO106" s="144"/>
      <c r="AQ106" s="144"/>
      <c r="AS106" s="144"/>
      <c r="AU106" s="144"/>
    </row>
    <row r="107" spans="1:48" ht="13" x14ac:dyDescent="0.3">
      <c r="A107" s="43"/>
      <c r="B107" s="41"/>
      <c r="C107" s="109"/>
      <c r="D107" s="30"/>
      <c r="E107" s="109"/>
      <c r="F107" s="110"/>
      <c r="G107" s="110"/>
      <c r="H107" s="110"/>
      <c r="I107" s="110"/>
      <c r="J107" s="110"/>
      <c r="K107" s="110"/>
      <c r="L107" s="110"/>
      <c r="M107" s="150"/>
      <c r="N107" s="109"/>
      <c r="O107" s="109"/>
      <c r="P107" s="109"/>
      <c r="Q107" s="109"/>
      <c r="R107" s="109"/>
      <c r="S107" s="109"/>
      <c r="T107" s="109"/>
      <c r="U107" s="109"/>
      <c r="AE107" s="109"/>
      <c r="AF107" s="109"/>
      <c r="AH107" s="19"/>
      <c r="AJ107" s="156"/>
      <c r="AK107" s="156"/>
      <c r="AM107" s="144"/>
      <c r="AO107" s="144"/>
      <c r="AQ107" s="144"/>
      <c r="AS107" s="144"/>
      <c r="AU107" s="144"/>
    </row>
    <row r="108" spans="1:48" ht="13" x14ac:dyDescent="0.3">
      <c r="A108" s="43"/>
      <c r="B108" s="140"/>
      <c r="C108" s="109"/>
      <c r="D108" s="144"/>
      <c r="E108" s="109"/>
      <c r="F108" s="144"/>
      <c r="G108" s="109"/>
      <c r="H108" s="144"/>
      <c r="I108" s="109"/>
      <c r="J108" s="144"/>
      <c r="K108" s="109"/>
      <c r="L108" s="144"/>
      <c r="M108" s="109"/>
      <c r="N108" s="109"/>
      <c r="O108" s="109"/>
      <c r="P108" s="109"/>
      <c r="Q108" s="109"/>
      <c r="R108" s="109"/>
      <c r="S108" s="109"/>
      <c r="T108" s="109"/>
      <c r="U108" s="109"/>
      <c r="AE108" s="109"/>
      <c r="AF108" s="109"/>
      <c r="AH108" s="19"/>
      <c r="AJ108" s="56"/>
      <c r="AK108" s="155"/>
      <c r="AM108" s="30"/>
      <c r="AN108" s="158"/>
      <c r="AO108" s="30"/>
      <c r="AP108" s="30"/>
      <c r="AQ108" s="30"/>
      <c r="AR108" s="30"/>
      <c r="AS108" s="30"/>
      <c r="AT108" s="30"/>
      <c r="AU108" s="30"/>
    </row>
    <row r="109" spans="1:48" x14ac:dyDescent="0.25">
      <c r="A109" s="109"/>
      <c r="B109" s="41"/>
      <c r="C109" s="109"/>
      <c r="D109" s="143"/>
      <c r="E109" s="109"/>
      <c r="F109" s="144"/>
      <c r="G109" s="109"/>
      <c r="H109" s="144"/>
      <c r="I109" s="109"/>
      <c r="J109" s="144"/>
      <c r="K109" s="109"/>
      <c r="L109" s="144"/>
      <c r="M109" s="109"/>
      <c r="N109" s="109"/>
      <c r="O109" s="109"/>
      <c r="P109" s="109"/>
      <c r="Q109" s="109"/>
      <c r="R109" s="109"/>
      <c r="S109" s="109"/>
      <c r="T109" s="109"/>
      <c r="U109" s="109"/>
      <c r="AE109" s="109"/>
      <c r="AF109" s="109"/>
      <c r="AH109" s="19"/>
      <c r="AJ109" s="56"/>
      <c r="AK109" s="156"/>
      <c r="AM109" s="144"/>
      <c r="AO109" s="144"/>
      <c r="AQ109" s="144"/>
      <c r="AS109" s="144"/>
      <c r="AU109" s="144"/>
    </row>
    <row r="110" spans="1:48" ht="13" x14ac:dyDescent="0.3">
      <c r="A110" s="43"/>
      <c r="B110" s="41"/>
      <c r="C110" s="109"/>
      <c r="D110" s="30"/>
      <c r="E110" s="109"/>
      <c r="F110" s="110"/>
      <c r="G110" s="110"/>
      <c r="H110" s="110"/>
      <c r="I110" s="110"/>
      <c r="J110" s="110"/>
      <c r="K110" s="110"/>
      <c r="L110" s="110"/>
      <c r="M110" s="150"/>
      <c r="N110" s="109"/>
      <c r="O110" s="109"/>
      <c r="P110" s="109"/>
      <c r="Q110" s="109"/>
      <c r="R110" s="109"/>
      <c r="S110" s="109"/>
      <c r="T110" s="109"/>
      <c r="U110" s="109"/>
      <c r="AE110" s="109"/>
      <c r="AF110" s="109"/>
      <c r="AH110" s="19"/>
      <c r="AJ110" s="156"/>
      <c r="AK110" s="156"/>
    </row>
    <row r="111" spans="1:48" ht="13" x14ac:dyDescent="0.3">
      <c r="A111" s="43"/>
      <c r="B111" s="140"/>
      <c r="C111" s="109"/>
      <c r="D111" s="144"/>
      <c r="E111" s="109"/>
      <c r="F111" s="144"/>
      <c r="G111" s="109"/>
      <c r="H111" s="144"/>
      <c r="I111" s="109"/>
      <c r="J111" s="144"/>
      <c r="K111" s="109"/>
      <c r="L111" s="144"/>
      <c r="M111" s="109"/>
      <c r="N111" s="109"/>
      <c r="O111" s="109"/>
      <c r="P111" s="109"/>
      <c r="Q111" s="109"/>
      <c r="R111" s="109"/>
      <c r="S111" s="109"/>
      <c r="T111" s="109"/>
      <c r="U111" s="109"/>
      <c r="AE111" s="109"/>
      <c r="AF111" s="109"/>
      <c r="AH111" s="19"/>
      <c r="AJ111" s="56"/>
      <c r="AK111" s="155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8" x14ac:dyDescent="0.25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AE112" s="109"/>
      <c r="AF112" s="109"/>
      <c r="AH112" s="19"/>
      <c r="AJ112" s="56"/>
      <c r="AK112" s="156"/>
      <c r="AM112" s="144"/>
      <c r="AO112" s="144"/>
      <c r="AQ112" s="144"/>
      <c r="AS112" s="144"/>
      <c r="AU112" s="144"/>
    </row>
    <row r="113" spans="1:47" x14ac:dyDescent="0.25">
      <c r="A113" s="43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AE113" s="109"/>
      <c r="AF113" s="109"/>
      <c r="AH113" s="19"/>
      <c r="AJ113" s="156"/>
      <c r="AK113" s="156"/>
    </row>
    <row r="114" spans="1:47" x14ac:dyDescent="0.25">
      <c r="A114" s="3"/>
      <c r="AH114" s="19"/>
      <c r="AJ114" s="56"/>
      <c r="AK114" s="155"/>
      <c r="AM114" s="30"/>
      <c r="AN114" s="158"/>
      <c r="AO114" s="30"/>
      <c r="AP114" s="30"/>
      <c r="AQ114" s="30"/>
      <c r="AR114" s="30"/>
      <c r="AS114" s="30"/>
      <c r="AT114" s="30"/>
      <c r="AU114" s="30"/>
    </row>
    <row r="115" spans="1:47" x14ac:dyDescent="0.25">
      <c r="C115" s="24"/>
      <c r="D115" s="17"/>
      <c r="E115" s="24"/>
      <c r="F115" s="17"/>
      <c r="H115" s="17"/>
      <c r="J115" s="17"/>
      <c r="L115" s="17"/>
      <c r="AH115" s="19"/>
      <c r="AJ115" s="56"/>
      <c r="AK115" s="156"/>
      <c r="AM115" s="144"/>
      <c r="AO115" s="144"/>
      <c r="AQ115" s="144"/>
      <c r="AS115" s="144"/>
      <c r="AU115" s="144"/>
    </row>
    <row r="116" spans="1:47" x14ac:dyDescent="0.25">
      <c r="A116" s="2"/>
      <c r="AH116" s="19"/>
      <c r="AJ116" s="156"/>
      <c r="AK116" s="156"/>
    </row>
    <row r="117" spans="1:47" x14ac:dyDescent="0.25">
      <c r="A117" s="2"/>
      <c r="AH117" s="19"/>
      <c r="AJ117" s="56"/>
      <c r="AK117" s="155"/>
      <c r="AM117" s="30"/>
      <c r="AN117" s="158"/>
      <c r="AO117" s="30"/>
      <c r="AP117" s="30"/>
      <c r="AQ117" s="30"/>
      <c r="AR117" s="30"/>
      <c r="AS117" s="30"/>
      <c r="AT117" s="30"/>
      <c r="AU117" s="30"/>
    </row>
    <row r="118" spans="1:47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97"/>
      <c r="AH118" s="19"/>
      <c r="AJ118" s="56"/>
      <c r="AK118" s="156"/>
      <c r="AM118" s="144"/>
      <c r="AO118" s="144"/>
      <c r="AQ118" s="144"/>
      <c r="AS118" s="144"/>
      <c r="AU118" s="144"/>
    </row>
    <row r="119" spans="1:47" ht="13" x14ac:dyDescent="0.3">
      <c r="A119" s="2"/>
      <c r="M119" s="151"/>
      <c r="AH119" s="19"/>
      <c r="AJ119" s="156"/>
      <c r="AK119" s="156"/>
    </row>
    <row r="120" spans="1:47" x14ac:dyDescent="0.25">
      <c r="A120" s="2"/>
      <c r="M120" s="97"/>
      <c r="AH120" s="19"/>
      <c r="AJ120" s="56"/>
      <c r="AK120" s="155"/>
      <c r="AM120" s="30"/>
      <c r="AN120" s="158"/>
      <c r="AO120" s="30"/>
      <c r="AP120" s="30"/>
      <c r="AQ120" s="30"/>
      <c r="AR120" s="30"/>
      <c r="AS120" s="30"/>
      <c r="AT120" s="30"/>
      <c r="AU120" s="30"/>
    </row>
    <row r="121" spans="1:47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97"/>
      <c r="AH121" s="19"/>
      <c r="AJ121" s="56"/>
      <c r="AK121" s="156"/>
      <c r="AM121" s="144"/>
      <c r="AO121" s="144"/>
      <c r="AQ121" s="144"/>
      <c r="AS121" s="144"/>
      <c r="AU121" s="144"/>
    </row>
    <row r="122" spans="1:47" x14ac:dyDescent="0.25">
      <c r="A122" s="2"/>
      <c r="M122" s="119"/>
      <c r="AH122" s="19"/>
      <c r="AJ122" s="156"/>
      <c r="AK122" s="156"/>
    </row>
    <row r="123" spans="1:47" x14ac:dyDescent="0.25">
      <c r="A123" s="2"/>
      <c r="M123" s="97"/>
      <c r="AH123" s="19"/>
      <c r="AJ123" s="56"/>
      <c r="AK123" s="155"/>
      <c r="AM123" s="30"/>
      <c r="AO123" s="30"/>
      <c r="AP123" s="30"/>
      <c r="AQ123" s="30"/>
      <c r="AR123" s="30"/>
      <c r="AS123" s="30"/>
      <c r="AT123" s="30"/>
      <c r="AU123" s="30"/>
    </row>
    <row r="124" spans="1:47" x14ac:dyDescent="0.25">
      <c r="E124" s="24"/>
      <c r="M124" s="97"/>
      <c r="AH124" s="19"/>
      <c r="AJ124" s="56"/>
      <c r="AK124" s="155"/>
      <c r="AM124" s="144"/>
      <c r="AO124" s="144"/>
      <c r="AQ124" s="144"/>
      <c r="AS124" s="144"/>
      <c r="AU124" s="144"/>
    </row>
    <row r="125" spans="1:47" ht="13" x14ac:dyDescent="0.3">
      <c r="A125" s="2"/>
      <c r="M125" s="151"/>
      <c r="AH125" s="19"/>
      <c r="AJ125" s="56"/>
      <c r="AK125" s="156"/>
      <c r="AM125" s="30"/>
      <c r="AO125" s="30"/>
      <c r="AP125" s="30"/>
      <c r="AQ125" s="30"/>
      <c r="AR125" s="30"/>
      <c r="AS125" s="30"/>
      <c r="AU125" s="30"/>
    </row>
    <row r="126" spans="1:47" x14ac:dyDescent="0.25">
      <c r="A126" s="2"/>
      <c r="M126" s="97"/>
      <c r="AH126" s="19"/>
      <c r="AJ126" s="56"/>
      <c r="AK126" s="155"/>
      <c r="AM126" s="30"/>
      <c r="AO126" s="30"/>
      <c r="AP126" s="30"/>
      <c r="AQ126" s="30"/>
      <c r="AR126" s="30"/>
      <c r="AS126" s="30"/>
      <c r="AT126" s="30"/>
      <c r="AU126" s="30"/>
    </row>
    <row r="127" spans="1:47" x14ac:dyDescent="0.25">
      <c r="B127" s="28"/>
      <c r="C127" s="24"/>
      <c r="D127" s="22"/>
      <c r="E127" s="24"/>
      <c r="F127" s="22"/>
      <c r="G127" s="22"/>
      <c r="H127" s="22"/>
      <c r="I127" s="22"/>
      <c r="J127" s="22"/>
      <c r="K127" s="24"/>
      <c r="L127" s="22"/>
      <c r="M127" s="97"/>
      <c r="AH127" s="19"/>
      <c r="AJ127" s="56"/>
      <c r="AK127" s="156"/>
      <c r="AM127" s="144"/>
      <c r="AO127" s="144"/>
      <c r="AQ127" s="144"/>
      <c r="AS127" s="144"/>
      <c r="AU127" s="144"/>
    </row>
    <row r="128" spans="1:47" ht="13" x14ac:dyDescent="0.3">
      <c r="A128" s="2"/>
      <c r="M128" s="151"/>
      <c r="AH128" s="19"/>
      <c r="AJ128" s="156"/>
      <c r="AK128" s="156"/>
    </row>
    <row r="129" spans="1:48" x14ac:dyDescent="0.25">
      <c r="A129" s="2"/>
      <c r="M129" s="97"/>
      <c r="AH129" s="19"/>
      <c r="AJ129" s="56"/>
      <c r="AK129" s="155"/>
      <c r="AM129" s="30"/>
      <c r="AN129" s="158"/>
      <c r="AO129" s="30"/>
      <c r="AP129" s="30"/>
      <c r="AQ129" s="30"/>
      <c r="AR129" s="30"/>
      <c r="AS129" s="30"/>
      <c r="AT129" s="30"/>
      <c r="AU129" s="30"/>
    </row>
    <row r="130" spans="1:48" x14ac:dyDescent="0.25">
      <c r="M130" s="97"/>
      <c r="AH130" s="19"/>
      <c r="AJ130" s="156"/>
      <c r="AK130" s="156"/>
      <c r="AM130" s="144"/>
      <c r="AO130" s="144"/>
      <c r="AQ130" s="144"/>
      <c r="AS130" s="144"/>
      <c r="AU130" s="144"/>
    </row>
    <row r="131" spans="1:48" ht="13" x14ac:dyDescent="0.3">
      <c r="A131" s="2"/>
      <c r="M131" s="151"/>
      <c r="AH131" s="19"/>
      <c r="AJ131" s="156"/>
      <c r="AK131" s="156"/>
    </row>
    <row r="132" spans="1:48" x14ac:dyDescent="0.25">
      <c r="A132" s="2"/>
      <c r="M132" s="97"/>
    </row>
    <row r="133" spans="1:48" x14ac:dyDescent="0.25">
      <c r="M133" s="97"/>
    </row>
    <row r="134" spans="1:48" ht="13" x14ac:dyDescent="0.3">
      <c r="A134" s="2"/>
      <c r="M134" s="151"/>
    </row>
    <row r="135" spans="1:48" x14ac:dyDescent="0.25">
      <c r="A135" s="2"/>
      <c r="M135" s="97"/>
    </row>
    <row r="136" spans="1:48" x14ac:dyDescent="0.25">
      <c r="M136" s="97"/>
    </row>
    <row r="137" spans="1:48" s="99" customFormat="1" ht="13" x14ac:dyDescent="0.3">
      <c r="A137" s="2"/>
      <c r="M137" s="151"/>
      <c r="V137" s="1"/>
      <c r="W137" s="1"/>
      <c r="X137" s="1"/>
      <c r="Y137" s="1"/>
      <c r="Z137" s="1"/>
      <c r="AA137" s="1"/>
      <c r="AB137" s="1"/>
      <c r="AC137" s="1"/>
      <c r="AD137" s="1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</row>
    <row r="138" spans="1:48" s="99" customFormat="1" x14ac:dyDescent="0.25">
      <c r="A138" s="2"/>
      <c r="M138" s="97"/>
      <c r="V138" s="1"/>
      <c r="W138" s="1"/>
      <c r="X138" s="1"/>
      <c r="Y138" s="1"/>
      <c r="Z138" s="1"/>
      <c r="AA138" s="1"/>
      <c r="AB138" s="1"/>
      <c r="AC138" s="1"/>
      <c r="AD138" s="1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</row>
    <row r="139" spans="1:48" s="99" customFormat="1" x14ac:dyDescent="0.25">
      <c r="M139" s="97"/>
      <c r="V139" s="1"/>
      <c r="W139" s="1"/>
      <c r="X139" s="1"/>
      <c r="Y139" s="1"/>
      <c r="Z139" s="1"/>
      <c r="AA139" s="1"/>
      <c r="AB139" s="1"/>
      <c r="AC139" s="1"/>
      <c r="AD139" s="1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</row>
    <row r="140" spans="1:48" ht="13" x14ac:dyDescent="0.3">
      <c r="A140" s="2"/>
      <c r="M140" s="151"/>
    </row>
    <row r="141" spans="1:48" x14ac:dyDescent="0.25">
      <c r="A141" s="2"/>
      <c r="M141" s="97"/>
    </row>
    <row r="142" spans="1:48" x14ac:dyDescent="0.25">
      <c r="D142" s="24"/>
      <c r="E142" s="24"/>
    </row>
    <row r="143" spans="1:48" x14ac:dyDescent="0.25">
      <c r="A143" s="2"/>
    </row>
    <row r="144" spans="1:48" x14ac:dyDescent="0.25">
      <c r="A144" s="2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37">
    <cfRule type="cellIs" dxfId="27" priority="13" operator="equal">
      <formula>"check"</formula>
    </cfRule>
    <cfRule type="cellIs" dxfId="26" priority="14" operator="equal">
      <formula>"ok"</formula>
    </cfRule>
  </conditionalFormatting>
  <conditionalFormatting sqref="M125">
    <cfRule type="cellIs" dxfId="25" priority="11" operator="equal">
      <formula>"check"</formula>
    </cfRule>
    <cfRule type="cellIs" dxfId="24" priority="12" operator="equal">
      <formula>"ok"</formula>
    </cfRule>
  </conditionalFormatting>
  <conditionalFormatting sqref="M128">
    <cfRule type="cellIs" dxfId="23" priority="9" operator="equal">
      <formula>"check"</formula>
    </cfRule>
    <cfRule type="cellIs" dxfId="22" priority="10" operator="equal">
      <formula>"ok"</formula>
    </cfRule>
  </conditionalFormatting>
  <conditionalFormatting sqref="M131">
    <cfRule type="cellIs" dxfId="21" priority="7" operator="equal">
      <formula>"check"</formula>
    </cfRule>
    <cfRule type="cellIs" dxfId="20" priority="8" operator="equal">
      <formula>"ok"</formula>
    </cfRule>
  </conditionalFormatting>
  <conditionalFormatting sqref="M134">
    <cfRule type="cellIs" dxfId="19" priority="5" operator="equal">
      <formula>"check"</formula>
    </cfRule>
    <cfRule type="cellIs" dxfId="18" priority="6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55" fitToHeight="3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</sheetPr>
  <dimension ref="B5:AZ181"/>
  <sheetViews>
    <sheetView view="pageLayout" topLeftCell="A4" zoomScaleNormal="80" workbookViewId="0">
      <selection activeCell="B4" sqref="B4"/>
    </sheetView>
  </sheetViews>
  <sheetFormatPr defaultColWidth="9.1796875" defaultRowHeight="12.5" x14ac:dyDescent="0.25"/>
  <cols>
    <col min="1" max="1" width="1.7265625" style="1" customWidth="1"/>
    <col min="2" max="2" width="5.54296875" style="163" bestFit="1" customWidth="1"/>
    <col min="3" max="3" width="1.7265625" style="1" customWidth="1"/>
    <col min="4" max="4" width="46" style="99" bestFit="1" customWidth="1"/>
    <col min="5" max="5" width="1.7265625" style="1" customWidth="1"/>
    <col min="6" max="6" width="19.7265625" style="94" customWidth="1"/>
    <col min="7" max="7" width="1.7265625" style="94" customWidth="1"/>
    <col min="8" max="8" width="13.1796875" style="94" customWidth="1"/>
    <col min="9" max="9" width="1.7265625" style="94" customWidth="1"/>
    <col min="10" max="10" width="19.26953125" style="94" customWidth="1"/>
    <col min="11" max="11" width="1.7265625" style="188" customWidth="1"/>
    <col min="12" max="12" width="13.26953125" style="94" customWidth="1"/>
    <col min="13" max="13" width="1.7265625" style="1" customWidth="1"/>
    <col min="14" max="14" width="19.81640625" style="1" customWidth="1"/>
    <col min="15" max="15" width="1.7265625" style="187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customWidth="1"/>
    <col min="29" max="29" width="1.7265625" style="1" customWidth="1"/>
    <col min="30" max="30" width="15.453125" style="1" hidden="1" customWidth="1"/>
    <col min="31" max="31" width="9.1796875" style="1"/>
    <col min="32" max="32" width="0" style="1" hidden="1" customWidth="1"/>
    <col min="33" max="33" width="9.1796875" style="1"/>
    <col min="34" max="34" width="9.1796875" style="73"/>
    <col min="35" max="35" width="11.54296875" style="73" customWidth="1"/>
    <col min="36" max="37" width="9.1796875" style="73"/>
    <col min="38" max="38" width="11.54296875" style="73" customWidth="1"/>
    <col min="39" max="39" width="2.1796875" style="73" customWidth="1"/>
    <col min="40" max="40" width="11.54296875" style="73" customWidth="1"/>
    <col min="41" max="41" width="2" style="73" customWidth="1"/>
    <col min="42" max="42" width="11.54296875" style="73" customWidth="1"/>
    <col min="43" max="43" width="2.1796875" style="73" customWidth="1"/>
    <col min="44" max="44" width="11.54296875" style="73" customWidth="1"/>
    <col min="45" max="45" width="2.1796875" style="73" customWidth="1"/>
    <col min="46" max="46" width="11.54296875" style="73" customWidth="1"/>
    <col min="47" max="47" width="2.1796875" style="73" customWidth="1"/>
    <col min="48" max="48" width="11.54296875" style="73" customWidth="1"/>
    <col min="49" max="49" width="2.1796875" style="73" customWidth="1"/>
    <col min="50" max="50" width="11.54296875" style="73" customWidth="1"/>
    <col min="51" max="51" width="2.1796875" style="73" customWidth="1"/>
    <col min="52" max="52" width="11.54296875" style="73" customWidth="1"/>
    <col min="53" max="16384" width="9.1796875" style="1"/>
  </cols>
  <sheetData>
    <row r="5" spans="2:52" ht="15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</row>
    <row r="6" spans="2:52" ht="15" customHeight="1" x14ac:dyDescent="0.25">
      <c r="B6" s="264" t="s">
        <v>412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</row>
    <row r="7" spans="2:52" ht="15" customHeight="1" x14ac:dyDescent="0.25">
      <c r="B7" s="263" t="s">
        <v>452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</row>
    <row r="10" spans="2:52" x14ac:dyDescent="0.25">
      <c r="H10" s="91" t="s">
        <v>11</v>
      </c>
      <c r="J10" s="91" t="s">
        <v>153</v>
      </c>
      <c r="L10" s="91" t="s">
        <v>160</v>
      </c>
      <c r="N10" s="52" t="s">
        <v>9</v>
      </c>
      <c r="P10" s="265" t="s">
        <v>51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E10" s="24"/>
    </row>
    <row r="11" spans="2:52" x14ac:dyDescent="0.25">
      <c r="B11" s="163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52" t="s">
        <v>164</v>
      </c>
      <c r="P11" s="20" t="s">
        <v>52</v>
      </c>
      <c r="Q11" s="20"/>
      <c r="R11" s="2" t="s">
        <v>54</v>
      </c>
      <c r="S11" s="3"/>
      <c r="T11" s="2" t="s">
        <v>55</v>
      </c>
      <c r="U11" s="3"/>
      <c r="V11" s="2" t="s">
        <v>52</v>
      </c>
      <c r="W11" s="3"/>
      <c r="X11" s="2"/>
      <c r="Y11" s="3"/>
      <c r="Z11" s="2" t="s">
        <v>60</v>
      </c>
      <c r="AA11" s="2"/>
      <c r="AB11" s="2" t="s">
        <v>9</v>
      </c>
      <c r="AD11" s="2"/>
      <c r="AE11" s="24"/>
    </row>
    <row r="12" spans="2:52" ht="13" x14ac:dyDescent="0.3">
      <c r="B12" s="164" t="s">
        <v>4</v>
      </c>
      <c r="D12" s="5" t="s">
        <v>449</v>
      </c>
      <c r="F12" s="202" t="s">
        <v>5</v>
      </c>
      <c r="H12" s="202" t="s">
        <v>154</v>
      </c>
      <c r="J12" s="202" t="s">
        <v>6</v>
      </c>
      <c r="K12" s="188" t="s">
        <v>285</v>
      </c>
      <c r="L12" s="202" t="s">
        <v>366</v>
      </c>
      <c r="N12" s="4" t="s">
        <v>6</v>
      </c>
      <c r="O12" s="189" t="s">
        <v>285</v>
      </c>
      <c r="P12" s="4" t="s">
        <v>53</v>
      </c>
      <c r="Q12" s="20"/>
      <c r="R12" s="4" t="s">
        <v>53</v>
      </c>
      <c r="S12" s="20"/>
      <c r="T12" s="4" t="s">
        <v>53</v>
      </c>
      <c r="U12" s="20"/>
      <c r="V12" s="4" t="s">
        <v>55</v>
      </c>
      <c r="W12" s="20"/>
      <c r="X12" s="59" t="s">
        <v>58</v>
      </c>
      <c r="Y12" s="20"/>
      <c r="Z12" s="59" t="s">
        <v>104</v>
      </c>
      <c r="AA12" s="19"/>
      <c r="AB12" s="59" t="s">
        <v>49</v>
      </c>
      <c r="AD12" s="59" t="s">
        <v>11</v>
      </c>
      <c r="AE12" s="24"/>
      <c r="AF12" s="36" t="s">
        <v>107</v>
      </c>
      <c r="AH12" s="240"/>
    </row>
    <row r="13" spans="2:52" x14ac:dyDescent="0.25">
      <c r="F13" s="91" t="s">
        <v>12</v>
      </c>
      <c r="H13" s="91" t="s">
        <v>13</v>
      </c>
      <c r="J13" s="91" t="s">
        <v>14</v>
      </c>
      <c r="L13" s="91" t="s">
        <v>217</v>
      </c>
      <c r="N13" s="20" t="s">
        <v>15</v>
      </c>
      <c r="O13" s="186"/>
      <c r="P13" s="20" t="s">
        <v>16</v>
      </c>
      <c r="Q13" s="20"/>
      <c r="R13" s="20" t="s">
        <v>59</v>
      </c>
      <c r="S13" s="20"/>
      <c r="T13" s="20" t="s">
        <v>61</v>
      </c>
      <c r="U13" s="20"/>
      <c r="V13" s="20" t="s">
        <v>62</v>
      </c>
      <c r="W13" s="20"/>
      <c r="X13" s="58" t="s">
        <v>105</v>
      </c>
      <c r="Y13" s="20"/>
      <c r="Z13" s="58" t="s">
        <v>166</v>
      </c>
      <c r="AA13" s="29"/>
      <c r="AB13" s="58" t="s">
        <v>167</v>
      </c>
      <c r="AD13" s="58" t="s">
        <v>304</v>
      </c>
      <c r="AE13" s="24"/>
      <c r="AF13" s="37"/>
    </row>
    <row r="14" spans="2:52" s="187" customFormat="1" x14ac:dyDescent="0.25">
      <c r="B14" s="186"/>
      <c r="F14" s="94"/>
      <c r="G14" s="94"/>
      <c r="H14" s="94"/>
      <c r="I14" s="94"/>
      <c r="J14" s="94"/>
      <c r="K14" s="188"/>
      <c r="L14" s="94"/>
      <c r="P14" s="187">
        <v>4</v>
      </c>
      <c r="R14" s="187">
        <v>6</v>
      </c>
      <c r="T14" s="187">
        <v>8</v>
      </c>
      <c r="V14" s="187">
        <v>10</v>
      </c>
      <c r="X14" s="187">
        <v>12</v>
      </c>
      <c r="Z14" s="187">
        <v>14</v>
      </c>
      <c r="AB14" s="187">
        <v>16</v>
      </c>
      <c r="AE14" s="188"/>
      <c r="AF14" s="19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</row>
    <row r="15" spans="2:52" ht="13" x14ac:dyDescent="0.3">
      <c r="D15" s="6"/>
      <c r="E15" s="6"/>
      <c r="F15" s="219"/>
      <c r="AE15" s="24"/>
      <c r="AF15" s="35"/>
      <c r="AI15" s="2" t="s">
        <v>362</v>
      </c>
      <c r="AL15" s="2" t="s">
        <v>52</v>
      </c>
      <c r="AM15" s="2"/>
      <c r="AN15" s="2" t="s">
        <v>54</v>
      </c>
      <c r="AO15" s="2"/>
      <c r="AP15" s="2" t="s">
        <v>55</v>
      </c>
      <c r="AQ15" s="2"/>
      <c r="AR15" s="2" t="s">
        <v>56</v>
      </c>
      <c r="AS15" s="2"/>
      <c r="AT15" s="2" t="s">
        <v>57</v>
      </c>
      <c r="AU15" s="2"/>
      <c r="AV15" s="2" t="s">
        <v>60</v>
      </c>
      <c r="AW15" s="2"/>
      <c r="AX15" s="2" t="s">
        <v>9</v>
      </c>
      <c r="AZ15" s="2"/>
    </row>
    <row r="16" spans="2:52" s="99" customFormat="1" ht="13" x14ac:dyDescent="0.3">
      <c r="B16" s="163"/>
      <c r="D16" s="6" t="s">
        <v>329</v>
      </c>
      <c r="E16" s="7"/>
      <c r="F16" s="220"/>
      <c r="G16" s="94"/>
      <c r="H16" s="94"/>
      <c r="I16" s="94"/>
      <c r="J16" s="94"/>
      <c r="K16" s="188"/>
      <c r="L16" s="94"/>
      <c r="O16" s="187"/>
      <c r="AE16" s="97"/>
      <c r="AF16" s="37"/>
      <c r="AH16" s="73"/>
      <c r="AI16" s="57" t="s">
        <v>363</v>
      </c>
      <c r="AJ16" s="73"/>
      <c r="AK16" s="73"/>
      <c r="AL16" s="57" t="s">
        <v>53</v>
      </c>
      <c r="AM16" s="2"/>
      <c r="AN16" s="57" t="s">
        <v>53</v>
      </c>
      <c r="AO16" s="2"/>
      <c r="AP16" s="57" t="s">
        <v>53</v>
      </c>
      <c r="AQ16" s="2"/>
      <c r="AR16" s="57" t="s">
        <v>55</v>
      </c>
      <c r="AS16" s="2"/>
      <c r="AT16" s="57" t="s">
        <v>58</v>
      </c>
      <c r="AU16" s="2"/>
      <c r="AV16" s="57" t="s">
        <v>104</v>
      </c>
      <c r="AW16" s="56"/>
      <c r="AX16" s="57" t="s">
        <v>49</v>
      </c>
      <c r="AY16" s="73"/>
      <c r="AZ16" s="57" t="s">
        <v>11</v>
      </c>
    </row>
    <row r="17" spans="2:52" s="99" customFormat="1" ht="13" x14ac:dyDescent="0.3">
      <c r="B17" s="163"/>
      <c r="F17" s="94"/>
      <c r="G17" s="94"/>
      <c r="H17" s="94"/>
      <c r="I17" s="94"/>
      <c r="J17" s="94"/>
      <c r="K17" s="188"/>
      <c r="L17" s="94"/>
      <c r="O17" s="187"/>
      <c r="AE17" s="97"/>
      <c r="AF17" s="35" t="str">
        <f t="shared" ref="AF17:AF30" si="0">IF(ROUND(F17,4)=ROUND(AD17,4), "", "check")</f>
        <v/>
      </c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</row>
    <row r="18" spans="2:52" s="99" customFormat="1" ht="13" x14ac:dyDescent="0.3">
      <c r="B18" s="163">
        <v>1</v>
      </c>
      <c r="D18" s="99" t="s">
        <v>77</v>
      </c>
      <c r="F18" s="113">
        <f ca="1">Function!T18</f>
        <v>81031.114909682263</v>
      </c>
      <c r="G18" s="94"/>
      <c r="H18" s="113"/>
      <c r="I18" s="94"/>
      <c r="J18" s="91"/>
      <c r="K18" s="192">
        <f>_xlfn.IFNA(MATCH(J18,'Trans Factors'!$B$13:$B$450,0),0)</f>
        <v>0</v>
      </c>
      <c r="L18" s="113">
        <f ca="1">F18-H18</f>
        <v>81031.114909682263</v>
      </c>
      <c r="N18" s="28" t="s">
        <v>307</v>
      </c>
      <c r="O18" s="186">
        <f>_xlfn.IFNA(MATCH(N18,'Trans Factors'!$B$13:$B$450,0),0)</f>
        <v>29</v>
      </c>
      <c r="P18" s="22">
        <f ca="1">OFFSET('Trans Factors'!$B$13,$O18-1,P$14)*$L18+OFFSET('Trans Factors'!$B$13,$K18-1,P$14)*$H18</f>
        <v>4168.0006204362635</v>
      </c>
      <c r="Q18" s="97"/>
      <c r="R18" s="22">
        <f ca="1">OFFSET('Trans Factors'!$B$13,$O18-1,R$14)*$L18+OFFSET('Trans Factors'!$B$13,$K18-1,R$14)*$H18</f>
        <v>0</v>
      </c>
      <c r="S18" s="22"/>
      <c r="T18" s="22">
        <f ca="1">OFFSET('Trans Factors'!$B$13,$O18-1,T$14)*$L18+OFFSET('Trans Factors'!$B$13,$K18-1,T$14)*$H18</f>
        <v>30938.217400000009</v>
      </c>
      <c r="U18" s="22"/>
      <c r="V18" s="22">
        <f ca="1">OFFSET('Trans Factors'!$B$13,$O18-1,V$14)*$L18+OFFSET('Trans Factors'!$B$13,$K18-1,V$14)*$H18</f>
        <v>40450.501670000027</v>
      </c>
      <c r="X18" s="22">
        <f ca="1">OFFSET('Trans Factors'!$B$13,$O18-1,X$14)*$L18+OFFSET('Trans Factors'!$B$13,$K18-1,X$14)*$H18</f>
        <v>42.977502500000014</v>
      </c>
      <c r="Y18" s="100"/>
      <c r="Z18" s="22">
        <f ca="1">OFFSET('Trans Factors'!$B$13,$O18-1,Z$14)*$L18+OFFSET('Trans Factors'!$B$13,$K18-1,Z$14)*$H18</f>
        <v>5431.4177167459711</v>
      </c>
      <c r="AA18" s="22"/>
      <c r="AB18" s="22">
        <f ca="1">OFFSET('Trans Factors'!$B$13,$O18-1,AB$14)*$L18+OFFSET('Trans Factors'!$B$13,$K18-1,AB$14)*$H18</f>
        <v>0</v>
      </c>
      <c r="AD18" s="22">
        <f ca="1">P18+R18+T18+V18+X18+Z18+AB18</f>
        <v>81031.114909682263</v>
      </c>
      <c r="AE18" s="97"/>
      <c r="AF18" s="35" t="str">
        <f t="shared" ca="1" si="0"/>
        <v/>
      </c>
      <c r="AH18" s="73"/>
      <c r="AI18" s="235">
        <v>0</v>
      </c>
      <c r="AJ18" s="73"/>
      <c r="AK18" s="73"/>
      <c r="AL18" s="235">
        <f ca="1">IFERROR(P18/$AD18*$AI18,"")</f>
        <v>0</v>
      </c>
      <c r="AM18" s="238"/>
      <c r="AN18" s="235">
        <f ca="1">IFERROR(R18/$AD18*$AI18,"")</f>
        <v>0</v>
      </c>
      <c r="AO18" s="238"/>
      <c r="AP18" s="235">
        <f ca="1">IFERROR(T18/$AD18*$AI18,"")</f>
        <v>0</v>
      </c>
      <c r="AQ18" s="238"/>
      <c r="AR18" s="235">
        <f ca="1">IFERROR(V18/$AD18*$AI18,"")</f>
        <v>0</v>
      </c>
      <c r="AS18" s="238"/>
      <c r="AT18" s="235">
        <f ca="1">IFERROR(X18/$AD18*$AI18,"")</f>
        <v>0</v>
      </c>
      <c r="AU18" s="238"/>
      <c r="AV18" s="235">
        <f ca="1">IFERROR(Z18/$AD18*$AI18,"")</f>
        <v>0</v>
      </c>
      <c r="AW18" s="238"/>
      <c r="AX18" s="235">
        <f ca="1">IFERROR(AB18/$AD18*$AI18,"")</f>
        <v>0</v>
      </c>
      <c r="AY18" s="73"/>
      <c r="AZ18" s="241">
        <f ca="1">SUM(AL18:AX18)</f>
        <v>0</v>
      </c>
    </row>
    <row r="19" spans="2:52" s="99" customFormat="1" ht="13" x14ac:dyDescent="0.3">
      <c r="B19" s="163">
        <f>B18+1</f>
        <v>2</v>
      </c>
      <c r="D19" s="99" t="s">
        <v>76</v>
      </c>
      <c r="F19" s="113">
        <f ca="1">Function!T19</f>
        <v>64690.372260000018</v>
      </c>
      <c r="G19" s="94"/>
      <c r="H19" s="113"/>
      <c r="I19" s="94"/>
      <c r="J19" s="91"/>
      <c r="K19" s="192">
        <f>_xlfn.IFNA(MATCH(J19,'Trans Factors'!$B$13:$B$450,0),0)</f>
        <v>0</v>
      </c>
      <c r="L19" s="113">
        <f t="shared" ref="L19:L30" ca="1" si="1">F19-H19</f>
        <v>64690.372260000018</v>
      </c>
      <c r="M19" s="97"/>
      <c r="N19" s="28" t="s">
        <v>308</v>
      </c>
      <c r="O19" s="186">
        <f>_xlfn.IFNA(MATCH(N19,'Trans Factors'!$B$13:$B$450,0),0)</f>
        <v>32</v>
      </c>
      <c r="P19" s="22">
        <f ca="1">OFFSET('Trans Factors'!$B$13,$O19-1,P$14)*$L19+OFFSET('Trans Factors'!$B$13,$K19-1,P$14)*$H19</f>
        <v>0</v>
      </c>
      <c r="Q19" s="97"/>
      <c r="R19" s="22">
        <f ca="1">OFFSET('Trans Factors'!$B$13,$O19-1,R$14)*$L19+OFFSET('Trans Factors'!$B$13,$K19-1,R$14)*$H19</f>
        <v>0</v>
      </c>
      <c r="S19" s="22"/>
      <c r="T19" s="22">
        <f ca="1">OFFSET('Trans Factors'!$B$13,$O19-1,T$14)*$L19+OFFSET('Trans Factors'!$B$13,$K19-1,T$14)*$H19</f>
        <v>427.95000000000016</v>
      </c>
      <c r="U19" s="22"/>
      <c r="V19" s="22">
        <f ca="1">OFFSET('Trans Factors'!$B$13,$O19-1,V$14)*$L19+OFFSET('Trans Factors'!$B$13,$K19-1,V$14)*$H19</f>
        <v>34298.746130000007</v>
      </c>
      <c r="X19" s="22">
        <f ca="1">OFFSET('Trans Factors'!$B$13,$O19-1,X$14)*$L19+OFFSET('Trans Factors'!$B$13,$K19-1,X$14)*$H19</f>
        <v>19861.049590000006</v>
      </c>
      <c r="Y19" s="100"/>
      <c r="Z19" s="22">
        <f ca="1">OFFSET('Trans Factors'!$B$13,$O19-1,Z$14)*$L19+OFFSET('Trans Factors'!$B$13,$K19-1,Z$14)*$H19</f>
        <v>10102.626540000005</v>
      </c>
      <c r="AA19" s="22"/>
      <c r="AB19" s="22">
        <f ca="1">OFFSET('Trans Factors'!$B$13,$O19-1,AB$14)*$L19+OFFSET('Trans Factors'!$B$13,$K19-1,AB$14)*$H19</f>
        <v>0</v>
      </c>
      <c r="AD19" s="22">
        <f t="shared" ref="AD19:AD30" ca="1" si="2">P19+R19+T19+V19+X19+Z19+AB19</f>
        <v>64690.372260000011</v>
      </c>
      <c r="AE19" s="97"/>
      <c r="AF19" s="35" t="str">
        <f t="shared" ca="1" si="0"/>
        <v/>
      </c>
      <c r="AH19" s="73"/>
      <c r="AI19" s="235">
        <v>1106.9351843047568</v>
      </c>
      <c r="AJ19" s="73"/>
      <c r="AK19" s="73"/>
      <c r="AL19" s="235">
        <f t="shared" ref="AL19:AX30" ca="1" si="3">IFERROR(P19/$AD19*$AI19,"")</f>
        <v>0</v>
      </c>
      <c r="AM19" s="238"/>
      <c r="AN19" s="235">
        <f t="shared" ca="1" si="3"/>
        <v>0</v>
      </c>
      <c r="AO19" s="238"/>
      <c r="AP19" s="235">
        <f t="shared" ca="1" si="3"/>
        <v>7.3227730120225587</v>
      </c>
      <c r="AQ19" s="238"/>
      <c r="AR19" s="235">
        <f t="shared" ca="1" si="3"/>
        <v>586.89550766906689</v>
      </c>
      <c r="AS19" s="238"/>
      <c r="AT19" s="235">
        <f t="shared" ca="1" si="3"/>
        <v>339.84801478699313</v>
      </c>
      <c r="AU19" s="238"/>
      <c r="AV19" s="235">
        <f t="shared" ca="1" si="3"/>
        <v>172.8688888366745</v>
      </c>
      <c r="AW19" s="238"/>
      <c r="AX19" s="235">
        <f t="shared" ca="1" si="3"/>
        <v>0</v>
      </c>
      <c r="AY19" s="73"/>
      <c r="AZ19" s="241">
        <f t="shared" ref="AZ19:AZ30" ca="1" si="4">SUM(AL19:AX19)</f>
        <v>1106.9351843047571</v>
      </c>
    </row>
    <row r="20" spans="2:52" s="99" customFormat="1" ht="13" x14ac:dyDescent="0.3">
      <c r="B20" s="163">
        <f t="shared" ref="B20:B31" si="5">B19+1</f>
        <v>3</v>
      </c>
      <c r="D20" s="99" t="s">
        <v>19</v>
      </c>
      <c r="F20" s="113">
        <f ca="1">Function!T20</f>
        <v>211742.30627404284</v>
      </c>
      <c r="G20" s="94"/>
      <c r="H20" s="113"/>
      <c r="I20" s="94"/>
      <c r="J20" s="91"/>
      <c r="K20" s="192">
        <f>_xlfn.IFNA(MATCH(J20,'Trans Factors'!$B$13:$B$450,0),0)</f>
        <v>0</v>
      </c>
      <c r="L20" s="113">
        <f t="shared" ca="1" si="1"/>
        <v>211742.30627404284</v>
      </c>
      <c r="M20" s="97"/>
      <c r="N20" s="28" t="s">
        <v>309</v>
      </c>
      <c r="O20" s="186">
        <f>_xlfn.IFNA(MATCH(N20,'Trans Factors'!$B$13:$B$450,0),0)</f>
        <v>65</v>
      </c>
      <c r="P20" s="22">
        <f ca="1">OFFSET('Trans Factors'!$B$13,$O20-1,P$14)*$L20+OFFSET('Trans Factors'!$B$13,$K20-1,P$14)*$H20</f>
        <v>38228.102706980484</v>
      </c>
      <c r="Q20" s="97"/>
      <c r="R20" s="22">
        <f ca="1">OFFSET('Trans Factors'!$B$13,$O20-1,R$14)*$L20+OFFSET('Trans Factors'!$B$13,$K20-1,R$14)*$H20</f>
        <v>2159.9639478204872</v>
      </c>
      <c r="S20" s="22"/>
      <c r="T20" s="22">
        <f ca="1">OFFSET('Trans Factors'!$B$13,$O20-1,T$14)*$L20+OFFSET('Trans Factors'!$B$13,$K20-1,T$14)*$H20</f>
        <v>79366.560994702348</v>
      </c>
      <c r="U20" s="22"/>
      <c r="V20" s="22">
        <f ca="1">OFFSET('Trans Factors'!$B$13,$O20-1,V$14)*$L20+OFFSET('Trans Factors'!$B$13,$K20-1,V$14)*$H20</f>
        <v>86945.670952664863</v>
      </c>
      <c r="X20" s="22">
        <f ca="1">OFFSET('Trans Factors'!$B$13,$O20-1,X$14)*$L20+OFFSET('Trans Factors'!$B$13,$K20-1,X$14)*$H20</f>
        <v>0</v>
      </c>
      <c r="Y20" s="100"/>
      <c r="Z20" s="22">
        <f ca="1">OFFSET('Trans Factors'!$B$13,$O20-1,Z$14)*$L20+OFFSET('Trans Factors'!$B$13,$K20-1,Z$14)*$H20</f>
        <v>5042.0076718746495</v>
      </c>
      <c r="AA20" s="22"/>
      <c r="AB20" s="22">
        <f ca="1">OFFSET('Trans Factors'!$B$13,$O20-1,AB$14)*$L20+OFFSET('Trans Factors'!$B$13,$K20-1,AB$14)*$H20</f>
        <v>0</v>
      </c>
      <c r="AD20" s="22">
        <f t="shared" ca="1" si="2"/>
        <v>211742.30627404284</v>
      </c>
      <c r="AE20" s="97"/>
      <c r="AF20" s="35" t="str">
        <f t="shared" ca="1" si="0"/>
        <v/>
      </c>
      <c r="AH20" s="73"/>
      <c r="AI20" s="235">
        <v>5002.1158484555199</v>
      </c>
      <c r="AJ20" s="73"/>
      <c r="AK20" s="73"/>
      <c r="AL20" s="235">
        <f t="shared" ca="1" si="3"/>
        <v>903.08546162469918</v>
      </c>
      <c r="AM20" s="238"/>
      <c r="AN20" s="235">
        <f t="shared" ca="1" si="3"/>
        <v>51.026127397998899</v>
      </c>
      <c r="AO20" s="238"/>
      <c r="AP20" s="235">
        <f t="shared" ca="1" si="3"/>
        <v>1874.924003496981</v>
      </c>
      <c r="AQ20" s="238"/>
      <c r="AR20" s="235">
        <f t="shared" ca="1" si="3"/>
        <v>2053.9698763082702</v>
      </c>
      <c r="AS20" s="238"/>
      <c r="AT20" s="235">
        <f t="shared" ca="1" si="3"/>
        <v>0</v>
      </c>
      <c r="AU20" s="238"/>
      <c r="AV20" s="235">
        <f t="shared" ca="1" si="3"/>
        <v>119.1103796275703</v>
      </c>
      <c r="AW20" s="238"/>
      <c r="AX20" s="235">
        <f t="shared" ca="1" si="3"/>
        <v>0</v>
      </c>
      <c r="AY20" s="73"/>
      <c r="AZ20" s="241">
        <f t="shared" ca="1" si="4"/>
        <v>5002.115848455519</v>
      </c>
    </row>
    <row r="21" spans="2:52" s="99" customFormat="1" ht="13" x14ac:dyDescent="0.3">
      <c r="B21" s="163">
        <f t="shared" si="5"/>
        <v>4</v>
      </c>
      <c r="D21" s="99" t="s">
        <v>21</v>
      </c>
      <c r="F21" s="113">
        <f ca="1">Function!T21</f>
        <v>293466.87206014263</v>
      </c>
      <c r="G21" s="94"/>
      <c r="H21" s="113"/>
      <c r="I21" s="94"/>
      <c r="J21" s="91"/>
      <c r="K21" s="192">
        <f>_xlfn.IFNA(MATCH(J21,'Trans Factors'!$B$13:$B$450,0),0)</f>
        <v>0</v>
      </c>
      <c r="L21" s="113">
        <f t="shared" ca="1" si="1"/>
        <v>293466.87206014263</v>
      </c>
      <c r="M21" s="97"/>
      <c r="N21" s="28" t="s">
        <v>310</v>
      </c>
      <c r="O21" s="186">
        <f>_xlfn.IFNA(MATCH(N21,'Trans Factors'!$B$13:$B$450,0),0)</f>
        <v>47</v>
      </c>
      <c r="P21" s="22">
        <f ca="1">OFFSET('Trans Factors'!$B$13,$O21-1,P$14)*$L21+OFFSET('Trans Factors'!$B$13,$K21-1,P$14)*$H21</f>
        <v>73971.592004132646</v>
      </c>
      <c r="Q21" s="97"/>
      <c r="R21" s="22">
        <f ca="1">OFFSET('Trans Factors'!$B$13,$O21-1,R$14)*$L21+OFFSET('Trans Factors'!$B$13,$K21-1,R$14)*$H21</f>
        <v>14562.609643379703</v>
      </c>
      <c r="S21" s="22"/>
      <c r="T21" s="22">
        <f ca="1">OFFSET('Trans Factors'!$B$13,$O21-1,T$14)*$L21+OFFSET('Trans Factors'!$B$13,$K21-1,T$14)*$H21</f>
        <v>58892.23515251591</v>
      </c>
      <c r="U21" s="22"/>
      <c r="V21" s="22">
        <f ca="1">OFFSET('Trans Factors'!$B$13,$O21-1,V$14)*$L21+OFFSET('Trans Factors'!$B$13,$K21-1,V$14)*$H21</f>
        <v>0</v>
      </c>
      <c r="X21" s="22">
        <f ca="1">OFFSET('Trans Factors'!$B$13,$O21-1,X$14)*$L21+OFFSET('Trans Factors'!$B$13,$K21-1,X$14)*$H21</f>
        <v>3464.1131800000012</v>
      </c>
      <c r="Y21" s="100"/>
      <c r="Z21" s="22">
        <f ca="1">OFFSET('Trans Factors'!$B$13,$O21-1,Z$14)*$L21+OFFSET('Trans Factors'!$B$13,$K21-1,Z$14)*$H21</f>
        <v>142576.32208011436</v>
      </c>
      <c r="AA21" s="22"/>
      <c r="AB21" s="22">
        <f ca="1">OFFSET('Trans Factors'!$B$13,$O21-1,AB$14)*$L21+OFFSET('Trans Factors'!$B$13,$K21-1,AB$14)*$H21</f>
        <v>0</v>
      </c>
      <c r="AD21" s="22">
        <f t="shared" ca="1" si="2"/>
        <v>293466.87206014263</v>
      </c>
      <c r="AE21" s="97"/>
      <c r="AF21" s="35" t="str">
        <f t="shared" ca="1" si="0"/>
        <v/>
      </c>
      <c r="AH21" s="73"/>
      <c r="AI21" s="235">
        <v>8700.8014028659109</v>
      </c>
      <c r="AJ21" s="73"/>
      <c r="AK21" s="73"/>
      <c r="AL21" s="235">
        <f t="shared" ca="1" si="3"/>
        <v>2193.1338517482864</v>
      </c>
      <c r="AM21" s="238"/>
      <c r="AN21" s="235">
        <f t="shared" ca="1" si="3"/>
        <v>431.7569936430159</v>
      </c>
      <c r="AO21" s="238"/>
      <c r="AP21" s="235">
        <f t="shared" ca="1" si="3"/>
        <v>1746.0561685746497</v>
      </c>
      <c r="AQ21" s="238"/>
      <c r="AR21" s="235">
        <f t="shared" ca="1" si="3"/>
        <v>0</v>
      </c>
      <c r="AS21" s="238"/>
      <c r="AT21" s="235">
        <f t="shared" ca="1" si="3"/>
        <v>102.70515579711956</v>
      </c>
      <c r="AU21" s="238"/>
      <c r="AV21" s="235">
        <f t="shared" ca="1" si="3"/>
        <v>4227.1492331028394</v>
      </c>
      <c r="AW21" s="238"/>
      <c r="AX21" s="235">
        <f t="shared" ca="1" si="3"/>
        <v>0</v>
      </c>
      <c r="AY21" s="73"/>
      <c r="AZ21" s="241">
        <f t="shared" ca="1" si="4"/>
        <v>8700.8014028659109</v>
      </c>
    </row>
    <row r="22" spans="2:52" s="99" customFormat="1" ht="13" x14ac:dyDescent="0.3">
      <c r="B22" s="163">
        <f t="shared" si="5"/>
        <v>5</v>
      </c>
      <c r="D22" s="99" t="s">
        <v>23</v>
      </c>
      <c r="F22" s="113">
        <f ca="1">Function!T22</f>
        <v>2318861.9823710392</v>
      </c>
      <c r="G22" s="94"/>
      <c r="H22" s="113"/>
      <c r="I22" s="94"/>
      <c r="J22" s="94"/>
      <c r="K22" s="192">
        <f>_xlfn.IFNA(MATCH(J22,'Trans Factors'!$B$13:$B$450,0),0)</f>
        <v>0</v>
      </c>
      <c r="L22" s="113">
        <f t="shared" ca="1" si="1"/>
        <v>2318861.9823710392</v>
      </c>
      <c r="M22" s="97"/>
      <c r="N22" s="28" t="s">
        <v>311</v>
      </c>
      <c r="O22" s="186">
        <f>_xlfn.IFNA(MATCH(N22,'Trans Factors'!$B$13:$B$450,0),0)</f>
        <v>41</v>
      </c>
      <c r="P22" s="22">
        <f ca="1">OFFSET('Trans Factors'!$B$13,$O22-1,P$14)*$L22+OFFSET('Trans Factors'!$B$13,$K22-1,P$14)*$H22</f>
        <v>0</v>
      </c>
      <c r="Q22" s="97"/>
      <c r="R22" s="22">
        <f ca="1">OFFSET('Trans Factors'!$B$13,$O22-1,R$14)*$L22+OFFSET('Trans Factors'!$B$13,$K22-1,R$14)*$H22</f>
        <v>121.51771130194105</v>
      </c>
      <c r="S22" s="22"/>
      <c r="T22" s="22">
        <f ca="1">OFFSET('Trans Factors'!$B$13,$O22-1,T$14)*$L22+OFFSET('Trans Factors'!$B$13,$K22-1,T$14)*$H22</f>
        <v>8228.3867942890447</v>
      </c>
      <c r="U22" s="22"/>
      <c r="V22" s="22">
        <f ca="1">OFFSET('Trans Factors'!$B$13,$O22-1,V$14)*$L22+OFFSET('Trans Factors'!$B$13,$K22-1,V$14)*$H22</f>
        <v>1300861.0807294126</v>
      </c>
      <c r="X22" s="22">
        <f ca="1">OFFSET('Trans Factors'!$B$13,$O22-1,X$14)*$L22+OFFSET('Trans Factors'!$B$13,$K22-1,X$14)*$H22</f>
        <v>368401.49895007716</v>
      </c>
      <c r="Y22" s="100"/>
      <c r="Z22" s="22">
        <f ca="1">OFFSET('Trans Factors'!$B$13,$O22-1,Z$14)*$L22+OFFSET('Trans Factors'!$B$13,$K22-1,Z$14)*$H22</f>
        <v>641249.49818595871</v>
      </c>
      <c r="AA22" s="22"/>
      <c r="AB22" s="22">
        <f ca="1">OFFSET('Trans Factors'!$B$13,$O22-1,AB$14)*$L22+OFFSET('Trans Factors'!$B$13,$K22-1,AB$14)*$H22</f>
        <v>0</v>
      </c>
      <c r="AD22" s="22">
        <f t="shared" ca="1" si="2"/>
        <v>2318861.9823710397</v>
      </c>
      <c r="AE22" s="97"/>
      <c r="AF22" s="35" t="str">
        <f t="shared" ca="1" si="0"/>
        <v/>
      </c>
      <c r="AH22" s="73"/>
      <c r="AI22" s="235">
        <v>41066.771237078843</v>
      </c>
      <c r="AJ22" s="73"/>
      <c r="AK22" s="73"/>
      <c r="AL22" s="235">
        <f t="shared" ca="1" si="3"/>
        <v>0</v>
      </c>
      <c r="AM22" s="238"/>
      <c r="AN22" s="235">
        <f t="shared" ca="1" si="3"/>
        <v>2.1520642837861241</v>
      </c>
      <c r="AO22" s="238"/>
      <c r="AP22" s="235">
        <f t="shared" ca="1" si="3"/>
        <v>145.7237561787752</v>
      </c>
      <c r="AQ22" s="238"/>
      <c r="AR22" s="235">
        <f t="shared" ca="1" si="3"/>
        <v>23038.095764073765</v>
      </c>
      <c r="AS22" s="238"/>
      <c r="AT22" s="235">
        <f t="shared" ca="1" si="3"/>
        <v>6524.3469407826833</v>
      </c>
      <c r="AU22" s="238"/>
      <c r="AV22" s="235">
        <f t="shared" ca="1" si="3"/>
        <v>11356.45271175983</v>
      </c>
      <c r="AW22" s="238"/>
      <c r="AX22" s="235">
        <f t="shared" ca="1" si="3"/>
        <v>0</v>
      </c>
      <c r="AY22" s="73"/>
      <c r="AZ22" s="241">
        <f t="shared" ca="1" si="4"/>
        <v>41066.771237078836</v>
      </c>
    </row>
    <row r="23" spans="2:52" s="99" customFormat="1" ht="13" x14ac:dyDescent="0.3">
      <c r="B23" s="163">
        <f t="shared" si="5"/>
        <v>6</v>
      </c>
      <c r="D23" s="99" t="s">
        <v>25</v>
      </c>
      <c r="F23" s="113">
        <f ca="1">Function!T23</f>
        <v>1361920.8223768368</v>
      </c>
      <c r="G23" s="94"/>
      <c r="H23" s="113"/>
      <c r="I23" s="94"/>
      <c r="J23" s="94"/>
      <c r="K23" s="192">
        <f>_xlfn.IFNA(MATCH(J23,'Trans Factors'!$B$13:$B$450,0),0)</f>
        <v>0</v>
      </c>
      <c r="L23" s="113">
        <f t="shared" ca="1" si="1"/>
        <v>1361920.8223768368</v>
      </c>
      <c r="M23" s="97"/>
      <c r="N23" s="28" t="s">
        <v>312</v>
      </c>
      <c r="O23" s="186">
        <f>_xlfn.IFNA(MATCH(N23,'Trans Factors'!$B$13:$B$450,0),0)</f>
        <v>14</v>
      </c>
      <c r="P23" s="22">
        <f ca="1">OFFSET('Trans Factors'!$B$13,$O23-1,P$14)*$L23+OFFSET('Trans Factors'!$B$13,$K23-1,P$14)*$H23</f>
        <v>0</v>
      </c>
      <c r="Q23" s="97"/>
      <c r="R23" s="22">
        <f ca="1">OFFSET('Trans Factors'!$B$13,$O23-1,R$14)*$L23+OFFSET('Trans Factors'!$B$13,$K23-1,R$14)*$H23</f>
        <v>0</v>
      </c>
      <c r="S23" s="22"/>
      <c r="T23" s="22">
        <f ca="1">OFFSET('Trans Factors'!$B$13,$O23-1,T$14)*$L23+OFFSET('Trans Factors'!$B$13,$K23-1,T$14)*$H23</f>
        <v>308461.25900932599</v>
      </c>
      <c r="U23" s="22"/>
      <c r="V23" s="22">
        <f ca="1">OFFSET('Trans Factors'!$B$13,$O23-1,V$14)*$L23+OFFSET('Trans Factors'!$B$13,$K23-1,V$14)*$H23</f>
        <v>1038455.0934274064</v>
      </c>
      <c r="X23" s="22">
        <f ca="1">OFFSET('Trans Factors'!$B$13,$O23-1,X$14)*$L23+OFFSET('Trans Factors'!$B$13,$K23-1,X$14)*$H23</f>
        <v>0</v>
      </c>
      <c r="Y23" s="100"/>
      <c r="Z23" s="22">
        <f ca="1">OFFSET('Trans Factors'!$B$13,$O23-1,Z$14)*$L23+OFFSET('Trans Factors'!$B$13,$K23-1,Z$14)*$H23</f>
        <v>15004.469940104416</v>
      </c>
      <c r="AA23" s="22"/>
      <c r="AB23" s="22">
        <f ca="1">OFFSET('Trans Factors'!$B$13,$O23-1,AB$14)*$L23+OFFSET('Trans Factors'!$B$13,$K23-1,AB$14)*$H23</f>
        <v>0</v>
      </c>
      <c r="AD23" s="22">
        <f t="shared" ca="1" si="2"/>
        <v>1361920.822376837</v>
      </c>
      <c r="AE23" s="97"/>
      <c r="AF23" s="35" t="str">
        <f t="shared" ca="1" si="0"/>
        <v/>
      </c>
      <c r="AH23" s="73"/>
      <c r="AI23" s="235">
        <v>47781.329758280444</v>
      </c>
      <c r="AJ23" s="73"/>
      <c r="AK23" s="73"/>
      <c r="AL23" s="235">
        <f t="shared" ca="1" si="3"/>
        <v>0</v>
      </c>
      <c r="AM23" s="238"/>
      <c r="AN23" s="235">
        <f t="shared" ca="1" si="3"/>
        <v>0</v>
      </c>
      <c r="AO23" s="238"/>
      <c r="AP23" s="235">
        <f t="shared" ca="1" si="3"/>
        <v>10821.986779420011</v>
      </c>
      <c r="AQ23" s="238"/>
      <c r="AR23" s="235">
        <f t="shared" ca="1" si="3"/>
        <v>36432.929464743553</v>
      </c>
      <c r="AS23" s="238"/>
      <c r="AT23" s="235">
        <f t="shared" ca="1" si="3"/>
        <v>0</v>
      </c>
      <c r="AU23" s="238"/>
      <c r="AV23" s="235">
        <f t="shared" ca="1" si="3"/>
        <v>526.41351411687538</v>
      </c>
      <c r="AW23" s="238"/>
      <c r="AX23" s="235">
        <f t="shared" ca="1" si="3"/>
        <v>0</v>
      </c>
      <c r="AY23" s="73"/>
      <c r="AZ23" s="241">
        <f t="shared" ca="1" si="4"/>
        <v>47781.329758280437</v>
      </c>
    </row>
    <row r="24" spans="2:52" s="99" customFormat="1" ht="13" x14ac:dyDescent="0.3">
      <c r="B24" s="163">
        <f t="shared" si="5"/>
        <v>7</v>
      </c>
      <c r="D24" s="99" t="s">
        <v>27</v>
      </c>
      <c r="F24" s="113">
        <f ca="1">Function!T24</f>
        <v>0</v>
      </c>
      <c r="G24" s="94"/>
      <c r="H24" s="113"/>
      <c r="I24" s="94"/>
      <c r="J24" s="94"/>
      <c r="K24" s="192">
        <f>_xlfn.IFNA(MATCH(J24,'Trans Factors'!$B$13:$B$450,0),0)</f>
        <v>0</v>
      </c>
      <c r="L24" s="113">
        <f t="shared" ca="1" si="1"/>
        <v>0</v>
      </c>
      <c r="M24" s="97"/>
      <c r="N24" s="28"/>
      <c r="O24" s="186">
        <f>_xlfn.IFNA(MATCH(N24,'Trans Factors'!$B$13:$B$450,0),0)</f>
        <v>0</v>
      </c>
      <c r="P24" s="22">
        <f ca="1">OFFSET('Trans Factors'!$B$13,$O24-1,P$14)*$L24+OFFSET('Trans Factors'!$B$13,$K24-1,P$14)*$H24</f>
        <v>0</v>
      </c>
      <c r="Q24" s="97"/>
      <c r="R24" s="22">
        <f ca="1">OFFSET('Trans Factors'!$B$13,$O24-1,R$14)*$L24+OFFSET('Trans Factors'!$B$13,$K24-1,R$14)*$H24</f>
        <v>0</v>
      </c>
      <c r="S24" s="22"/>
      <c r="T24" s="22">
        <f ca="1">OFFSET('Trans Factors'!$B$13,$O24-1,T$14)*$L24+OFFSET('Trans Factors'!$B$13,$K24-1,T$14)*$H24</f>
        <v>0</v>
      </c>
      <c r="U24" s="22"/>
      <c r="V24" s="22">
        <f ca="1">OFFSET('Trans Factors'!$B$13,$O24-1,V$14)*$L24+OFFSET('Trans Factors'!$B$13,$K24-1,V$14)*$H24</f>
        <v>0</v>
      </c>
      <c r="X24" s="22">
        <f ca="1">OFFSET('Trans Factors'!$B$13,$O24-1,X$14)*$L24+OFFSET('Trans Factors'!$B$13,$K24-1,X$14)*$H24</f>
        <v>0</v>
      </c>
      <c r="Y24" s="100"/>
      <c r="Z24" s="22">
        <f ca="1">OFFSET('Trans Factors'!$B$13,$O24-1,Z$14)*$L24+OFFSET('Trans Factors'!$B$13,$K24-1,Z$14)*$H24</f>
        <v>0</v>
      </c>
      <c r="AA24" s="22"/>
      <c r="AB24" s="22">
        <f ca="1">OFFSET('Trans Factors'!$B$13,$O24-1,AB$14)*$L24+OFFSET('Trans Factors'!$B$13,$K24-1,AB$14)*$H24</f>
        <v>0</v>
      </c>
      <c r="AD24" s="22">
        <f t="shared" ca="1" si="2"/>
        <v>0</v>
      </c>
      <c r="AE24" s="97"/>
      <c r="AF24" s="35" t="str">
        <f t="shared" ca="1" si="0"/>
        <v/>
      </c>
      <c r="AH24" s="73"/>
      <c r="AI24" s="235">
        <v>0</v>
      </c>
      <c r="AJ24" s="73"/>
      <c r="AK24" s="73"/>
      <c r="AL24" s="235" t="str">
        <f t="shared" ca="1" si="3"/>
        <v/>
      </c>
      <c r="AM24" s="73"/>
      <c r="AN24" s="235" t="str">
        <f t="shared" ca="1" si="3"/>
        <v/>
      </c>
      <c r="AO24" s="238"/>
      <c r="AP24" s="235" t="str">
        <f t="shared" ca="1" si="3"/>
        <v/>
      </c>
      <c r="AQ24" s="238"/>
      <c r="AR24" s="235" t="str">
        <f t="shared" ca="1" si="3"/>
        <v/>
      </c>
      <c r="AS24" s="238"/>
      <c r="AT24" s="235" t="str">
        <f t="shared" ca="1" si="3"/>
        <v/>
      </c>
      <c r="AU24" s="238"/>
      <c r="AV24" s="235" t="str">
        <f t="shared" ca="1" si="3"/>
        <v/>
      </c>
      <c r="AW24" s="238"/>
      <c r="AX24" s="235" t="str">
        <f t="shared" ca="1" si="3"/>
        <v/>
      </c>
      <c r="AY24" s="73"/>
      <c r="AZ24" s="241">
        <f t="shared" ca="1" si="4"/>
        <v>0</v>
      </c>
    </row>
    <row r="25" spans="2:52" s="99" customFormat="1" ht="13" x14ac:dyDescent="0.3">
      <c r="B25" s="163">
        <f t="shared" si="5"/>
        <v>8</v>
      </c>
      <c r="D25" s="99" t="s">
        <v>29</v>
      </c>
      <c r="F25" s="113">
        <f ca="1">Function!T25</f>
        <v>0</v>
      </c>
      <c r="G25" s="94"/>
      <c r="H25" s="113"/>
      <c r="I25" s="94"/>
      <c r="J25" s="94"/>
      <c r="K25" s="192">
        <f>_xlfn.IFNA(MATCH(J25,'Trans Factors'!$B$13:$B$450,0),0)</f>
        <v>0</v>
      </c>
      <c r="L25" s="113">
        <f t="shared" ca="1" si="1"/>
        <v>0</v>
      </c>
      <c r="M25" s="97"/>
      <c r="N25" s="28"/>
      <c r="O25" s="186">
        <f>_xlfn.IFNA(MATCH(N25,'Trans Factors'!$B$13:$B$450,0),0)</f>
        <v>0</v>
      </c>
      <c r="P25" s="22">
        <f ca="1">OFFSET('Trans Factors'!$B$13,$O25-1,P$14)*$L25+OFFSET('Trans Factors'!$B$13,$K25-1,P$14)*$H25</f>
        <v>0</v>
      </c>
      <c r="Q25" s="97"/>
      <c r="R25" s="22">
        <f ca="1">OFFSET('Trans Factors'!$B$13,$O25-1,R$14)*$L25+OFFSET('Trans Factors'!$B$13,$K25-1,R$14)*$H25</f>
        <v>0</v>
      </c>
      <c r="S25" s="22"/>
      <c r="T25" s="22">
        <f ca="1">OFFSET('Trans Factors'!$B$13,$O25-1,T$14)*$L25+OFFSET('Trans Factors'!$B$13,$K25-1,T$14)*$H25</f>
        <v>0</v>
      </c>
      <c r="U25" s="22"/>
      <c r="V25" s="22">
        <f ca="1">OFFSET('Trans Factors'!$B$13,$O25-1,V$14)*$L25+OFFSET('Trans Factors'!$B$13,$K25-1,V$14)*$H25</f>
        <v>0</v>
      </c>
      <c r="X25" s="22">
        <f ca="1">OFFSET('Trans Factors'!$B$13,$O25-1,X$14)*$L25+OFFSET('Trans Factors'!$B$13,$K25-1,X$14)*$H25</f>
        <v>0</v>
      </c>
      <c r="Y25" s="100"/>
      <c r="Z25" s="22">
        <f ca="1">OFFSET('Trans Factors'!$B$13,$O25-1,Z$14)*$L25+OFFSET('Trans Factors'!$B$13,$K25-1,Z$14)*$H25</f>
        <v>0</v>
      </c>
      <c r="AA25" s="22"/>
      <c r="AB25" s="22">
        <f ca="1">OFFSET('Trans Factors'!$B$13,$O25-1,AB$14)*$L25+OFFSET('Trans Factors'!$B$13,$K25-1,AB$14)*$H25</f>
        <v>0</v>
      </c>
      <c r="AD25" s="22">
        <f t="shared" ca="1" si="2"/>
        <v>0</v>
      </c>
      <c r="AE25" s="97"/>
      <c r="AF25" s="35" t="str">
        <f t="shared" ca="1" si="0"/>
        <v/>
      </c>
      <c r="AH25" s="73"/>
      <c r="AI25" s="235">
        <v>0</v>
      </c>
      <c r="AJ25" s="73"/>
      <c r="AK25" s="73"/>
      <c r="AL25" s="235" t="str">
        <f t="shared" ca="1" si="3"/>
        <v/>
      </c>
      <c r="AM25" s="73"/>
      <c r="AN25" s="235" t="str">
        <f t="shared" ca="1" si="3"/>
        <v/>
      </c>
      <c r="AO25" s="238"/>
      <c r="AP25" s="235" t="str">
        <f t="shared" ca="1" si="3"/>
        <v/>
      </c>
      <c r="AQ25" s="238"/>
      <c r="AR25" s="235" t="str">
        <f t="shared" ca="1" si="3"/>
        <v/>
      </c>
      <c r="AS25" s="238"/>
      <c r="AT25" s="235" t="str">
        <f t="shared" ca="1" si="3"/>
        <v/>
      </c>
      <c r="AU25" s="238"/>
      <c r="AV25" s="235" t="str">
        <f t="shared" ca="1" si="3"/>
        <v/>
      </c>
      <c r="AW25" s="238"/>
      <c r="AX25" s="235" t="str">
        <f t="shared" ca="1" si="3"/>
        <v/>
      </c>
      <c r="AY25" s="73"/>
      <c r="AZ25" s="241">
        <f t="shared" ca="1" si="4"/>
        <v>0</v>
      </c>
    </row>
    <row r="26" spans="2:52" s="99" customFormat="1" ht="13" x14ac:dyDescent="0.3">
      <c r="B26" s="163">
        <f t="shared" si="5"/>
        <v>9</v>
      </c>
      <c r="D26" s="99" t="s">
        <v>30</v>
      </c>
      <c r="F26" s="113">
        <f ca="1">Function!T26</f>
        <v>0</v>
      </c>
      <c r="G26" s="94"/>
      <c r="H26" s="113"/>
      <c r="I26" s="94"/>
      <c r="J26" s="94"/>
      <c r="K26" s="192">
        <f>_xlfn.IFNA(MATCH(J26,'Trans Factors'!$B$13:$B$450,0),0)</f>
        <v>0</v>
      </c>
      <c r="L26" s="113">
        <f t="shared" ca="1" si="1"/>
        <v>0</v>
      </c>
      <c r="M26" s="97"/>
      <c r="N26" s="28"/>
      <c r="O26" s="186">
        <f>_xlfn.IFNA(MATCH(N26,'Trans Factors'!$B$13:$B$450,0),0)</f>
        <v>0</v>
      </c>
      <c r="P26" s="22">
        <f ca="1">OFFSET('Trans Factors'!$B$13,$O26-1,P$14)*$L26+OFFSET('Trans Factors'!$B$13,$K26-1,P$14)*$H26</f>
        <v>0</v>
      </c>
      <c r="Q26" s="97"/>
      <c r="R26" s="22">
        <f ca="1">OFFSET('Trans Factors'!$B$13,$O26-1,R$14)*$L26+OFFSET('Trans Factors'!$B$13,$K26-1,R$14)*$H26</f>
        <v>0</v>
      </c>
      <c r="S26" s="22"/>
      <c r="T26" s="22">
        <f ca="1">OFFSET('Trans Factors'!$B$13,$O26-1,T$14)*$L26+OFFSET('Trans Factors'!$B$13,$K26-1,T$14)*$H26</f>
        <v>0</v>
      </c>
      <c r="U26" s="22"/>
      <c r="V26" s="22">
        <f ca="1">OFFSET('Trans Factors'!$B$13,$O26-1,V$14)*$L26+OFFSET('Trans Factors'!$B$13,$K26-1,V$14)*$H26</f>
        <v>0</v>
      </c>
      <c r="X26" s="22">
        <f ca="1">OFFSET('Trans Factors'!$B$13,$O26-1,X$14)*$L26+OFFSET('Trans Factors'!$B$13,$K26-1,X$14)*$H26</f>
        <v>0</v>
      </c>
      <c r="Y26" s="100"/>
      <c r="Z26" s="22">
        <f ca="1">OFFSET('Trans Factors'!$B$13,$O26-1,Z$14)*$L26+OFFSET('Trans Factors'!$B$13,$K26-1,Z$14)*$H26</f>
        <v>0</v>
      </c>
      <c r="AA26" s="22"/>
      <c r="AB26" s="22">
        <f ca="1">OFFSET('Trans Factors'!$B$13,$O26-1,AB$14)*$L26+OFFSET('Trans Factors'!$B$13,$K26-1,AB$14)*$H26</f>
        <v>0</v>
      </c>
      <c r="AD26" s="22">
        <f t="shared" ca="1" si="2"/>
        <v>0</v>
      </c>
      <c r="AE26" s="97"/>
      <c r="AF26" s="35" t="str">
        <f t="shared" ca="1" si="0"/>
        <v/>
      </c>
      <c r="AH26" s="73"/>
      <c r="AI26" s="235">
        <v>0</v>
      </c>
      <c r="AJ26" s="73"/>
      <c r="AK26" s="73"/>
      <c r="AL26" s="235" t="str">
        <f t="shared" ca="1" si="3"/>
        <v/>
      </c>
      <c r="AM26" s="73"/>
      <c r="AN26" s="235" t="str">
        <f t="shared" ca="1" si="3"/>
        <v/>
      </c>
      <c r="AO26" s="238"/>
      <c r="AP26" s="235" t="str">
        <f t="shared" ca="1" si="3"/>
        <v/>
      </c>
      <c r="AQ26" s="238"/>
      <c r="AR26" s="235" t="str">
        <f t="shared" ca="1" si="3"/>
        <v/>
      </c>
      <c r="AS26" s="238"/>
      <c r="AT26" s="235" t="str">
        <f t="shared" ca="1" si="3"/>
        <v/>
      </c>
      <c r="AU26" s="238"/>
      <c r="AV26" s="235" t="str">
        <f t="shared" ca="1" si="3"/>
        <v/>
      </c>
      <c r="AW26" s="238"/>
      <c r="AX26" s="235" t="str">
        <f t="shared" ca="1" si="3"/>
        <v/>
      </c>
      <c r="AY26" s="73"/>
      <c r="AZ26" s="241">
        <f t="shared" ca="1" si="4"/>
        <v>0</v>
      </c>
    </row>
    <row r="27" spans="2:52" s="99" customFormat="1" ht="13" x14ac:dyDescent="0.3">
      <c r="B27" s="163">
        <f t="shared" si="5"/>
        <v>10</v>
      </c>
      <c r="D27" s="99" t="s">
        <v>31</v>
      </c>
      <c r="F27" s="113">
        <f ca="1">Function!T27</f>
        <v>0</v>
      </c>
      <c r="G27" s="94"/>
      <c r="H27" s="113"/>
      <c r="I27" s="94"/>
      <c r="J27" s="94"/>
      <c r="K27" s="192">
        <f>_xlfn.IFNA(MATCH(J27,'Trans Factors'!$B$13:$B$450,0),0)</f>
        <v>0</v>
      </c>
      <c r="L27" s="113">
        <f t="shared" ca="1" si="1"/>
        <v>0</v>
      </c>
      <c r="M27" s="97"/>
      <c r="N27" s="28"/>
      <c r="O27" s="186">
        <f>_xlfn.IFNA(MATCH(N27,'Trans Factors'!$B$13:$B$450,0),0)</f>
        <v>0</v>
      </c>
      <c r="P27" s="22">
        <f ca="1">OFFSET('Trans Factors'!$B$13,$O27-1,P$14)*$L27+OFFSET('Trans Factors'!$B$13,$K27-1,P$14)*$H27</f>
        <v>0</v>
      </c>
      <c r="Q27" s="97"/>
      <c r="R27" s="22">
        <f ca="1">OFFSET('Trans Factors'!$B$13,$O27-1,R$14)*$L27+OFFSET('Trans Factors'!$B$13,$K27-1,R$14)*$H27</f>
        <v>0</v>
      </c>
      <c r="S27" s="22"/>
      <c r="T27" s="22">
        <f ca="1">OFFSET('Trans Factors'!$B$13,$O27-1,T$14)*$L27+OFFSET('Trans Factors'!$B$13,$K27-1,T$14)*$H27</f>
        <v>0</v>
      </c>
      <c r="U27" s="22"/>
      <c r="V27" s="22">
        <f ca="1">OFFSET('Trans Factors'!$B$13,$O27-1,V$14)*$L27+OFFSET('Trans Factors'!$B$13,$K27-1,V$14)*$H27</f>
        <v>0</v>
      </c>
      <c r="X27" s="22">
        <f ca="1">OFFSET('Trans Factors'!$B$13,$O27-1,X$14)*$L27+OFFSET('Trans Factors'!$B$13,$K27-1,X$14)*$H27</f>
        <v>0</v>
      </c>
      <c r="Y27" s="100"/>
      <c r="Z27" s="22">
        <f ca="1">OFFSET('Trans Factors'!$B$13,$O27-1,Z$14)*$L27+OFFSET('Trans Factors'!$B$13,$K27-1,Z$14)*$H27</f>
        <v>0</v>
      </c>
      <c r="AA27" s="22"/>
      <c r="AB27" s="22">
        <f ca="1">OFFSET('Trans Factors'!$B$13,$O27-1,AB$14)*$L27+OFFSET('Trans Factors'!$B$13,$K27-1,AB$14)*$H27</f>
        <v>0</v>
      </c>
      <c r="AD27" s="22">
        <f t="shared" ca="1" si="2"/>
        <v>0</v>
      </c>
      <c r="AE27" s="97"/>
      <c r="AF27" s="35" t="str">
        <f t="shared" ca="1" si="0"/>
        <v/>
      </c>
      <c r="AH27" s="73"/>
      <c r="AI27" s="235">
        <v>0</v>
      </c>
      <c r="AJ27" s="73"/>
      <c r="AK27" s="73"/>
      <c r="AL27" s="235" t="str">
        <f t="shared" ca="1" si="3"/>
        <v/>
      </c>
      <c r="AM27" s="73"/>
      <c r="AN27" s="235" t="str">
        <f t="shared" ca="1" si="3"/>
        <v/>
      </c>
      <c r="AO27" s="238"/>
      <c r="AP27" s="235" t="str">
        <f t="shared" ca="1" si="3"/>
        <v/>
      </c>
      <c r="AQ27" s="238"/>
      <c r="AR27" s="235" t="str">
        <f t="shared" ca="1" si="3"/>
        <v/>
      </c>
      <c r="AS27" s="238"/>
      <c r="AT27" s="235" t="str">
        <f t="shared" ca="1" si="3"/>
        <v/>
      </c>
      <c r="AU27" s="238"/>
      <c r="AV27" s="235" t="str">
        <f t="shared" ca="1" si="3"/>
        <v/>
      </c>
      <c r="AW27" s="238"/>
      <c r="AX27" s="235" t="str">
        <f t="shared" ca="1" si="3"/>
        <v/>
      </c>
      <c r="AY27" s="73"/>
      <c r="AZ27" s="241">
        <f t="shared" ca="1" si="4"/>
        <v>0</v>
      </c>
    </row>
    <row r="28" spans="2:52" s="99" customFormat="1" ht="13" x14ac:dyDescent="0.3">
      <c r="B28" s="163">
        <f t="shared" si="5"/>
        <v>11</v>
      </c>
      <c r="D28" s="99" t="s">
        <v>327</v>
      </c>
      <c r="F28" s="113">
        <f ca="1">Function!T28</f>
        <v>0</v>
      </c>
      <c r="G28" s="94"/>
      <c r="H28" s="113"/>
      <c r="I28" s="94"/>
      <c r="J28" s="94"/>
      <c r="K28" s="192">
        <f>_xlfn.IFNA(MATCH(J28,'Trans Factors'!$B$13:$B$450,0),0)</f>
        <v>0</v>
      </c>
      <c r="L28" s="113">
        <f t="shared" ca="1" si="1"/>
        <v>0</v>
      </c>
      <c r="M28" s="97"/>
      <c r="N28" s="28"/>
      <c r="O28" s="186">
        <f>_xlfn.IFNA(MATCH(N28,'Trans Factors'!$B$13:$B$450,0),0)</f>
        <v>0</v>
      </c>
      <c r="P28" s="22">
        <f ca="1">OFFSET('Trans Factors'!$B$13,$O28-1,P$14)*$L28+OFFSET('Trans Factors'!$B$13,$K28-1,P$14)*$H28</f>
        <v>0</v>
      </c>
      <c r="Q28" s="97"/>
      <c r="R28" s="22">
        <f ca="1">OFFSET('Trans Factors'!$B$13,$O28-1,R$14)*$L28+OFFSET('Trans Factors'!$B$13,$K28-1,R$14)*$H28</f>
        <v>0</v>
      </c>
      <c r="S28" s="22"/>
      <c r="T28" s="22">
        <f ca="1">OFFSET('Trans Factors'!$B$13,$O28-1,T$14)*$L28+OFFSET('Trans Factors'!$B$13,$K28-1,T$14)*$H28</f>
        <v>0</v>
      </c>
      <c r="U28" s="22"/>
      <c r="V28" s="22">
        <f ca="1">OFFSET('Trans Factors'!$B$13,$O28-1,V$14)*$L28+OFFSET('Trans Factors'!$B$13,$K28-1,V$14)*$H28</f>
        <v>0</v>
      </c>
      <c r="X28" s="22">
        <f ca="1">OFFSET('Trans Factors'!$B$13,$O28-1,X$14)*$L28+OFFSET('Trans Factors'!$B$13,$K28-1,X$14)*$H28</f>
        <v>0</v>
      </c>
      <c r="Y28" s="100"/>
      <c r="Z28" s="22">
        <f ca="1">OFFSET('Trans Factors'!$B$13,$O28-1,Z$14)*$L28+OFFSET('Trans Factors'!$B$13,$K28-1,Z$14)*$H28</f>
        <v>0</v>
      </c>
      <c r="AA28" s="22"/>
      <c r="AB28" s="22">
        <f ca="1">OFFSET('Trans Factors'!$B$13,$O28-1,AB$14)*$L28+OFFSET('Trans Factors'!$B$13,$K28-1,AB$14)*$H28</f>
        <v>0</v>
      </c>
      <c r="AD28" s="22">
        <f t="shared" ca="1" si="2"/>
        <v>0</v>
      </c>
      <c r="AE28" s="97"/>
      <c r="AF28" s="35" t="str">
        <f t="shared" ca="1" si="0"/>
        <v/>
      </c>
      <c r="AH28" s="73"/>
      <c r="AI28" s="235">
        <v>0</v>
      </c>
      <c r="AJ28" s="73"/>
      <c r="AK28" s="73"/>
      <c r="AL28" s="235" t="str">
        <f t="shared" ca="1" si="3"/>
        <v/>
      </c>
      <c r="AM28" s="73"/>
      <c r="AN28" s="235" t="str">
        <f t="shared" ca="1" si="3"/>
        <v/>
      </c>
      <c r="AO28" s="238"/>
      <c r="AP28" s="235" t="str">
        <f t="shared" ca="1" si="3"/>
        <v/>
      </c>
      <c r="AQ28" s="238"/>
      <c r="AR28" s="235" t="str">
        <f t="shared" ca="1" si="3"/>
        <v/>
      </c>
      <c r="AS28" s="238"/>
      <c r="AT28" s="235" t="str">
        <f t="shared" ca="1" si="3"/>
        <v/>
      </c>
      <c r="AU28" s="238"/>
      <c r="AV28" s="235" t="str">
        <f t="shared" ca="1" si="3"/>
        <v/>
      </c>
      <c r="AW28" s="238"/>
      <c r="AX28" s="235" t="str">
        <f t="shared" ca="1" si="3"/>
        <v/>
      </c>
      <c r="AY28" s="73"/>
      <c r="AZ28" s="241">
        <f t="shared" ca="1" si="4"/>
        <v>0</v>
      </c>
    </row>
    <row r="29" spans="2:52" s="99" customFormat="1" ht="13" x14ac:dyDescent="0.3">
      <c r="B29" s="163">
        <f>B28+1</f>
        <v>12</v>
      </c>
      <c r="D29" s="99" t="s">
        <v>34</v>
      </c>
      <c r="F29" s="113">
        <f ca="1">Function!T29</f>
        <v>0</v>
      </c>
      <c r="G29" s="94"/>
      <c r="H29" s="113"/>
      <c r="I29" s="94"/>
      <c r="J29" s="94"/>
      <c r="K29" s="192">
        <f>_xlfn.IFNA(MATCH(J29,'Trans Factors'!$B$13:$B$450,0),0)</f>
        <v>0</v>
      </c>
      <c r="L29" s="113">
        <f t="shared" ca="1" si="1"/>
        <v>0</v>
      </c>
      <c r="M29" s="97"/>
      <c r="N29" s="28"/>
      <c r="O29" s="186">
        <f>_xlfn.IFNA(MATCH(N29,'Trans Factors'!$B$13:$B$450,0),0)</f>
        <v>0</v>
      </c>
      <c r="P29" s="22">
        <f ca="1">OFFSET('Trans Factors'!$B$13,$O29-1,P$14)*$L29+OFFSET('Trans Factors'!$B$13,$K29-1,P$14)*$H29</f>
        <v>0</v>
      </c>
      <c r="Q29" s="97"/>
      <c r="R29" s="22">
        <f ca="1">OFFSET('Trans Factors'!$B$13,$O29-1,R$14)*$L29+OFFSET('Trans Factors'!$B$13,$K29-1,R$14)*$H29</f>
        <v>0</v>
      </c>
      <c r="S29" s="22"/>
      <c r="T29" s="22">
        <f ca="1">OFFSET('Trans Factors'!$B$13,$O29-1,T$14)*$L29+OFFSET('Trans Factors'!$B$13,$K29-1,T$14)*$H29</f>
        <v>0</v>
      </c>
      <c r="U29" s="22"/>
      <c r="V29" s="22">
        <f ca="1">OFFSET('Trans Factors'!$B$13,$O29-1,V$14)*$L29+OFFSET('Trans Factors'!$B$13,$K29-1,V$14)*$H29</f>
        <v>0</v>
      </c>
      <c r="X29" s="22">
        <f ca="1">OFFSET('Trans Factors'!$B$13,$O29-1,X$14)*$L29+OFFSET('Trans Factors'!$B$13,$K29-1,X$14)*$H29</f>
        <v>0</v>
      </c>
      <c r="Y29" s="100"/>
      <c r="Z29" s="22">
        <f ca="1">OFFSET('Trans Factors'!$B$13,$O29-1,Z$14)*$L29+OFFSET('Trans Factors'!$B$13,$K29-1,Z$14)*$H29</f>
        <v>0</v>
      </c>
      <c r="AA29" s="22"/>
      <c r="AB29" s="22">
        <f ca="1">OFFSET('Trans Factors'!$B$13,$O29-1,AB$14)*$L29+OFFSET('Trans Factors'!$B$13,$K29-1,AB$14)*$H29</f>
        <v>0</v>
      </c>
      <c r="AD29" s="22">
        <f t="shared" ca="1" si="2"/>
        <v>0</v>
      </c>
      <c r="AE29" s="97"/>
      <c r="AF29" s="35" t="str">
        <f t="shared" ca="1" si="0"/>
        <v/>
      </c>
      <c r="AH29" s="73"/>
      <c r="AI29" s="235">
        <v>0</v>
      </c>
      <c r="AJ29" s="73"/>
      <c r="AK29" s="73"/>
      <c r="AL29" s="235" t="str">
        <f t="shared" ca="1" si="3"/>
        <v/>
      </c>
      <c r="AM29" s="73"/>
      <c r="AN29" s="235" t="str">
        <f t="shared" ca="1" si="3"/>
        <v/>
      </c>
      <c r="AO29" s="238"/>
      <c r="AP29" s="235" t="str">
        <f t="shared" ca="1" si="3"/>
        <v/>
      </c>
      <c r="AQ29" s="238"/>
      <c r="AR29" s="235" t="str">
        <f t="shared" ca="1" si="3"/>
        <v/>
      </c>
      <c r="AS29" s="238"/>
      <c r="AT29" s="235" t="str">
        <f t="shared" ca="1" si="3"/>
        <v/>
      </c>
      <c r="AU29" s="238"/>
      <c r="AV29" s="235" t="str">
        <f t="shared" ca="1" si="3"/>
        <v/>
      </c>
      <c r="AW29" s="238"/>
      <c r="AX29" s="235" t="str">
        <f t="shared" ca="1" si="3"/>
        <v/>
      </c>
      <c r="AY29" s="73"/>
      <c r="AZ29" s="241">
        <f t="shared" ca="1" si="4"/>
        <v>0</v>
      </c>
    </row>
    <row r="30" spans="2:52" s="99" customFormat="1" ht="13" x14ac:dyDescent="0.3">
      <c r="B30" s="163">
        <f>B29+1</f>
        <v>13</v>
      </c>
      <c r="D30" s="99" t="s">
        <v>78</v>
      </c>
      <c r="F30" s="113">
        <f ca="1">Function!T30</f>
        <v>4521.5650130587501</v>
      </c>
      <c r="G30" s="94"/>
      <c r="H30" s="113"/>
      <c r="I30" s="94"/>
      <c r="J30" s="94"/>
      <c r="K30" s="192">
        <f>_xlfn.IFNA(MATCH(J30,'Trans Factors'!$B$13:$B$450,0),0)</f>
        <v>0</v>
      </c>
      <c r="L30" s="113">
        <f t="shared" ca="1" si="1"/>
        <v>4521.5650130587501</v>
      </c>
      <c r="M30" s="97"/>
      <c r="N30" s="28" t="s">
        <v>313</v>
      </c>
      <c r="O30" s="186">
        <f>_xlfn.IFNA(MATCH(N30,'Trans Factors'!$B$13:$B$450,0),0)</f>
        <v>38</v>
      </c>
      <c r="P30" s="22">
        <f ca="1">OFFSET('Trans Factors'!$B$13,$O30-1,P$14)*$L30+OFFSET('Trans Factors'!$B$13,$K30-1,P$14)*$H30</f>
        <v>0</v>
      </c>
      <c r="Q30" s="97"/>
      <c r="R30" s="22">
        <f ca="1">OFFSET('Trans Factors'!$B$13,$O30-1,R$14)*$L30+OFFSET('Trans Factors'!$B$13,$K30-1,R$14)*$H30</f>
        <v>0</v>
      </c>
      <c r="S30" s="22"/>
      <c r="T30" s="22">
        <f ca="1">OFFSET('Trans Factors'!$B$13,$O30-1,T$14)*$L30+OFFSET('Trans Factors'!$B$13,$K30-1,T$14)*$H30</f>
        <v>41.007574940424377</v>
      </c>
      <c r="U30" s="22"/>
      <c r="V30" s="22">
        <f ca="1">OFFSET('Trans Factors'!$B$13,$O30-1,V$14)*$L30+OFFSET('Trans Factors'!$B$13,$K30-1,V$14)*$H30</f>
        <v>3727.6496371961889</v>
      </c>
      <c r="X30" s="22">
        <f ca="1">OFFSET('Trans Factors'!$B$13,$O30-1,X$14)*$L30+OFFSET('Trans Factors'!$B$13,$K30-1,X$14)*$H30</f>
        <v>142.58857307742244</v>
      </c>
      <c r="Y30" s="100"/>
      <c r="Z30" s="22">
        <f ca="1">OFFSET('Trans Factors'!$B$13,$O30-1,Z$14)*$L30+OFFSET('Trans Factors'!$B$13,$K30-1,Z$14)*$H30</f>
        <v>610.31922784471385</v>
      </c>
      <c r="AA30" s="22"/>
      <c r="AB30" s="22">
        <f ca="1">OFFSET('Trans Factors'!$B$13,$O30-1,AB$14)*$L30+OFFSET('Trans Factors'!$B$13,$K30-1,AB$14)*$H30</f>
        <v>0</v>
      </c>
      <c r="AD30" s="22">
        <f t="shared" ca="1" si="2"/>
        <v>4521.5650130587501</v>
      </c>
      <c r="AE30" s="97"/>
      <c r="AF30" s="35" t="str">
        <f t="shared" ca="1" si="0"/>
        <v/>
      </c>
      <c r="AH30" s="73"/>
      <c r="AI30" s="235">
        <v>0</v>
      </c>
      <c r="AJ30" s="73"/>
      <c r="AK30" s="73"/>
      <c r="AL30" s="235">
        <f t="shared" ca="1" si="3"/>
        <v>0</v>
      </c>
      <c r="AM30" s="73"/>
      <c r="AN30" s="235">
        <f t="shared" ca="1" si="3"/>
        <v>0</v>
      </c>
      <c r="AO30" s="238"/>
      <c r="AP30" s="235">
        <f t="shared" ca="1" si="3"/>
        <v>0</v>
      </c>
      <c r="AQ30" s="238"/>
      <c r="AR30" s="235">
        <f t="shared" ca="1" si="3"/>
        <v>0</v>
      </c>
      <c r="AS30" s="238"/>
      <c r="AT30" s="235">
        <f t="shared" ca="1" si="3"/>
        <v>0</v>
      </c>
      <c r="AU30" s="238"/>
      <c r="AV30" s="235">
        <f t="shared" ca="1" si="3"/>
        <v>0</v>
      </c>
      <c r="AW30" s="238"/>
      <c r="AX30" s="235">
        <f t="shared" ca="1" si="3"/>
        <v>0</v>
      </c>
      <c r="AY30" s="73"/>
      <c r="AZ30" s="241">
        <f t="shared" ca="1" si="4"/>
        <v>0</v>
      </c>
    </row>
    <row r="31" spans="2:52" s="99" customFormat="1" ht="13" x14ac:dyDescent="0.3">
      <c r="B31" s="163">
        <f t="shared" si="5"/>
        <v>14</v>
      </c>
      <c r="D31" s="99" t="s">
        <v>333</v>
      </c>
      <c r="F31" s="79">
        <f ca="1">SUM(F18:F30)</f>
        <v>4336235.0352648022</v>
      </c>
      <c r="G31" s="94"/>
      <c r="H31" s="79">
        <f>SUM(H18:H30)</f>
        <v>0</v>
      </c>
      <c r="I31" s="94"/>
      <c r="J31" s="94"/>
      <c r="K31" s="188"/>
      <c r="L31" s="79">
        <f ca="1">SUM(L18:L30)</f>
        <v>4336235.0352648022</v>
      </c>
      <c r="M31" s="97"/>
      <c r="N31" s="97"/>
      <c r="O31" s="186"/>
      <c r="P31" s="46">
        <f ca="1">SUM(P18:P30)</f>
        <v>116367.69533154939</v>
      </c>
      <c r="Q31" s="32"/>
      <c r="R31" s="46">
        <f ca="1">SUM(R18:R30)</f>
        <v>16844.091302502133</v>
      </c>
      <c r="S31" s="30"/>
      <c r="T31" s="46">
        <f ca="1">SUM(T18:T30)</f>
        <v>486355.61692577379</v>
      </c>
      <c r="U31" s="30"/>
      <c r="V31" s="46">
        <f ca="1">SUM(V18:V30)</f>
        <v>2504738.7425466804</v>
      </c>
      <c r="W31" s="41"/>
      <c r="X31" s="46">
        <f ca="1">SUM(X18:X30)</f>
        <v>391912.22779565456</v>
      </c>
      <c r="Y31" s="13"/>
      <c r="Z31" s="46">
        <f ca="1">SUM(Z18:Z30)</f>
        <v>820016.66136264277</v>
      </c>
      <c r="AA31" s="30"/>
      <c r="AB31" s="46">
        <f ca="1">SUM(AB18:AB30)</f>
        <v>0</v>
      </c>
      <c r="AD31" s="46">
        <f ca="1">SUM(AD18:AD30)</f>
        <v>4336235.0352648031</v>
      </c>
      <c r="AE31" s="97"/>
      <c r="AF31" s="35" t="str">
        <f ca="1">IF(ROUND(F31,4)=ROUND(AD31,4), "", "check")</f>
        <v/>
      </c>
      <c r="AH31" s="73"/>
      <c r="AI31" s="204">
        <f>SUM(AI18:AI29)</f>
        <v>103657.95343098548</v>
      </c>
      <c r="AJ31" s="73"/>
      <c r="AK31" s="73"/>
      <c r="AL31" s="204">
        <f t="shared" ref="AL31:AZ31" ca="1" si="6">SUM(AL18:AL29)</f>
        <v>3096.2193133729857</v>
      </c>
      <c r="AM31" s="204">
        <f t="shared" si="6"/>
        <v>0</v>
      </c>
      <c r="AN31" s="204">
        <f t="shared" ca="1" si="6"/>
        <v>484.9351853248009</v>
      </c>
      <c r="AO31" s="204">
        <f t="shared" si="6"/>
        <v>0</v>
      </c>
      <c r="AP31" s="204">
        <f t="shared" ca="1" si="6"/>
        <v>14596.013480682439</v>
      </c>
      <c r="AQ31" s="204">
        <f t="shared" si="6"/>
        <v>0</v>
      </c>
      <c r="AR31" s="204">
        <f t="shared" ca="1" si="6"/>
        <v>62111.890612794654</v>
      </c>
      <c r="AS31" s="204">
        <f t="shared" si="6"/>
        <v>0</v>
      </c>
      <c r="AT31" s="204">
        <f t="shared" ca="1" si="6"/>
        <v>6966.9001113667964</v>
      </c>
      <c r="AU31" s="204">
        <f t="shared" si="6"/>
        <v>0</v>
      </c>
      <c r="AV31" s="204">
        <f t="shared" ca="1" si="6"/>
        <v>16401.994727443787</v>
      </c>
      <c r="AW31" s="204">
        <f t="shared" si="6"/>
        <v>0</v>
      </c>
      <c r="AX31" s="204">
        <f t="shared" ca="1" si="6"/>
        <v>0</v>
      </c>
      <c r="AY31" s="204">
        <f t="shared" si="6"/>
        <v>0</v>
      </c>
      <c r="AZ31" s="204">
        <f t="shared" ca="1" si="6"/>
        <v>103657.95343098546</v>
      </c>
    </row>
    <row r="32" spans="2:52" s="99" customFormat="1" ht="13" x14ac:dyDescent="0.3">
      <c r="B32" s="163"/>
      <c r="F32" s="94"/>
      <c r="G32" s="94"/>
      <c r="H32" s="94"/>
      <c r="I32" s="94"/>
      <c r="J32" s="94"/>
      <c r="K32" s="188"/>
      <c r="L32" s="94"/>
      <c r="M32" s="97"/>
      <c r="N32" s="97"/>
      <c r="O32" s="186"/>
      <c r="P32" s="97"/>
      <c r="Q32" s="97"/>
      <c r="R32" s="97"/>
      <c r="S32" s="97"/>
      <c r="T32" s="97"/>
      <c r="U32" s="97"/>
      <c r="V32" s="97"/>
      <c r="W32" s="41"/>
      <c r="X32" s="97"/>
      <c r="Z32" s="97"/>
      <c r="AA32" s="97"/>
      <c r="AB32" s="97"/>
      <c r="AD32" s="97"/>
      <c r="AE32" s="97"/>
      <c r="AF32" s="35" t="str">
        <f t="shared" ref="AF32:AF37" si="7">IF(ROUND(F32,4)=ROUND(AD32,4), "", "check")</f>
        <v/>
      </c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</row>
    <row r="33" spans="2:52" s="99" customFormat="1" ht="13" x14ac:dyDescent="0.3">
      <c r="B33" s="163">
        <f>B31+1</f>
        <v>15</v>
      </c>
      <c r="D33" s="99" t="s">
        <v>221</v>
      </c>
      <c r="F33" s="113">
        <f ca="1">Function!T33</f>
        <v>154460.43389627803</v>
      </c>
      <c r="G33" s="94"/>
      <c r="H33" s="113"/>
      <c r="I33" s="94"/>
      <c r="J33" s="94"/>
      <c r="K33" s="192">
        <f>_xlfn.IFNA(MATCH(J33,'Trans Factors'!$B$13:$B$450,0),0)</f>
        <v>0</v>
      </c>
      <c r="L33" s="113">
        <f t="shared" ref="L33" ca="1" si="8">F33-H33</f>
        <v>154460.43389627803</v>
      </c>
      <c r="M33" s="97"/>
      <c r="N33" s="28" t="s">
        <v>266</v>
      </c>
      <c r="O33" s="186">
        <f>_xlfn.IFNA(MATCH(N33,'Trans Factors'!$B$13:$B$450,0),0)</f>
        <v>23</v>
      </c>
      <c r="P33" s="22">
        <f ca="1">OFFSET('Trans Factors'!$B$13,$O33-1,P$14)*$L33+OFFSET('Trans Factors'!$B$13,$K33-1,P$14)*$H33</f>
        <v>4477.8359235416665</v>
      </c>
      <c r="Q33" s="97"/>
      <c r="R33" s="22">
        <f ca="1">OFFSET('Trans Factors'!$B$13,$O33-1,R$14)*$L33+OFFSET('Trans Factors'!$B$13,$K33-1,R$14)*$H33</f>
        <v>679.83356914957119</v>
      </c>
      <c r="S33" s="22"/>
      <c r="T33" s="22">
        <f ca="1">OFFSET('Trans Factors'!$B$13,$O33-1,T$14)*$L33+OFFSET('Trans Factors'!$B$13,$K33-1,T$14)*$H33</f>
        <v>18324.031947265903</v>
      </c>
      <c r="U33" s="22"/>
      <c r="V33" s="22">
        <f ca="1">OFFSET('Trans Factors'!$B$13,$O33-1,V$14)*$L33+OFFSET('Trans Factors'!$B$13,$K33-1,V$14)*$H33</f>
        <v>82896.238488243063</v>
      </c>
      <c r="X33" s="22">
        <f ca="1">OFFSET('Trans Factors'!$B$13,$O33-1,X$14)*$L33+OFFSET('Trans Factors'!$B$13,$K33-1,X$14)*$H33</f>
        <v>13848.962310022447</v>
      </c>
      <c r="Y33" s="100"/>
      <c r="Z33" s="22">
        <f ca="1">OFFSET('Trans Factors'!$B$13,$O33-1,Z$14)*$L33+OFFSET('Trans Factors'!$B$13,$K33-1,Z$14)*$H33</f>
        <v>34233.53165805537</v>
      </c>
      <c r="AA33" s="22"/>
      <c r="AB33" s="22">
        <f ca="1">OFFSET('Trans Factors'!$B$13,$O33-1,AB$14)*$L33+OFFSET('Trans Factors'!$B$13,$K33-1,AB$14)*$H33</f>
        <v>0</v>
      </c>
      <c r="AC33" s="100"/>
      <c r="AD33" s="22">
        <f ca="1">P33+R33+T33+V33+X33+Z33+AB33</f>
        <v>154460.43389627803</v>
      </c>
      <c r="AE33" s="97"/>
      <c r="AF33" s="35" t="str">
        <f t="shared" ca="1" si="7"/>
        <v/>
      </c>
      <c r="AH33" s="94"/>
      <c r="AI33" s="94"/>
      <c r="AJ33" s="94"/>
      <c r="AK33" s="94"/>
      <c r="AL33" s="94"/>
      <c r="AM33" s="94"/>
      <c r="AN33" s="94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</row>
    <row r="34" spans="2:52" s="99" customFormat="1" ht="13" x14ac:dyDescent="0.3">
      <c r="B34" s="163"/>
      <c r="F34" s="94"/>
      <c r="G34" s="94"/>
      <c r="H34" s="94"/>
      <c r="I34" s="94"/>
      <c r="J34" s="94"/>
      <c r="K34" s="188"/>
      <c r="L34" s="94"/>
      <c r="M34" s="97"/>
      <c r="N34" s="97"/>
      <c r="O34" s="188"/>
      <c r="P34" s="97"/>
      <c r="Q34" s="97"/>
      <c r="R34" s="97"/>
      <c r="S34" s="97"/>
      <c r="T34" s="97"/>
      <c r="U34" s="97"/>
      <c r="V34" s="97"/>
      <c r="W34" s="41"/>
      <c r="X34" s="97"/>
      <c r="Z34" s="97"/>
      <c r="AA34" s="97"/>
      <c r="AB34" s="97"/>
      <c r="AD34" s="97"/>
      <c r="AE34" s="97"/>
      <c r="AF34" s="35" t="str">
        <f t="shared" si="7"/>
        <v/>
      </c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</row>
    <row r="35" spans="2:52" s="99" customFormat="1" ht="13" x14ac:dyDescent="0.3">
      <c r="B35" s="163">
        <f>B33+1</f>
        <v>16</v>
      </c>
      <c r="D35" s="99" t="s">
        <v>475</v>
      </c>
      <c r="F35" s="79">
        <f ca="1">F31+F33</f>
        <v>4490695.4691610802</v>
      </c>
      <c r="G35" s="94"/>
      <c r="H35" s="79">
        <f>H31+H33</f>
        <v>0</v>
      </c>
      <c r="I35" s="94"/>
      <c r="J35" s="94"/>
      <c r="K35" s="188"/>
      <c r="L35" s="79">
        <f ca="1">L31+L33</f>
        <v>4490695.4691610802</v>
      </c>
      <c r="M35" s="97"/>
      <c r="N35" s="97"/>
      <c r="O35" s="188"/>
      <c r="P35" s="45">
        <f ca="1">P31+P33</f>
        <v>120845.53125509106</v>
      </c>
      <c r="Q35" s="47"/>
      <c r="R35" s="45">
        <f ca="1">R31+R33</f>
        <v>17523.924871651703</v>
      </c>
      <c r="S35" s="23"/>
      <c r="T35" s="45">
        <f ca="1">T31+T33</f>
        <v>504679.6488730397</v>
      </c>
      <c r="U35" s="23"/>
      <c r="V35" s="45">
        <f ca="1">V31+V33</f>
        <v>2587634.9810349233</v>
      </c>
      <c r="W35" s="41"/>
      <c r="X35" s="45">
        <f ca="1">X31+X33</f>
        <v>405761.190105677</v>
      </c>
      <c r="Y35" s="8"/>
      <c r="Z35" s="45">
        <f ca="1">Z31+Z33</f>
        <v>854250.19302069815</v>
      </c>
      <c r="AA35" s="31"/>
      <c r="AB35" s="45">
        <f ca="1">AB31+AB33</f>
        <v>0</v>
      </c>
      <c r="AD35" s="45">
        <f ca="1">AD31+AD33</f>
        <v>4490695.4691610811</v>
      </c>
      <c r="AE35" s="97"/>
      <c r="AF35" s="35" t="str">
        <f t="shared" ca="1" si="7"/>
        <v/>
      </c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</row>
    <row r="36" spans="2:52" s="99" customFormat="1" ht="13" x14ac:dyDescent="0.3">
      <c r="B36" s="163"/>
      <c r="D36" s="6"/>
      <c r="F36" s="219"/>
      <c r="G36" s="94"/>
      <c r="H36" s="219"/>
      <c r="I36" s="94"/>
      <c r="J36" s="94"/>
      <c r="K36" s="188"/>
      <c r="L36" s="219"/>
      <c r="M36" s="97"/>
      <c r="N36" s="97"/>
      <c r="O36" s="188"/>
      <c r="P36" s="97"/>
      <c r="Q36" s="97"/>
      <c r="R36" s="97"/>
      <c r="S36" s="97"/>
      <c r="T36" s="97"/>
      <c r="U36" s="97"/>
      <c r="V36" s="97"/>
      <c r="W36" s="41"/>
      <c r="X36" s="97"/>
      <c r="Z36" s="97"/>
      <c r="AA36" s="97"/>
      <c r="AB36" s="97"/>
      <c r="AD36" s="97"/>
      <c r="AE36" s="97"/>
      <c r="AF36" s="35" t="str">
        <f t="shared" si="7"/>
        <v/>
      </c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</row>
    <row r="37" spans="2:52" s="99" customFormat="1" ht="13" x14ac:dyDescent="0.3">
      <c r="B37" s="163"/>
      <c r="E37" s="6"/>
      <c r="F37" s="94"/>
      <c r="G37" s="94"/>
      <c r="H37" s="94"/>
      <c r="I37" s="94"/>
      <c r="J37" s="94"/>
      <c r="K37" s="188"/>
      <c r="L37" s="94"/>
      <c r="M37" s="97"/>
      <c r="N37" s="97"/>
      <c r="O37" s="188"/>
      <c r="P37" s="97"/>
      <c r="Q37" s="97"/>
      <c r="R37" s="97"/>
      <c r="S37" s="97"/>
      <c r="T37" s="97"/>
      <c r="U37" s="97"/>
      <c r="V37" s="97"/>
      <c r="W37" s="41"/>
      <c r="X37" s="97"/>
      <c r="Z37" s="97"/>
      <c r="AA37" s="97"/>
      <c r="AB37" s="97"/>
      <c r="AD37" s="97"/>
      <c r="AE37" s="97"/>
      <c r="AF37" s="35" t="str">
        <f t="shared" si="7"/>
        <v/>
      </c>
      <c r="AH37" s="73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</row>
    <row r="38" spans="2:52" s="99" customFormat="1" ht="13" x14ac:dyDescent="0.3">
      <c r="B38" s="163"/>
      <c r="D38" s="6" t="s">
        <v>330</v>
      </c>
      <c r="E38" s="7"/>
      <c r="F38" s="220"/>
      <c r="G38" s="94"/>
      <c r="H38" s="94"/>
      <c r="I38" s="94"/>
      <c r="J38" s="94"/>
      <c r="K38" s="188"/>
      <c r="L38" s="94"/>
      <c r="O38" s="187"/>
      <c r="AE38" s="97"/>
      <c r="AF38" s="37"/>
      <c r="AH38" s="73"/>
      <c r="AI38" s="170"/>
      <c r="AJ38" s="170"/>
      <c r="AK38" s="170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170"/>
      <c r="AZ38" s="42"/>
    </row>
    <row r="39" spans="2:52" s="99" customFormat="1" ht="13" x14ac:dyDescent="0.3">
      <c r="B39" s="163"/>
      <c r="F39" s="94"/>
      <c r="G39" s="94"/>
      <c r="H39" s="94"/>
      <c r="I39" s="94"/>
      <c r="J39" s="94"/>
      <c r="K39" s="188"/>
      <c r="L39" s="94"/>
      <c r="O39" s="187"/>
      <c r="AE39" s="97"/>
      <c r="AF39" s="35" t="str">
        <f t="shared" ref="AF39:AF52" si="9">IF(ROUND(F39,4)=ROUND(AD39,4), "", "check")</f>
        <v/>
      </c>
      <c r="AH39" s="73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</row>
    <row r="40" spans="2:52" s="99" customFormat="1" ht="13" x14ac:dyDescent="0.3">
      <c r="B40" s="163">
        <f>B35+1</f>
        <v>17</v>
      </c>
      <c r="D40" s="99" t="s">
        <v>77</v>
      </c>
      <c r="F40" s="113">
        <f ca="1">Function!T40</f>
        <v>0</v>
      </c>
      <c r="G40" s="94"/>
      <c r="H40" s="113"/>
      <c r="I40" s="94"/>
      <c r="J40" s="91"/>
      <c r="K40" s="192">
        <f>_xlfn.IFNA(MATCH(J40,'Trans Factors'!$B$13:$B$450,0),0)</f>
        <v>0</v>
      </c>
      <c r="L40" s="113">
        <f ca="1">F40-H40</f>
        <v>0</v>
      </c>
      <c r="N40" s="28"/>
      <c r="O40" s="186">
        <f>_xlfn.IFNA(MATCH(N40,'Trans Factors'!$B$13:$B$450,0),0)</f>
        <v>0</v>
      </c>
      <c r="P40" s="22">
        <f ca="1">OFFSET('Trans Factors'!$B$13,$O40-1,P$14)*$L40+OFFSET('Trans Factors'!$B$13,$K40-1,P$14)*$H40</f>
        <v>0</v>
      </c>
      <c r="Q40" s="97"/>
      <c r="R40" s="22">
        <f ca="1">OFFSET('Trans Factors'!$B$13,$O40-1,R$14)*$L40+OFFSET('Trans Factors'!$B$13,$K40-1,R$14)*$H40</f>
        <v>0</v>
      </c>
      <c r="S40" s="22"/>
      <c r="T40" s="22">
        <f ca="1">OFFSET('Trans Factors'!$B$13,$O40-1,T$14)*$L40+OFFSET('Trans Factors'!$B$13,$K40-1,T$14)*$H40</f>
        <v>0</v>
      </c>
      <c r="U40" s="22"/>
      <c r="V40" s="22">
        <f ca="1">OFFSET('Trans Factors'!$B$13,$O40-1,V$14)*$L40+OFFSET('Trans Factors'!$B$13,$K40-1,V$14)*$H40</f>
        <v>0</v>
      </c>
      <c r="X40" s="22">
        <f ca="1">OFFSET('Trans Factors'!$B$13,$O40-1,X$14)*$L40+OFFSET('Trans Factors'!$B$13,$K40-1,X$14)*$H40</f>
        <v>0</v>
      </c>
      <c r="Y40" s="100"/>
      <c r="Z40" s="22">
        <f ca="1">OFFSET('Trans Factors'!$B$13,$O40-1,Z$14)*$L40+OFFSET('Trans Factors'!$B$13,$K40-1,Z$14)*$H40</f>
        <v>0</v>
      </c>
      <c r="AA40" s="22"/>
      <c r="AB40" s="22">
        <f ca="1">OFFSET('Trans Factors'!$B$13,$O40-1,AB$14)*$L40+OFFSET('Trans Factors'!$B$13,$K40-1,AB$14)*$H40</f>
        <v>0</v>
      </c>
      <c r="AD40" s="22">
        <f ca="1">P40+R40+T40+V40+X40+Z40+AB40</f>
        <v>0</v>
      </c>
      <c r="AE40" s="97"/>
      <c r="AF40" s="35" t="str">
        <f t="shared" ca="1" si="9"/>
        <v/>
      </c>
      <c r="AH40" s="73"/>
      <c r="AI40" s="66"/>
      <c r="AJ40" s="170"/>
      <c r="AK40" s="170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170"/>
      <c r="AZ40" s="105"/>
    </row>
    <row r="41" spans="2:52" s="99" customFormat="1" ht="13" x14ac:dyDescent="0.3">
      <c r="B41" s="163">
        <f>B40+1</f>
        <v>18</v>
      </c>
      <c r="D41" s="99" t="s">
        <v>76</v>
      </c>
      <c r="F41" s="113">
        <f ca="1">Function!T41</f>
        <v>-17442.616532928576</v>
      </c>
      <c r="G41" s="94"/>
      <c r="H41" s="113"/>
      <c r="I41" s="94"/>
      <c r="J41" s="91"/>
      <c r="K41" s="192">
        <f>_xlfn.IFNA(MATCH(J41,'Trans Factors'!$B$13:$B$450,0),0)</f>
        <v>0</v>
      </c>
      <c r="L41" s="113">
        <f t="shared" ref="L41:L52" ca="1" si="10">F41-H41</f>
        <v>-17442.616532928576</v>
      </c>
      <c r="M41" s="97"/>
      <c r="N41" s="28" t="s">
        <v>347</v>
      </c>
      <c r="O41" s="186">
        <f>_xlfn.IFNA(MATCH(N41,'Trans Factors'!$B$13:$B$450,0),0)</f>
        <v>35</v>
      </c>
      <c r="P41" s="22">
        <f ca="1">OFFSET('Trans Factors'!$B$13,$O41-1,P$14)*$L41+OFFSET('Trans Factors'!$B$13,$K41-1,P$14)*$H41</f>
        <v>0</v>
      </c>
      <c r="Q41" s="97"/>
      <c r="R41" s="22">
        <f ca="1">OFFSET('Trans Factors'!$B$13,$O41-1,R$14)*$L41+OFFSET('Trans Factors'!$B$13,$K41-1,R$14)*$H41</f>
        <v>0</v>
      </c>
      <c r="S41" s="22"/>
      <c r="T41" s="22">
        <f ca="1">OFFSET('Trans Factors'!$B$13,$O41-1,T$14)*$L41+OFFSET('Trans Factors'!$B$13,$K41-1,T$14)*$H41</f>
        <v>-80.899080273626311</v>
      </c>
      <c r="U41" s="22"/>
      <c r="V41" s="22">
        <f ca="1">OFFSET('Trans Factors'!$B$13,$O41-1,V$14)*$L41+OFFSET('Trans Factors'!$B$13,$K41-1,V$14)*$H41</f>
        <v>-14091.221591030917</v>
      </c>
      <c r="X41" s="22">
        <f ca="1">OFFSET('Trans Factors'!$B$13,$O41-1,X$14)*$L41+OFFSET('Trans Factors'!$B$13,$K41-1,X$14)*$H41</f>
        <v>-1505.0626170375363</v>
      </c>
      <c r="Y41" s="100"/>
      <c r="Z41" s="22">
        <f ca="1">OFFSET('Trans Factors'!$B$13,$O41-1,Z$14)*$L41+OFFSET('Trans Factors'!$B$13,$K41-1,Z$14)*$H41</f>
        <v>-1765.4332445864979</v>
      </c>
      <c r="AA41" s="22"/>
      <c r="AB41" s="22">
        <f ca="1">OFFSET('Trans Factors'!$B$13,$O41-1,AB$14)*$L41+OFFSET('Trans Factors'!$B$13,$K41-1,AB$14)*$H41</f>
        <v>0</v>
      </c>
      <c r="AD41" s="22">
        <f t="shared" ref="AD41:AD52" ca="1" si="11">P41+R41+T41+V41+X41+Z41+AB41</f>
        <v>-17442.616532928576</v>
      </c>
      <c r="AE41" s="97"/>
      <c r="AF41" s="35" t="str">
        <f t="shared" ca="1" si="9"/>
        <v/>
      </c>
      <c r="AH41" s="73"/>
      <c r="AI41" s="66"/>
      <c r="AJ41" s="170"/>
      <c r="AK41" s="170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170"/>
      <c r="AZ41" s="105"/>
    </row>
    <row r="42" spans="2:52" s="99" customFormat="1" ht="13" x14ac:dyDescent="0.3">
      <c r="B42" s="163">
        <f t="shared" ref="B42:B53" si="12">B41+1</f>
        <v>19</v>
      </c>
      <c r="D42" s="99" t="s">
        <v>19</v>
      </c>
      <c r="F42" s="113">
        <f ca="1">Function!T42</f>
        <v>-77607.043173399012</v>
      </c>
      <c r="G42" s="94"/>
      <c r="H42" s="113"/>
      <c r="I42" s="94"/>
      <c r="J42" s="91"/>
      <c r="K42" s="192">
        <f>_xlfn.IFNA(MATCH(J42,'Trans Factors'!$B$13:$B$450,0),0)</f>
        <v>0</v>
      </c>
      <c r="L42" s="113">
        <f t="shared" ca="1" si="10"/>
        <v>-77607.043173399012</v>
      </c>
      <c r="M42" s="97"/>
      <c r="N42" s="28" t="s">
        <v>348</v>
      </c>
      <c r="O42" s="186">
        <f>_xlfn.IFNA(MATCH(N42,'Trans Factors'!$B$13:$B$450,0),0)</f>
        <v>68</v>
      </c>
      <c r="P42" s="22">
        <f ca="1">OFFSET('Trans Factors'!$B$13,$O42-1,P$14)*$L42+OFFSET('Trans Factors'!$B$13,$K42-1,P$14)*$H42</f>
        <v>-23757.462967843207</v>
      </c>
      <c r="Q42" s="97"/>
      <c r="R42" s="22">
        <f ca="1">OFFSET('Trans Factors'!$B$13,$O42-1,R$14)*$L42+OFFSET('Trans Factors'!$B$13,$K42-1,R$14)*$H42</f>
        <v>-1069.4482460350523</v>
      </c>
      <c r="S42" s="22"/>
      <c r="T42" s="22">
        <f ca="1">OFFSET('Trans Factors'!$B$13,$O42-1,T$14)*$L42+OFFSET('Trans Factors'!$B$13,$K42-1,T$14)*$H42</f>
        <v>-24563.621648747874</v>
      </c>
      <c r="U42" s="22"/>
      <c r="V42" s="22">
        <f ca="1">OFFSET('Trans Factors'!$B$13,$O42-1,V$14)*$L42+OFFSET('Trans Factors'!$B$13,$K42-1,V$14)*$H42</f>
        <v>-25315.1576204743</v>
      </c>
      <c r="X42" s="22">
        <f ca="1">OFFSET('Trans Factors'!$B$13,$O42-1,X$14)*$L42+OFFSET('Trans Factors'!$B$13,$K42-1,X$14)*$H42</f>
        <v>0</v>
      </c>
      <c r="Y42" s="100"/>
      <c r="Z42" s="22">
        <f ca="1">OFFSET('Trans Factors'!$B$13,$O42-1,Z$14)*$L42+OFFSET('Trans Factors'!$B$13,$K42-1,Z$14)*$H42</f>
        <v>-2901.3526902985855</v>
      </c>
      <c r="AA42" s="22"/>
      <c r="AB42" s="22">
        <f ca="1">OFFSET('Trans Factors'!$B$13,$O42-1,AB$14)*$L42+OFFSET('Trans Factors'!$B$13,$K42-1,AB$14)*$H42</f>
        <v>0</v>
      </c>
      <c r="AD42" s="22">
        <f t="shared" ca="1" si="11"/>
        <v>-77607.043173399026</v>
      </c>
      <c r="AE42" s="97"/>
      <c r="AF42" s="35" t="str">
        <f t="shared" ca="1" si="9"/>
        <v/>
      </c>
      <c r="AH42" s="73"/>
      <c r="AI42" s="66"/>
      <c r="AJ42" s="170"/>
      <c r="AK42" s="170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170"/>
      <c r="AZ42" s="105"/>
    </row>
    <row r="43" spans="2:52" s="99" customFormat="1" ht="13" x14ac:dyDescent="0.3">
      <c r="B43" s="163">
        <f t="shared" si="12"/>
        <v>20</v>
      </c>
      <c r="D43" s="99" t="s">
        <v>21</v>
      </c>
      <c r="F43" s="113">
        <f ca="1">Function!T43</f>
        <v>-92652.685535819983</v>
      </c>
      <c r="G43" s="94"/>
      <c r="H43" s="113"/>
      <c r="I43" s="94"/>
      <c r="J43" s="91"/>
      <c r="K43" s="192">
        <f>_xlfn.IFNA(MATCH(J43,'Trans Factors'!$B$13:$B$450,0),0)</f>
        <v>0</v>
      </c>
      <c r="L43" s="113">
        <f t="shared" ca="1" si="10"/>
        <v>-92652.685535819983</v>
      </c>
      <c r="M43" s="97"/>
      <c r="N43" s="28" t="s">
        <v>349</v>
      </c>
      <c r="O43" s="186">
        <f>_xlfn.IFNA(MATCH(N43,'Trans Factors'!$B$13:$B$450,0),0)</f>
        <v>50</v>
      </c>
      <c r="P43" s="22">
        <f ca="1">OFFSET('Trans Factors'!$B$13,$O43-1,P$14)*$L43+OFFSET('Trans Factors'!$B$13,$K43-1,P$14)*$H43</f>
        <v>-33735.564321391306</v>
      </c>
      <c r="Q43" s="97"/>
      <c r="R43" s="22">
        <f ca="1">OFFSET('Trans Factors'!$B$13,$O43-1,R$14)*$L43+OFFSET('Trans Factors'!$B$13,$K43-1,R$14)*$H43</f>
        <v>-9154.1914444332106</v>
      </c>
      <c r="S43" s="22"/>
      <c r="T43" s="22">
        <f ca="1">OFFSET('Trans Factors'!$B$13,$O43-1,T$14)*$L43+OFFSET('Trans Factors'!$B$13,$K43-1,T$14)*$H43</f>
        <v>-18615.739318229171</v>
      </c>
      <c r="U43" s="22"/>
      <c r="V43" s="22">
        <f ca="1">OFFSET('Trans Factors'!$B$13,$O43-1,V$14)*$L43+OFFSET('Trans Factors'!$B$13,$K43-1,V$14)*$H43</f>
        <v>0</v>
      </c>
      <c r="X43" s="22">
        <f ca="1">OFFSET('Trans Factors'!$B$13,$O43-1,X$14)*$L43+OFFSET('Trans Factors'!$B$13,$K43-1,X$14)*$H43</f>
        <v>-457.62718551629933</v>
      </c>
      <c r="Y43" s="100"/>
      <c r="Z43" s="22">
        <f ca="1">OFFSET('Trans Factors'!$B$13,$O43-1,Z$14)*$L43+OFFSET('Trans Factors'!$B$13,$K43-1,Z$14)*$H43</f>
        <v>-30689.563266249996</v>
      </c>
      <c r="AA43" s="22"/>
      <c r="AB43" s="22">
        <f ca="1">OFFSET('Trans Factors'!$B$13,$O43-1,AB$14)*$L43+OFFSET('Trans Factors'!$B$13,$K43-1,AB$14)*$H43</f>
        <v>0</v>
      </c>
      <c r="AD43" s="22">
        <f t="shared" ca="1" si="11"/>
        <v>-92652.685535819983</v>
      </c>
      <c r="AE43" s="97"/>
      <c r="AF43" s="35" t="str">
        <f t="shared" ca="1" si="9"/>
        <v/>
      </c>
      <c r="AH43" s="73"/>
      <c r="AI43" s="66"/>
      <c r="AJ43" s="170"/>
      <c r="AK43" s="170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170"/>
      <c r="AZ43" s="105"/>
    </row>
    <row r="44" spans="2:52" s="99" customFormat="1" ht="13" x14ac:dyDescent="0.3">
      <c r="B44" s="163">
        <f t="shared" si="12"/>
        <v>21</v>
      </c>
      <c r="D44" s="99" t="s">
        <v>23</v>
      </c>
      <c r="F44" s="113">
        <f ca="1">Function!T44</f>
        <v>-723064.55407582107</v>
      </c>
      <c r="G44" s="94"/>
      <c r="H44" s="113"/>
      <c r="I44" s="94"/>
      <c r="J44" s="94"/>
      <c r="K44" s="192">
        <f>_xlfn.IFNA(MATCH(J44,'Trans Factors'!$B$13:$B$450,0),0)</f>
        <v>0</v>
      </c>
      <c r="L44" s="113">
        <f t="shared" ca="1" si="10"/>
        <v>-723064.55407582107</v>
      </c>
      <c r="M44" s="97"/>
      <c r="N44" s="28" t="s">
        <v>350</v>
      </c>
      <c r="O44" s="186">
        <f>_xlfn.IFNA(MATCH(N44,'Trans Factors'!$B$13:$B$450,0),0)</f>
        <v>44</v>
      </c>
      <c r="P44" s="22">
        <f ca="1">OFFSET('Trans Factors'!$B$13,$O44-1,P$14)*$L44+OFFSET('Trans Factors'!$B$13,$K44-1,P$14)*$H44</f>
        <v>0</v>
      </c>
      <c r="Q44" s="97"/>
      <c r="R44" s="22">
        <f ca="1">OFFSET('Trans Factors'!$B$13,$O44-1,R$14)*$L44+OFFSET('Trans Factors'!$B$13,$K44-1,R$14)*$H44</f>
        <v>-6.7890014107161845</v>
      </c>
      <c r="S44" s="22"/>
      <c r="T44" s="22">
        <f ca="1">OFFSET('Trans Factors'!$B$13,$O44-1,T$14)*$L44+OFFSET('Trans Factors'!$B$13,$K44-1,T$14)*$H44</f>
        <v>-1785.086806120788</v>
      </c>
      <c r="U44" s="22"/>
      <c r="V44" s="22">
        <f ca="1">OFFSET('Trans Factors'!$B$13,$O44-1,V$14)*$L44+OFFSET('Trans Factors'!$B$13,$K44-1,V$14)*$H44</f>
        <v>-585103.23895990546</v>
      </c>
      <c r="X44" s="22">
        <f ca="1">OFFSET('Trans Factors'!$B$13,$O44-1,X$14)*$L44+OFFSET('Trans Factors'!$B$13,$K44-1,X$14)*$H44</f>
        <v>-53209.523790000276</v>
      </c>
      <c r="Y44" s="100"/>
      <c r="Z44" s="22">
        <f ca="1">OFFSET('Trans Factors'!$B$13,$O44-1,Z$14)*$L44+OFFSET('Trans Factors'!$B$13,$K44-1,Z$14)*$H44</f>
        <v>-82959.915518383859</v>
      </c>
      <c r="AA44" s="22"/>
      <c r="AB44" s="22">
        <f ca="1">OFFSET('Trans Factors'!$B$13,$O44-1,AB$14)*$L44+OFFSET('Trans Factors'!$B$13,$K44-1,AB$14)*$H44</f>
        <v>0</v>
      </c>
      <c r="AD44" s="22">
        <f t="shared" ca="1" si="11"/>
        <v>-723064.55407582107</v>
      </c>
      <c r="AE44" s="97"/>
      <c r="AF44" s="35" t="str">
        <f t="shared" ca="1" si="9"/>
        <v/>
      </c>
      <c r="AH44" s="73"/>
      <c r="AI44" s="66"/>
      <c r="AJ44" s="170"/>
      <c r="AK44" s="170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170"/>
      <c r="AZ44" s="105"/>
    </row>
    <row r="45" spans="2:52" s="99" customFormat="1" ht="13" x14ac:dyDescent="0.3">
      <c r="B45" s="163">
        <f t="shared" si="12"/>
        <v>22</v>
      </c>
      <c r="D45" s="99" t="s">
        <v>25</v>
      </c>
      <c r="F45" s="113">
        <f ca="1">Function!T45</f>
        <v>-530200.06314518396</v>
      </c>
      <c r="G45" s="94"/>
      <c r="H45" s="113"/>
      <c r="I45" s="94"/>
      <c r="J45" s="94"/>
      <c r="K45" s="192">
        <f>_xlfn.IFNA(MATCH(J45,'Trans Factors'!$B$13:$B$450,0),0)</f>
        <v>0</v>
      </c>
      <c r="L45" s="113">
        <f t="shared" ca="1" si="10"/>
        <v>-530200.06314518396</v>
      </c>
      <c r="M45" s="97"/>
      <c r="N45" s="28" t="s">
        <v>351</v>
      </c>
      <c r="O45" s="186">
        <f>_xlfn.IFNA(MATCH(N45,'Trans Factors'!$B$13:$B$450,0),0)</f>
        <v>17</v>
      </c>
      <c r="P45" s="22">
        <f ca="1">OFFSET('Trans Factors'!$B$13,$O45-1,P$14)*$L45+OFFSET('Trans Factors'!$B$13,$K45-1,P$14)*$H45</f>
        <v>0</v>
      </c>
      <c r="Q45" s="97"/>
      <c r="R45" s="22">
        <f ca="1">OFFSET('Trans Factors'!$B$13,$O45-1,R$14)*$L45+OFFSET('Trans Factors'!$B$13,$K45-1,R$14)*$H45</f>
        <v>0</v>
      </c>
      <c r="S45" s="22"/>
      <c r="T45" s="22">
        <f ca="1">OFFSET('Trans Factors'!$B$13,$O45-1,T$14)*$L45+OFFSET('Trans Factors'!$B$13,$K45-1,T$14)*$H45</f>
        <v>-125107.1460721567</v>
      </c>
      <c r="U45" s="22"/>
      <c r="V45" s="22">
        <f ca="1">OFFSET('Trans Factors'!$B$13,$O45-1,V$14)*$L45+OFFSET('Trans Factors'!$B$13,$K45-1,V$14)*$H45</f>
        <v>-395914.42592852411</v>
      </c>
      <c r="X45" s="22">
        <f ca="1">OFFSET('Trans Factors'!$B$13,$O45-1,X$14)*$L45+OFFSET('Trans Factors'!$B$13,$K45-1,X$14)*$H45</f>
        <v>0</v>
      </c>
      <c r="Y45" s="100"/>
      <c r="Z45" s="22">
        <f ca="1">OFFSET('Trans Factors'!$B$13,$O45-1,Z$14)*$L45+OFFSET('Trans Factors'!$B$13,$K45-1,Z$14)*$H45</f>
        <v>-9178.491144503143</v>
      </c>
      <c r="AA45" s="22"/>
      <c r="AB45" s="22">
        <f ca="1">OFFSET('Trans Factors'!$B$13,$O45-1,AB$14)*$L45+OFFSET('Trans Factors'!$B$13,$K45-1,AB$14)*$H45</f>
        <v>0</v>
      </c>
      <c r="AD45" s="22">
        <f t="shared" ca="1" si="11"/>
        <v>-530200.06314518396</v>
      </c>
      <c r="AE45" s="97"/>
      <c r="AF45" s="35" t="str">
        <f t="shared" ca="1" si="9"/>
        <v/>
      </c>
      <c r="AH45" s="73"/>
      <c r="AI45" s="66"/>
      <c r="AJ45" s="170"/>
      <c r="AK45" s="170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170"/>
      <c r="AZ45" s="105"/>
    </row>
    <row r="46" spans="2:52" s="99" customFormat="1" ht="13" x14ac:dyDescent="0.3">
      <c r="B46" s="163">
        <f t="shared" si="12"/>
        <v>23</v>
      </c>
      <c r="D46" s="99" t="s">
        <v>27</v>
      </c>
      <c r="F46" s="113">
        <f ca="1">Function!T46</f>
        <v>0</v>
      </c>
      <c r="G46" s="94"/>
      <c r="H46" s="113"/>
      <c r="I46" s="94"/>
      <c r="J46" s="94"/>
      <c r="K46" s="192">
        <f>_xlfn.IFNA(MATCH(J46,'Trans Factors'!$B$13:$B$450,0),0)</f>
        <v>0</v>
      </c>
      <c r="L46" s="113">
        <f t="shared" ca="1" si="10"/>
        <v>0</v>
      </c>
      <c r="M46" s="97"/>
      <c r="N46" s="28"/>
      <c r="O46" s="186">
        <f>_xlfn.IFNA(MATCH(N46,'Trans Factors'!$B$13:$B$450,0),0)</f>
        <v>0</v>
      </c>
      <c r="P46" s="22">
        <f ca="1">OFFSET('Trans Factors'!$B$13,$O46-1,P$14)*$L46+OFFSET('Trans Factors'!$B$13,$K46-1,P$14)*$H46</f>
        <v>0</v>
      </c>
      <c r="Q46" s="97"/>
      <c r="R46" s="22">
        <f ca="1">OFFSET('Trans Factors'!$B$13,$O46-1,R$14)*$L46+OFFSET('Trans Factors'!$B$13,$K46-1,R$14)*$H46</f>
        <v>0</v>
      </c>
      <c r="S46" s="22"/>
      <c r="T46" s="22">
        <f ca="1">OFFSET('Trans Factors'!$B$13,$O46-1,T$14)*$L46+OFFSET('Trans Factors'!$B$13,$K46-1,T$14)*$H46</f>
        <v>0</v>
      </c>
      <c r="U46" s="22"/>
      <c r="V46" s="22">
        <f ca="1">OFFSET('Trans Factors'!$B$13,$O46-1,V$14)*$L46+OFFSET('Trans Factors'!$B$13,$K46-1,V$14)*$H46</f>
        <v>0</v>
      </c>
      <c r="X46" s="22">
        <f ca="1">OFFSET('Trans Factors'!$B$13,$O46-1,X$14)*$L46+OFFSET('Trans Factors'!$B$13,$K46-1,X$14)*$H46</f>
        <v>0</v>
      </c>
      <c r="Y46" s="100"/>
      <c r="Z46" s="22">
        <f ca="1">OFFSET('Trans Factors'!$B$13,$O46-1,Z$14)*$L46+OFFSET('Trans Factors'!$B$13,$K46-1,Z$14)*$H46</f>
        <v>0</v>
      </c>
      <c r="AA46" s="22"/>
      <c r="AB46" s="22">
        <f ca="1">OFFSET('Trans Factors'!$B$13,$O46-1,AB$14)*$L46+OFFSET('Trans Factors'!$B$13,$K46-1,AB$14)*$H46</f>
        <v>0</v>
      </c>
      <c r="AD46" s="22">
        <f t="shared" ca="1" si="11"/>
        <v>0</v>
      </c>
      <c r="AE46" s="97"/>
      <c r="AF46" s="35" t="str">
        <f t="shared" ca="1" si="9"/>
        <v/>
      </c>
      <c r="AH46" s="73"/>
      <c r="AI46" s="66"/>
      <c r="AJ46" s="170"/>
      <c r="AK46" s="170"/>
      <c r="AL46" s="66"/>
      <c r="AM46" s="170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70"/>
      <c r="AZ46" s="105"/>
    </row>
    <row r="47" spans="2:52" s="99" customFormat="1" ht="13" x14ac:dyDescent="0.3">
      <c r="B47" s="163">
        <f t="shared" si="12"/>
        <v>24</v>
      </c>
      <c r="D47" s="99" t="s">
        <v>29</v>
      </c>
      <c r="F47" s="113">
        <f ca="1">Function!T47</f>
        <v>0</v>
      </c>
      <c r="G47" s="94"/>
      <c r="H47" s="113"/>
      <c r="I47" s="94"/>
      <c r="J47" s="94"/>
      <c r="K47" s="192">
        <f>_xlfn.IFNA(MATCH(J47,'Trans Factors'!$B$13:$B$450,0),0)</f>
        <v>0</v>
      </c>
      <c r="L47" s="113">
        <f t="shared" ca="1" si="10"/>
        <v>0</v>
      </c>
      <c r="M47" s="97"/>
      <c r="N47" s="28"/>
      <c r="O47" s="186">
        <f>_xlfn.IFNA(MATCH(N47,'Trans Factors'!$B$13:$B$450,0),0)</f>
        <v>0</v>
      </c>
      <c r="P47" s="22">
        <f ca="1">OFFSET('Trans Factors'!$B$13,$O47-1,P$14)*$L47+OFFSET('Trans Factors'!$B$13,$K47-1,P$14)*$H47</f>
        <v>0</v>
      </c>
      <c r="Q47" s="97"/>
      <c r="R47" s="22">
        <f ca="1">OFFSET('Trans Factors'!$B$13,$O47-1,R$14)*$L47+OFFSET('Trans Factors'!$B$13,$K47-1,R$14)*$H47</f>
        <v>0</v>
      </c>
      <c r="S47" s="22"/>
      <c r="T47" s="22">
        <f ca="1">OFFSET('Trans Factors'!$B$13,$O47-1,T$14)*$L47+OFFSET('Trans Factors'!$B$13,$K47-1,T$14)*$H47</f>
        <v>0</v>
      </c>
      <c r="U47" s="22"/>
      <c r="V47" s="22">
        <f ca="1">OFFSET('Trans Factors'!$B$13,$O47-1,V$14)*$L47+OFFSET('Trans Factors'!$B$13,$K47-1,V$14)*$H47</f>
        <v>0</v>
      </c>
      <c r="X47" s="22">
        <f ca="1">OFFSET('Trans Factors'!$B$13,$O47-1,X$14)*$L47+OFFSET('Trans Factors'!$B$13,$K47-1,X$14)*$H47</f>
        <v>0</v>
      </c>
      <c r="Y47" s="100"/>
      <c r="Z47" s="22">
        <f ca="1">OFFSET('Trans Factors'!$B$13,$O47-1,Z$14)*$L47+OFFSET('Trans Factors'!$B$13,$K47-1,Z$14)*$H47</f>
        <v>0</v>
      </c>
      <c r="AA47" s="22"/>
      <c r="AB47" s="22">
        <f ca="1">OFFSET('Trans Factors'!$B$13,$O47-1,AB$14)*$L47+OFFSET('Trans Factors'!$B$13,$K47-1,AB$14)*$H47</f>
        <v>0</v>
      </c>
      <c r="AD47" s="22">
        <f t="shared" ca="1" si="11"/>
        <v>0</v>
      </c>
      <c r="AE47" s="97"/>
      <c r="AF47" s="35" t="str">
        <f t="shared" ca="1" si="9"/>
        <v/>
      </c>
      <c r="AH47" s="73"/>
      <c r="AI47" s="66"/>
      <c r="AJ47" s="170"/>
      <c r="AK47" s="170"/>
      <c r="AL47" s="66"/>
      <c r="AM47" s="170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170"/>
      <c r="AZ47" s="105"/>
    </row>
    <row r="48" spans="2:52" s="99" customFormat="1" ht="13" x14ac:dyDescent="0.3">
      <c r="B48" s="163">
        <f t="shared" si="12"/>
        <v>25</v>
      </c>
      <c r="D48" s="99" t="s">
        <v>30</v>
      </c>
      <c r="F48" s="113">
        <f ca="1">Function!T48</f>
        <v>0</v>
      </c>
      <c r="G48" s="94"/>
      <c r="H48" s="113"/>
      <c r="I48" s="94"/>
      <c r="J48" s="94"/>
      <c r="K48" s="192">
        <f>_xlfn.IFNA(MATCH(J48,'Trans Factors'!$B$13:$B$450,0),0)</f>
        <v>0</v>
      </c>
      <c r="L48" s="113">
        <f t="shared" ca="1" si="10"/>
        <v>0</v>
      </c>
      <c r="M48" s="97"/>
      <c r="N48" s="28"/>
      <c r="O48" s="186">
        <f>_xlfn.IFNA(MATCH(N48,'Trans Factors'!$B$13:$B$450,0),0)</f>
        <v>0</v>
      </c>
      <c r="P48" s="22">
        <f ca="1">OFFSET('Trans Factors'!$B$13,$O48-1,P$14)*$L48+OFFSET('Trans Factors'!$B$13,$K48-1,P$14)*$H48</f>
        <v>0</v>
      </c>
      <c r="Q48" s="97"/>
      <c r="R48" s="22">
        <f ca="1">OFFSET('Trans Factors'!$B$13,$O48-1,R$14)*$L48+OFFSET('Trans Factors'!$B$13,$K48-1,R$14)*$H48</f>
        <v>0</v>
      </c>
      <c r="S48" s="22"/>
      <c r="T48" s="22">
        <f ca="1">OFFSET('Trans Factors'!$B$13,$O48-1,T$14)*$L48+OFFSET('Trans Factors'!$B$13,$K48-1,T$14)*$H48</f>
        <v>0</v>
      </c>
      <c r="U48" s="22"/>
      <c r="V48" s="22">
        <f ca="1">OFFSET('Trans Factors'!$B$13,$O48-1,V$14)*$L48+OFFSET('Trans Factors'!$B$13,$K48-1,V$14)*$H48</f>
        <v>0</v>
      </c>
      <c r="X48" s="22">
        <f ca="1">OFFSET('Trans Factors'!$B$13,$O48-1,X$14)*$L48+OFFSET('Trans Factors'!$B$13,$K48-1,X$14)*$H48</f>
        <v>0</v>
      </c>
      <c r="Y48" s="100"/>
      <c r="Z48" s="22">
        <f ca="1">OFFSET('Trans Factors'!$B$13,$O48-1,Z$14)*$L48+OFFSET('Trans Factors'!$B$13,$K48-1,Z$14)*$H48</f>
        <v>0</v>
      </c>
      <c r="AA48" s="22"/>
      <c r="AB48" s="22">
        <f ca="1">OFFSET('Trans Factors'!$B$13,$O48-1,AB$14)*$L48+OFFSET('Trans Factors'!$B$13,$K48-1,AB$14)*$H48</f>
        <v>0</v>
      </c>
      <c r="AD48" s="22">
        <f t="shared" ca="1" si="11"/>
        <v>0</v>
      </c>
      <c r="AE48" s="97"/>
      <c r="AF48" s="35" t="str">
        <f t="shared" ca="1" si="9"/>
        <v/>
      </c>
      <c r="AH48" s="73"/>
      <c r="AI48" s="66"/>
      <c r="AJ48" s="170"/>
      <c r="AK48" s="170"/>
      <c r="AL48" s="66"/>
      <c r="AM48" s="170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170"/>
      <c r="AZ48" s="105"/>
    </row>
    <row r="49" spans="2:52" s="99" customFormat="1" ht="13" x14ac:dyDescent="0.3">
      <c r="B49" s="163">
        <f t="shared" si="12"/>
        <v>26</v>
      </c>
      <c r="D49" s="99" t="s">
        <v>31</v>
      </c>
      <c r="F49" s="113">
        <f ca="1">Function!T49</f>
        <v>0</v>
      </c>
      <c r="G49" s="94"/>
      <c r="H49" s="113"/>
      <c r="I49" s="94"/>
      <c r="J49" s="94"/>
      <c r="K49" s="192">
        <f>_xlfn.IFNA(MATCH(J49,'Trans Factors'!$B$13:$B$450,0),0)</f>
        <v>0</v>
      </c>
      <c r="L49" s="113">
        <f t="shared" ca="1" si="10"/>
        <v>0</v>
      </c>
      <c r="M49" s="97"/>
      <c r="N49" s="28"/>
      <c r="O49" s="186">
        <f>_xlfn.IFNA(MATCH(N49,'Trans Factors'!$B$13:$B$450,0),0)</f>
        <v>0</v>
      </c>
      <c r="P49" s="22">
        <f ca="1">OFFSET('Trans Factors'!$B$13,$O49-1,P$14)*$L49+OFFSET('Trans Factors'!$B$13,$K49-1,P$14)*$H49</f>
        <v>0</v>
      </c>
      <c r="Q49" s="97"/>
      <c r="R49" s="22">
        <f ca="1">OFFSET('Trans Factors'!$B$13,$O49-1,R$14)*$L49+OFFSET('Trans Factors'!$B$13,$K49-1,R$14)*$H49</f>
        <v>0</v>
      </c>
      <c r="S49" s="22"/>
      <c r="T49" s="22">
        <f ca="1">OFFSET('Trans Factors'!$B$13,$O49-1,T$14)*$L49+OFFSET('Trans Factors'!$B$13,$K49-1,T$14)*$H49</f>
        <v>0</v>
      </c>
      <c r="U49" s="22"/>
      <c r="V49" s="22">
        <f ca="1">OFFSET('Trans Factors'!$B$13,$O49-1,V$14)*$L49+OFFSET('Trans Factors'!$B$13,$K49-1,V$14)*$H49</f>
        <v>0</v>
      </c>
      <c r="X49" s="22">
        <f ca="1">OFFSET('Trans Factors'!$B$13,$O49-1,X$14)*$L49+OFFSET('Trans Factors'!$B$13,$K49-1,X$14)*$H49</f>
        <v>0</v>
      </c>
      <c r="Y49" s="100"/>
      <c r="Z49" s="22">
        <f ca="1">OFFSET('Trans Factors'!$B$13,$O49-1,Z$14)*$L49+OFFSET('Trans Factors'!$B$13,$K49-1,Z$14)*$H49</f>
        <v>0</v>
      </c>
      <c r="AA49" s="22"/>
      <c r="AB49" s="22">
        <f ca="1">OFFSET('Trans Factors'!$B$13,$O49-1,AB$14)*$L49+OFFSET('Trans Factors'!$B$13,$K49-1,AB$14)*$H49</f>
        <v>0</v>
      </c>
      <c r="AD49" s="22">
        <f t="shared" ca="1" si="11"/>
        <v>0</v>
      </c>
      <c r="AE49" s="97"/>
      <c r="AF49" s="35" t="str">
        <f t="shared" ca="1" si="9"/>
        <v/>
      </c>
      <c r="AH49" s="73"/>
      <c r="AI49" s="66"/>
      <c r="AJ49" s="170"/>
      <c r="AK49" s="170"/>
      <c r="AL49" s="66"/>
      <c r="AM49" s="170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170"/>
      <c r="AZ49" s="105"/>
    </row>
    <row r="50" spans="2:52" s="99" customFormat="1" ht="13" x14ac:dyDescent="0.3">
      <c r="B50" s="163">
        <f t="shared" si="12"/>
        <v>27</v>
      </c>
      <c r="D50" s="99" t="s">
        <v>327</v>
      </c>
      <c r="F50" s="113">
        <f ca="1">Function!T50</f>
        <v>0</v>
      </c>
      <c r="G50" s="94"/>
      <c r="H50" s="113"/>
      <c r="I50" s="94"/>
      <c r="J50" s="94"/>
      <c r="K50" s="192">
        <f>_xlfn.IFNA(MATCH(J50,'Trans Factors'!$B$13:$B$450,0),0)</f>
        <v>0</v>
      </c>
      <c r="L50" s="113">
        <f t="shared" ca="1" si="10"/>
        <v>0</v>
      </c>
      <c r="M50" s="97"/>
      <c r="N50" s="28"/>
      <c r="O50" s="186">
        <f>_xlfn.IFNA(MATCH(N50,'Trans Factors'!$B$13:$B$450,0),0)</f>
        <v>0</v>
      </c>
      <c r="P50" s="22">
        <f ca="1">OFFSET('Trans Factors'!$B$13,$O50-1,P$14)*$L50+OFFSET('Trans Factors'!$B$13,$K50-1,P$14)*$H50</f>
        <v>0</v>
      </c>
      <c r="Q50" s="97"/>
      <c r="R50" s="22">
        <f ca="1">OFFSET('Trans Factors'!$B$13,$O50-1,R$14)*$L50+OFFSET('Trans Factors'!$B$13,$K50-1,R$14)*$H50</f>
        <v>0</v>
      </c>
      <c r="S50" s="22"/>
      <c r="T50" s="22">
        <f ca="1">OFFSET('Trans Factors'!$B$13,$O50-1,T$14)*$L50+OFFSET('Trans Factors'!$B$13,$K50-1,T$14)*$H50</f>
        <v>0</v>
      </c>
      <c r="U50" s="22"/>
      <c r="V50" s="22">
        <f ca="1">OFFSET('Trans Factors'!$B$13,$O50-1,V$14)*$L50+OFFSET('Trans Factors'!$B$13,$K50-1,V$14)*$H50</f>
        <v>0</v>
      </c>
      <c r="X50" s="22">
        <f ca="1">OFFSET('Trans Factors'!$B$13,$O50-1,X$14)*$L50+OFFSET('Trans Factors'!$B$13,$K50-1,X$14)*$H50</f>
        <v>0</v>
      </c>
      <c r="Y50" s="100"/>
      <c r="Z50" s="22">
        <f ca="1">OFFSET('Trans Factors'!$B$13,$O50-1,Z$14)*$L50+OFFSET('Trans Factors'!$B$13,$K50-1,Z$14)*$H50</f>
        <v>0</v>
      </c>
      <c r="AA50" s="22"/>
      <c r="AB50" s="22">
        <f ca="1">OFFSET('Trans Factors'!$B$13,$O50-1,AB$14)*$L50+OFFSET('Trans Factors'!$B$13,$K50-1,AB$14)*$H50</f>
        <v>0</v>
      </c>
      <c r="AD50" s="22">
        <f t="shared" ca="1" si="11"/>
        <v>0</v>
      </c>
      <c r="AE50" s="97"/>
      <c r="AF50" s="35" t="str">
        <f t="shared" ca="1" si="9"/>
        <v/>
      </c>
      <c r="AH50" s="73"/>
      <c r="AI50" s="66"/>
      <c r="AJ50" s="170"/>
      <c r="AK50" s="170"/>
      <c r="AL50" s="66"/>
      <c r="AM50" s="170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170"/>
      <c r="AZ50" s="105"/>
    </row>
    <row r="51" spans="2:52" s="99" customFormat="1" ht="13" x14ac:dyDescent="0.3">
      <c r="B51" s="163">
        <f>B50+1</f>
        <v>28</v>
      </c>
      <c r="D51" s="99" t="s">
        <v>34</v>
      </c>
      <c r="F51" s="113">
        <f ca="1">Function!T51</f>
        <v>0</v>
      </c>
      <c r="G51" s="94"/>
      <c r="H51" s="113"/>
      <c r="I51" s="94"/>
      <c r="J51" s="94"/>
      <c r="K51" s="192">
        <f>_xlfn.IFNA(MATCH(J51,'Trans Factors'!$B$13:$B$450,0),0)</f>
        <v>0</v>
      </c>
      <c r="L51" s="113">
        <f t="shared" ca="1" si="10"/>
        <v>0</v>
      </c>
      <c r="M51" s="97"/>
      <c r="N51" s="28"/>
      <c r="O51" s="186">
        <f>_xlfn.IFNA(MATCH(N51,'Trans Factors'!$B$13:$B$450,0),0)</f>
        <v>0</v>
      </c>
      <c r="P51" s="22">
        <f ca="1">OFFSET('Trans Factors'!$B$13,$O51-1,P$14)*$L51+OFFSET('Trans Factors'!$B$13,$K51-1,P$14)*$H51</f>
        <v>0</v>
      </c>
      <c r="Q51" s="97"/>
      <c r="R51" s="22">
        <f ca="1">OFFSET('Trans Factors'!$B$13,$O51-1,R$14)*$L51+OFFSET('Trans Factors'!$B$13,$K51-1,R$14)*$H51</f>
        <v>0</v>
      </c>
      <c r="S51" s="22"/>
      <c r="T51" s="22">
        <f ca="1">OFFSET('Trans Factors'!$B$13,$O51-1,T$14)*$L51+OFFSET('Trans Factors'!$B$13,$K51-1,T$14)*$H51</f>
        <v>0</v>
      </c>
      <c r="U51" s="22"/>
      <c r="V51" s="22">
        <f ca="1">OFFSET('Trans Factors'!$B$13,$O51-1,V$14)*$L51+OFFSET('Trans Factors'!$B$13,$K51-1,V$14)*$H51</f>
        <v>0</v>
      </c>
      <c r="X51" s="22">
        <f ca="1">OFFSET('Trans Factors'!$B$13,$O51-1,X$14)*$L51+OFFSET('Trans Factors'!$B$13,$K51-1,X$14)*$H51</f>
        <v>0</v>
      </c>
      <c r="Y51" s="100"/>
      <c r="Z51" s="22">
        <f ca="1">OFFSET('Trans Factors'!$B$13,$O51-1,Z$14)*$L51+OFFSET('Trans Factors'!$B$13,$K51-1,Z$14)*$H51</f>
        <v>0</v>
      </c>
      <c r="AA51" s="22"/>
      <c r="AB51" s="22">
        <f ca="1">OFFSET('Trans Factors'!$B$13,$O51-1,AB$14)*$L51+OFFSET('Trans Factors'!$B$13,$K51-1,AB$14)*$H51</f>
        <v>0</v>
      </c>
      <c r="AD51" s="22">
        <f t="shared" ca="1" si="11"/>
        <v>0</v>
      </c>
      <c r="AE51" s="97"/>
      <c r="AF51" s="35" t="str">
        <f t="shared" ca="1" si="9"/>
        <v/>
      </c>
      <c r="AH51" s="73"/>
      <c r="AI51" s="66"/>
      <c r="AJ51" s="170"/>
      <c r="AK51" s="170"/>
      <c r="AL51" s="66"/>
      <c r="AM51" s="170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170"/>
      <c r="AZ51" s="105"/>
    </row>
    <row r="52" spans="2:52" s="99" customFormat="1" ht="13" x14ac:dyDescent="0.3">
      <c r="B52" s="163">
        <f>B51+1</f>
        <v>29</v>
      </c>
      <c r="D52" s="99" t="s">
        <v>78</v>
      </c>
      <c r="F52" s="113">
        <f ca="1">Function!T52</f>
        <v>0</v>
      </c>
      <c r="G52" s="94"/>
      <c r="H52" s="113"/>
      <c r="I52" s="94"/>
      <c r="J52" s="94"/>
      <c r="K52" s="192">
        <f>_xlfn.IFNA(MATCH(J52,'Trans Factors'!$B$13:$B$450,0),0)</f>
        <v>0</v>
      </c>
      <c r="L52" s="113">
        <f t="shared" ca="1" si="10"/>
        <v>0</v>
      </c>
      <c r="M52" s="97"/>
      <c r="N52" s="28"/>
      <c r="O52" s="186">
        <f>_xlfn.IFNA(MATCH(N52,'Trans Factors'!$B$13:$B$450,0),0)</f>
        <v>0</v>
      </c>
      <c r="P52" s="22">
        <f ca="1">OFFSET('Trans Factors'!$B$13,$O52-1,P$14)*$L52+OFFSET('Trans Factors'!$B$13,$K52-1,P$14)*$H52</f>
        <v>0</v>
      </c>
      <c r="Q52" s="97"/>
      <c r="R52" s="22">
        <f ca="1">OFFSET('Trans Factors'!$B$13,$O52-1,R$14)*$L52+OFFSET('Trans Factors'!$B$13,$K52-1,R$14)*$H52</f>
        <v>0</v>
      </c>
      <c r="S52" s="22"/>
      <c r="T52" s="22">
        <f ca="1">OFFSET('Trans Factors'!$B$13,$O52-1,T$14)*$L52+OFFSET('Trans Factors'!$B$13,$K52-1,T$14)*$H52</f>
        <v>0</v>
      </c>
      <c r="U52" s="22"/>
      <c r="V52" s="22">
        <f ca="1">OFFSET('Trans Factors'!$B$13,$O52-1,V$14)*$L52+OFFSET('Trans Factors'!$B$13,$K52-1,V$14)*$H52</f>
        <v>0</v>
      </c>
      <c r="X52" s="22">
        <f ca="1">OFFSET('Trans Factors'!$B$13,$O52-1,X$14)*$L52+OFFSET('Trans Factors'!$B$13,$K52-1,X$14)*$H52</f>
        <v>0</v>
      </c>
      <c r="Y52" s="100"/>
      <c r="Z52" s="22">
        <f ca="1">OFFSET('Trans Factors'!$B$13,$O52-1,Z$14)*$L52+OFFSET('Trans Factors'!$B$13,$K52-1,Z$14)*$H52</f>
        <v>0</v>
      </c>
      <c r="AA52" s="22"/>
      <c r="AB52" s="22">
        <f ca="1">OFFSET('Trans Factors'!$B$13,$O52-1,AB$14)*$L52+OFFSET('Trans Factors'!$B$13,$K52-1,AB$14)*$H52</f>
        <v>0</v>
      </c>
      <c r="AD52" s="22">
        <f t="shared" ca="1" si="11"/>
        <v>0</v>
      </c>
      <c r="AE52" s="97"/>
      <c r="AF52" s="35" t="str">
        <f t="shared" ca="1" si="9"/>
        <v/>
      </c>
      <c r="AH52" s="73"/>
      <c r="AI52" s="66"/>
      <c r="AJ52" s="170"/>
      <c r="AK52" s="170"/>
      <c r="AL52" s="66"/>
      <c r="AM52" s="170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170"/>
      <c r="AZ52" s="105"/>
    </row>
    <row r="53" spans="2:52" s="99" customFormat="1" ht="13" x14ac:dyDescent="0.3">
      <c r="B53" s="163">
        <f t="shared" si="12"/>
        <v>30</v>
      </c>
      <c r="D53" s="99" t="s">
        <v>334</v>
      </c>
      <c r="F53" s="79">
        <f ca="1">SUM(F40:F52)</f>
        <v>-1440966.9624631526</v>
      </c>
      <c r="G53" s="94"/>
      <c r="H53" s="79">
        <f>SUM(H40:H52)</f>
        <v>0</v>
      </c>
      <c r="I53" s="94"/>
      <c r="J53" s="94"/>
      <c r="K53" s="188"/>
      <c r="L53" s="79">
        <f ca="1">SUM(L40:L52)</f>
        <v>-1440966.9624631526</v>
      </c>
      <c r="M53" s="97"/>
      <c r="N53" s="97"/>
      <c r="O53" s="186"/>
      <c r="P53" s="46">
        <f ca="1">SUM(P40:P52)</f>
        <v>-57493.027289234509</v>
      </c>
      <c r="Q53" s="32"/>
      <c r="R53" s="46">
        <f ca="1">SUM(R40:R52)</f>
        <v>-10230.428691878978</v>
      </c>
      <c r="S53" s="30"/>
      <c r="T53" s="46">
        <f ca="1">SUM(T40:T52)</f>
        <v>-170152.49292552815</v>
      </c>
      <c r="U53" s="30"/>
      <c r="V53" s="46">
        <f ca="1">SUM(V40:V52)</f>
        <v>-1020424.0440999347</v>
      </c>
      <c r="W53" s="41"/>
      <c r="X53" s="46">
        <f ca="1">SUM(X40:X52)</f>
        <v>-55172.213592554108</v>
      </c>
      <c r="Y53" s="13"/>
      <c r="Z53" s="46">
        <f ca="1">SUM(Z40:Z52)</f>
        <v>-127494.75586402208</v>
      </c>
      <c r="AA53" s="30"/>
      <c r="AB53" s="46">
        <f ca="1">SUM(AB40:AB52)</f>
        <v>0</v>
      </c>
      <c r="AD53" s="46">
        <f ca="1">SUM(AD40:AD52)</f>
        <v>-1440966.9624631526</v>
      </c>
      <c r="AE53" s="97"/>
      <c r="AF53" s="35" t="str">
        <f ca="1">IF(ROUND(F53,4)=ROUND(AD53,4), "", "check")</f>
        <v/>
      </c>
      <c r="AH53" s="73"/>
      <c r="AI53" s="66"/>
      <c r="AJ53" s="170"/>
      <c r="AK53" s="170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</row>
    <row r="54" spans="2:52" s="99" customFormat="1" ht="13" x14ac:dyDescent="0.3">
      <c r="B54" s="163"/>
      <c r="F54" s="94"/>
      <c r="G54" s="94"/>
      <c r="H54" s="94"/>
      <c r="I54" s="94"/>
      <c r="J54" s="94"/>
      <c r="K54" s="188"/>
      <c r="L54" s="94"/>
      <c r="M54" s="97"/>
      <c r="N54" s="97"/>
      <c r="O54" s="186"/>
      <c r="P54" s="97"/>
      <c r="Q54" s="97"/>
      <c r="R54" s="97"/>
      <c r="S54" s="97"/>
      <c r="T54" s="97"/>
      <c r="U54" s="97"/>
      <c r="V54" s="97"/>
      <c r="W54" s="41"/>
      <c r="X54" s="97"/>
      <c r="Z54" s="97"/>
      <c r="AA54" s="97"/>
      <c r="AB54" s="97"/>
      <c r="AD54" s="97"/>
      <c r="AE54" s="97"/>
      <c r="AF54" s="35" t="str">
        <f t="shared" ref="AF54:AF59" si="13">IF(ROUND(F54,4)=ROUND(AD54,4), "", "check")</f>
        <v/>
      </c>
      <c r="AH54" s="73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</row>
    <row r="55" spans="2:52" s="99" customFormat="1" ht="13" x14ac:dyDescent="0.3">
      <c r="B55" s="163">
        <f>B53+1</f>
        <v>31</v>
      </c>
      <c r="D55" s="99" t="s">
        <v>221</v>
      </c>
      <c r="F55" s="113">
        <f ca="1">Function!T55</f>
        <v>-81050.44661914905</v>
      </c>
      <c r="G55" s="94"/>
      <c r="H55" s="113"/>
      <c r="I55" s="94"/>
      <c r="J55" s="94"/>
      <c r="K55" s="192">
        <f>_xlfn.IFNA(MATCH(J55,'Trans Factors'!$B$13:$B$450,0),0)</f>
        <v>0</v>
      </c>
      <c r="L55" s="113">
        <f t="shared" ref="L55" ca="1" si="14">F55-H55</f>
        <v>-81050.44661914905</v>
      </c>
      <c r="M55" s="97"/>
      <c r="N55" s="28" t="s">
        <v>266</v>
      </c>
      <c r="O55" s="186">
        <f>_xlfn.IFNA(MATCH(N55,'Trans Factors'!$B$13:$B$450,0),0)</f>
        <v>23</v>
      </c>
      <c r="P55" s="22">
        <f ca="1">OFFSET('Trans Factors'!$B$13,$O55-1,P$14)*$L55+OFFSET('Trans Factors'!$B$13,$K55-1,P$14)*$H55</f>
        <v>-2349.6671110870629</v>
      </c>
      <c r="Q55" s="97"/>
      <c r="R55" s="22">
        <f ca="1">OFFSET('Trans Factors'!$B$13,$O55-1,R$14)*$L55+OFFSET('Trans Factors'!$B$13,$K55-1,R$14)*$H55</f>
        <v>-356.73093112805657</v>
      </c>
      <c r="S55" s="22"/>
      <c r="T55" s="22">
        <f ca="1">OFFSET('Trans Factors'!$B$13,$O55-1,T$14)*$L55+OFFSET('Trans Factors'!$B$13,$K55-1,T$14)*$H55</f>
        <v>-9615.219481946855</v>
      </c>
      <c r="U55" s="22"/>
      <c r="V55" s="22">
        <f ca="1">OFFSET('Trans Factors'!$B$13,$O55-1,V$14)*$L55+OFFSET('Trans Factors'!$B$13,$K55-1,V$14)*$H55</f>
        <v>-43498.370314247142</v>
      </c>
      <c r="X55" s="22">
        <f ca="1">OFFSET('Trans Factors'!$B$13,$O55-1,X$14)*$L55+OFFSET('Trans Factors'!$B$13,$K55-1,X$14)*$H55</f>
        <v>-7267.0039318472291</v>
      </c>
      <c r="Y55" s="100"/>
      <c r="Z55" s="22">
        <f ca="1">OFFSET('Trans Factors'!$B$13,$O55-1,Z$14)*$L55+OFFSET('Trans Factors'!$B$13,$K55-1,Z$14)*$H55</f>
        <v>-17963.454848892699</v>
      </c>
      <c r="AA55" s="22"/>
      <c r="AB55" s="22">
        <f ca="1">OFFSET('Trans Factors'!$B$13,$O55-1,AB$14)*$L55+OFFSET('Trans Factors'!$B$13,$K55-1,AB$14)*$H55</f>
        <v>0</v>
      </c>
      <c r="AC55" s="100"/>
      <c r="AD55" s="22">
        <f ca="1">P55+R55+T55+V55+X55+Z55+AB55</f>
        <v>-81050.446619149036</v>
      </c>
      <c r="AE55" s="97"/>
      <c r="AF55" s="35" t="str">
        <f t="shared" ca="1" si="13"/>
        <v/>
      </c>
      <c r="AH55" s="94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</row>
    <row r="56" spans="2:52" s="99" customFormat="1" ht="13" x14ac:dyDescent="0.3">
      <c r="B56" s="163"/>
      <c r="F56" s="94"/>
      <c r="G56" s="94"/>
      <c r="H56" s="94"/>
      <c r="I56" s="94"/>
      <c r="J56" s="94"/>
      <c r="K56" s="188"/>
      <c r="L56" s="94"/>
      <c r="M56" s="97"/>
      <c r="N56" s="97"/>
      <c r="O56" s="188"/>
      <c r="P56" s="97"/>
      <c r="Q56" s="97"/>
      <c r="R56" s="97"/>
      <c r="S56" s="97"/>
      <c r="T56" s="97"/>
      <c r="U56" s="97"/>
      <c r="V56" s="97"/>
      <c r="W56" s="41"/>
      <c r="X56" s="97"/>
      <c r="Z56" s="97"/>
      <c r="AA56" s="97"/>
      <c r="AB56" s="97"/>
      <c r="AD56" s="97"/>
      <c r="AE56" s="97"/>
      <c r="AF56" s="35" t="str">
        <f t="shared" si="13"/>
        <v/>
      </c>
      <c r="AH56" s="73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</row>
    <row r="57" spans="2:52" s="99" customFormat="1" ht="13" x14ac:dyDescent="0.3">
      <c r="B57" s="163">
        <f>B55+1</f>
        <v>32</v>
      </c>
      <c r="D57" s="99" t="s">
        <v>476</v>
      </c>
      <c r="F57" s="79">
        <f ca="1">F53+F55</f>
        <v>-1522017.4090823017</v>
      </c>
      <c r="G57" s="94"/>
      <c r="H57" s="79">
        <f>H53+H55</f>
        <v>0</v>
      </c>
      <c r="I57" s="94"/>
      <c r="J57" s="94"/>
      <c r="K57" s="188"/>
      <c r="L57" s="79">
        <f ca="1">L53+L55</f>
        <v>-1522017.4090823017</v>
      </c>
      <c r="M57" s="97"/>
      <c r="N57" s="97"/>
      <c r="O57" s="188"/>
      <c r="P57" s="45">
        <f ca="1">P53+P55</f>
        <v>-59842.694400321576</v>
      </c>
      <c r="Q57" s="47"/>
      <c r="R57" s="45">
        <f ca="1">R53+R55</f>
        <v>-10587.159623007035</v>
      </c>
      <c r="S57" s="23"/>
      <c r="T57" s="45">
        <f ca="1">T53+T55</f>
        <v>-179767.71240747499</v>
      </c>
      <c r="U57" s="23"/>
      <c r="V57" s="45">
        <f ca="1">V53+V55</f>
        <v>-1063922.4144141818</v>
      </c>
      <c r="W57" s="41"/>
      <c r="X57" s="45">
        <f ca="1">X53+X55</f>
        <v>-62439.217524401334</v>
      </c>
      <c r="Y57" s="8"/>
      <c r="Z57" s="45">
        <f ca="1">Z53+Z55</f>
        <v>-145458.21071291479</v>
      </c>
      <c r="AA57" s="31"/>
      <c r="AB57" s="45">
        <f ca="1">AB53+AB55</f>
        <v>0</v>
      </c>
      <c r="AD57" s="45">
        <f ca="1">AD53+AD55</f>
        <v>-1522017.4090823017</v>
      </c>
      <c r="AE57" s="97"/>
      <c r="AF57" s="35" t="str">
        <f t="shared" ca="1" si="13"/>
        <v/>
      </c>
      <c r="AH57" s="73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</row>
    <row r="58" spans="2:52" s="99" customFormat="1" ht="13" x14ac:dyDescent="0.3">
      <c r="B58" s="163"/>
      <c r="D58" s="6"/>
      <c r="F58" s="219"/>
      <c r="G58" s="94"/>
      <c r="H58" s="219"/>
      <c r="I58" s="94"/>
      <c r="J58" s="94"/>
      <c r="K58" s="188"/>
      <c r="L58" s="219"/>
      <c r="M58" s="97"/>
      <c r="N58" s="97"/>
      <c r="O58" s="188"/>
      <c r="P58" s="97"/>
      <c r="Q58" s="97"/>
      <c r="R58" s="97"/>
      <c r="S58" s="97"/>
      <c r="T58" s="97"/>
      <c r="U58" s="97"/>
      <c r="V58" s="97"/>
      <c r="W58" s="41"/>
      <c r="X58" s="97"/>
      <c r="Z58" s="97"/>
      <c r="AA58" s="97"/>
      <c r="AB58" s="97"/>
      <c r="AD58" s="97"/>
      <c r="AE58" s="97"/>
      <c r="AF58" s="35" t="str">
        <f t="shared" si="13"/>
        <v/>
      </c>
      <c r="AH58" s="73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</row>
    <row r="59" spans="2:52" s="99" customFormat="1" ht="13" x14ac:dyDescent="0.3">
      <c r="B59" s="163"/>
      <c r="E59" s="6"/>
      <c r="F59" s="94"/>
      <c r="G59" s="94"/>
      <c r="H59" s="94"/>
      <c r="I59" s="94"/>
      <c r="J59" s="94"/>
      <c r="K59" s="188"/>
      <c r="L59" s="94"/>
      <c r="M59" s="97"/>
      <c r="N59" s="97"/>
      <c r="O59" s="188"/>
      <c r="P59" s="97"/>
      <c r="Q59" s="97"/>
      <c r="R59" s="97"/>
      <c r="S59" s="97"/>
      <c r="T59" s="97"/>
      <c r="U59" s="97"/>
      <c r="V59" s="97"/>
      <c r="W59" s="41"/>
      <c r="X59" s="97"/>
      <c r="Z59" s="97"/>
      <c r="AA59" s="97"/>
      <c r="AB59" s="97"/>
      <c r="AD59" s="97"/>
      <c r="AE59" s="97"/>
      <c r="AF59" s="35" t="str">
        <f t="shared" si="13"/>
        <v/>
      </c>
      <c r="AH59" s="73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</row>
    <row r="60" spans="2:52" ht="13" x14ac:dyDescent="0.3">
      <c r="D60" s="6" t="s">
        <v>17</v>
      </c>
      <c r="E60" s="7"/>
      <c r="F60" s="220"/>
      <c r="AE60" s="24"/>
      <c r="AF60" s="37"/>
      <c r="AI60" s="170"/>
      <c r="AJ60" s="170"/>
      <c r="AK60" s="170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170"/>
      <c r="AZ60" s="42"/>
    </row>
    <row r="61" spans="2:52" ht="13" x14ac:dyDescent="0.3">
      <c r="AE61" s="24"/>
      <c r="AF61" s="35" t="str">
        <f t="shared" ref="AF61:AF118" si="15">IF(ROUND(F61,4)=ROUND(AD61,4), "", "check")</f>
        <v/>
      </c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</row>
    <row r="62" spans="2:52" ht="13" x14ac:dyDescent="0.3">
      <c r="B62" s="163">
        <f>B57+1</f>
        <v>33</v>
      </c>
      <c r="D62" s="99" t="s">
        <v>77</v>
      </c>
      <c r="F62" s="113">
        <f ca="1">Function!T62</f>
        <v>81031.114909682263</v>
      </c>
      <c r="H62" s="113"/>
      <c r="J62" s="91"/>
      <c r="K62" s="192">
        <f>_xlfn.IFNA(MATCH(J62,'Trans Factors'!$B$13:$B$450,0),0)</f>
        <v>0</v>
      </c>
      <c r="L62" s="113">
        <f ca="1">F62-H62</f>
        <v>81031.114909682263</v>
      </c>
      <c r="N62" s="28"/>
      <c r="O62" s="186">
        <f>_xlfn.IFNA(MATCH(N62,'Trans Factors'!$B$13:$B$450,0),0)</f>
        <v>0</v>
      </c>
      <c r="P62" s="22">
        <f ca="1">P18+P40</f>
        <v>4168.0006204362635</v>
      </c>
      <c r="Q62" s="24"/>
      <c r="R62" s="22">
        <f ca="1">R18+R40</f>
        <v>0</v>
      </c>
      <c r="S62" s="22"/>
      <c r="T62" s="22">
        <f ca="1">T18+T40</f>
        <v>30938.217400000009</v>
      </c>
      <c r="U62" s="22"/>
      <c r="V62" s="22">
        <f ca="1">V18+V40</f>
        <v>40450.501670000027</v>
      </c>
      <c r="X62" s="22">
        <f ca="1">X18+X40</f>
        <v>42.977502500000014</v>
      </c>
      <c r="Y62" s="9"/>
      <c r="Z62" s="22">
        <f ca="1">Z18+Z40</f>
        <v>5431.4177167459711</v>
      </c>
      <c r="AA62" s="22"/>
      <c r="AB62" s="22">
        <f ca="1">AB18+AB40</f>
        <v>0</v>
      </c>
      <c r="AD62" s="22">
        <f ca="1">P62+R62+T62+V62+X62+Z62+AB62</f>
        <v>81031.114909682263</v>
      </c>
      <c r="AE62" s="24"/>
      <c r="AF62" s="35" t="str">
        <f t="shared" ca="1" si="15"/>
        <v/>
      </c>
      <c r="AI62" s="66"/>
      <c r="AJ62" s="170"/>
      <c r="AK62" s="170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170"/>
      <c r="AZ62" s="105"/>
    </row>
    <row r="63" spans="2:52" ht="13" x14ac:dyDescent="0.3">
      <c r="B63" s="163">
        <f>B62+1</f>
        <v>34</v>
      </c>
      <c r="D63" s="99" t="s">
        <v>76</v>
      </c>
      <c r="F63" s="113">
        <f ca="1">Function!T63</f>
        <v>47247.755727071446</v>
      </c>
      <c r="H63" s="113"/>
      <c r="J63" s="91"/>
      <c r="K63" s="192">
        <f>_xlfn.IFNA(MATCH(J63,'Trans Factors'!$B$13:$B$450,0),0)</f>
        <v>0</v>
      </c>
      <c r="L63" s="113">
        <f t="shared" ref="L63:L74" ca="1" si="16">F63-H63</f>
        <v>47247.755727071446</v>
      </c>
      <c r="M63" s="24"/>
      <c r="N63" s="28"/>
      <c r="O63" s="186">
        <f>_xlfn.IFNA(MATCH(N63,'Trans Factors'!$B$13:$B$450,0),0)</f>
        <v>0</v>
      </c>
      <c r="P63" s="22">
        <f t="shared" ref="P63:R74" ca="1" si="17">P19+P41</f>
        <v>0</v>
      </c>
      <c r="Q63" s="24"/>
      <c r="R63" s="22">
        <f t="shared" ca="1" si="17"/>
        <v>0</v>
      </c>
      <c r="S63" s="22"/>
      <c r="T63" s="22">
        <f t="shared" ref="T63" ca="1" si="18">T19+T41</f>
        <v>347.05091972637388</v>
      </c>
      <c r="U63" s="22"/>
      <c r="V63" s="22">
        <f t="shared" ref="V63" ca="1" si="19">V19+V41</f>
        <v>20207.52453896909</v>
      </c>
      <c r="X63" s="22">
        <f t="shared" ref="X63" ca="1" si="20">X19+X41</f>
        <v>18355.98697296247</v>
      </c>
      <c r="Y63" s="9"/>
      <c r="Z63" s="22">
        <f t="shared" ref="Z63" ca="1" si="21">Z19+Z41</f>
        <v>8337.1932954135063</v>
      </c>
      <c r="AA63" s="22"/>
      <c r="AB63" s="22">
        <f t="shared" ref="AB63" ca="1" si="22">AB19+AB41</f>
        <v>0</v>
      </c>
      <c r="AD63" s="22">
        <f t="shared" ref="AD63:AD73" ca="1" si="23">P63+R63+T63+V63+X63+Z63+AB63</f>
        <v>47247.755727071439</v>
      </c>
      <c r="AE63" s="24"/>
      <c r="AF63" s="35" t="str">
        <f t="shared" ca="1" si="15"/>
        <v/>
      </c>
      <c r="AI63" s="66"/>
      <c r="AJ63" s="170"/>
      <c r="AK63" s="170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170"/>
      <c r="AZ63" s="105"/>
    </row>
    <row r="64" spans="2:52" ht="13" x14ac:dyDescent="0.3">
      <c r="B64" s="163">
        <f t="shared" ref="B64:B75" si="24">B63+1</f>
        <v>35</v>
      </c>
      <c r="D64" s="99" t="s">
        <v>19</v>
      </c>
      <c r="F64" s="113">
        <f ca="1">Function!T64</f>
        <v>134135.26310064382</v>
      </c>
      <c r="H64" s="113"/>
      <c r="J64" s="91"/>
      <c r="K64" s="192">
        <f>_xlfn.IFNA(MATCH(J64,'Trans Factors'!$B$13:$B$450,0),0)</f>
        <v>0</v>
      </c>
      <c r="L64" s="113">
        <f t="shared" ca="1" si="16"/>
        <v>134135.26310064382</v>
      </c>
      <c r="M64" s="24"/>
      <c r="N64" s="28"/>
      <c r="O64" s="186">
        <f>_xlfn.IFNA(MATCH(N64,'Trans Factors'!$B$13:$B$450,0),0)</f>
        <v>0</v>
      </c>
      <c r="P64" s="22">
        <f t="shared" ca="1" si="17"/>
        <v>14470.639739137278</v>
      </c>
      <c r="Q64" s="24"/>
      <c r="R64" s="22">
        <f t="shared" ca="1" si="17"/>
        <v>1090.5157017854349</v>
      </c>
      <c r="S64" s="22"/>
      <c r="T64" s="22">
        <f t="shared" ref="T64" ca="1" si="25">T20+T42</f>
        <v>54802.939345954474</v>
      </c>
      <c r="U64" s="22"/>
      <c r="V64" s="22">
        <f t="shared" ref="V64" ca="1" si="26">V20+V42</f>
        <v>61630.51333219056</v>
      </c>
      <c r="X64" s="22">
        <f t="shared" ref="X64" ca="1" si="27">X20+X42</f>
        <v>0</v>
      </c>
      <c r="Y64" s="9"/>
      <c r="Z64" s="22">
        <f t="shared" ref="Z64" ca="1" si="28">Z20+Z42</f>
        <v>2140.6549815760641</v>
      </c>
      <c r="AA64" s="22"/>
      <c r="AB64" s="22">
        <f t="shared" ref="AB64" ca="1" si="29">AB20+AB42</f>
        <v>0</v>
      </c>
      <c r="AD64" s="22">
        <f t="shared" ca="1" si="23"/>
        <v>134135.26310064379</v>
      </c>
      <c r="AE64" s="24"/>
      <c r="AF64" s="35" t="str">
        <f t="shared" ca="1" si="15"/>
        <v/>
      </c>
      <c r="AI64" s="66"/>
      <c r="AJ64" s="170"/>
      <c r="AK64" s="170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170"/>
      <c r="AZ64" s="105"/>
    </row>
    <row r="65" spans="2:52" ht="13" x14ac:dyDescent="0.3">
      <c r="B65" s="163">
        <f t="shared" si="24"/>
        <v>36</v>
      </c>
      <c r="D65" s="99" t="s">
        <v>21</v>
      </c>
      <c r="F65" s="113">
        <f ca="1">Function!T65</f>
        <v>200814.18652432266</v>
      </c>
      <c r="H65" s="113"/>
      <c r="J65" s="91"/>
      <c r="K65" s="192">
        <f>_xlfn.IFNA(MATCH(J65,'Trans Factors'!$B$13:$B$450,0),0)</f>
        <v>0</v>
      </c>
      <c r="L65" s="113">
        <f t="shared" ca="1" si="16"/>
        <v>200814.18652432266</v>
      </c>
      <c r="M65" s="24"/>
      <c r="N65" s="28"/>
      <c r="O65" s="186">
        <f>_xlfn.IFNA(MATCH(N65,'Trans Factors'!$B$13:$B$450,0),0)</f>
        <v>0</v>
      </c>
      <c r="P65" s="22">
        <f t="shared" ca="1" si="17"/>
        <v>40236.02768274134</v>
      </c>
      <c r="Q65" s="24"/>
      <c r="R65" s="22">
        <f t="shared" ca="1" si="17"/>
        <v>5408.4181989464923</v>
      </c>
      <c r="S65" s="22"/>
      <c r="T65" s="22">
        <f t="shared" ref="T65" ca="1" si="30">T21+T43</f>
        <v>40276.495834286739</v>
      </c>
      <c r="U65" s="22"/>
      <c r="V65" s="22">
        <f t="shared" ref="V65" ca="1" si="31">V21+V43</f>
        <v>0</v>
      </c>
      <c r="X65" s="22">
        <f t="shared" ref="X65" ca="1" si="32">X21+X43</f>
        <v>3006.4859944837017</v>
      </c>
      <c r="Y65" s="9"/>
      <c r="Z65" s="22">
        <f t="shared" ref="Z65" ca="1" si="33">Z21+Z43</f>
        <v>111886.75881386436</v>
      </c>
      <c r="AA65" s="22"/>
      <c r="AB65" s="22">
        <f t="shared" ref="AB65" ca="1" si="34">AB21+AB43</f>
        <v>0</v>
      </c>
      <c r="AD65" s="22">
        <f t="shared" ca="1" si="23"/>
        <v>200814.18652432263</v>
      </c>
      <c r="AE65" s="24"/>
      <c r="AF65" s="35" t="str">
        <f t="shared" ca="1" si="15"/>
        <v/>
      </c>
      <c r="AI65" s="66"/>
      <c r="AJ65" s="170"/>
      <c r="AK65" s="170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170"/>
      <c r="AZ65" s="105"/>
    </row>
    <row r="66" spans="2:52" ht="13" x14ac:dyDescent="0.3">
      <c r="B66" s="163">
        <f t="shared" si="24"/>
        <v>37</v>
      </c>
      <c r="D66" s="99" t="s">
        <v>23</v>
      </c>
      <c r="F66" s="113">
        <f ca="1">Function!T66</f>
        <v>1595797.4282952182</v>
      </c>
      <c r="H66" s="113"/>
      <c r="K66" s="192">
        <f>_xlfn.IFNA(MATCH(J66,'Trans Factors'!$B$13:$B$450,0),0)</f>
        <v>0</v>
      </c>
      <c r="L66" s="113">
        <f t="shared" ca="1" si="16"/>
        <v>1595797.4282952182</v>
      </c>
      <c r="M66" s="24"/>
      <c r="N66" s="28"/>
      <c r="O66" s="186">
        <f>_xlfn.IFNA(MATCH(N66,'Trans Factors'!$B$13:$B$450,0),0)</f>
        <v>0</v>
      </c>
      <c r="P66" s="22">
        <f t="shared" ca="1" si="17"/>
        <v>0</v>
      </c>
      <c r="Q66" s="24"/>
      <c r="R66" s="22">
        <f t="shared" ca="1" si="17"/>
        <v>114.72870989122487</v>
      </c>
      <c r="S66" s="22"/>
      <c r="T66" s="22">
        <f t="shared" ref="T66" ca="1" si="35">T22+T44</f>
        <v>6443.2999881682572</v>
      </c>
      <c r="U66" s="22"/>
      <c r="V66" s="22">
        <f t="shared" ref="V66" ca="1" si="36">V22+V44</f>
        <v>715757.84176950715</v>
      </c>
      <c r="X66" s="22">
        <f t="shared" ref="X66" ca="1" si="37">X22+X44</f>
        <v>315191.97516007686</v>
      </c>
      <c r="Y66" s="9"/>
      <c r="Z66" s="22">
        <f t="shared" ref="Z66" ca="1" si="38">Z22+Z44</f>
        <v>558289.58266757487</v>
      </c>
      <c r="AA66" s="22"/>
      <c r="AB66" s="22">
        <f t="shared" ref="AB66" ca="1" si="39">AB22+AB44</f>
        <v>0</v>
      </c>
      <c r="AD66" s="22">
        <f t="shared" ca="1" si="23"/>
        <v>1595797.4282952184</v>
      </c>
      <c r="AE66" s="24"/>
      <c r="AF66" s="35" t="str">
        <f t="shared" ca="1" si="15"/>
        <v/>
      </c>
      <c r="AI66" s="66"/>
      <c r="AJ66" s="170"/>
      <c r="AK66" s="170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170"/>
      <c r="AZ66" s="105"/>
    </row>
    <row r="67" spans="2:52" ht="13" x14ac:dyDescent="0.3">
      <c r="B67" s="163">
        <f t="shared" si="24"/>
        <v>38</v>
      </c>
      <c r="D67" s="99" t="s">
        <v>25</v>
      </c>
      <c r="F67" s="113">
        <f ca="1">Function!T67</f>
        <v>831720.75923165283</v>
      </c>
      <c r="H67" s="113"/>
      <c r="K67" s="192">
        <f>_xlfn.IFNA(MATCH(J67,'Trans Factors'!$B$13:$B$450,0),0)</f>
        <v>0</v>
      </c>
      <c r="L67" s="113">
        <f t="shared" ca="1" si="16"/>
        <v>831720.75923165283</v>
      </c>
      <c r="M67" s="24"/>
      <c r="N67" s="28"/>
      <c r="O67" s="186">
        <f>_xlfn.IFNA(MATCH(N67,'Trans Factors'!$B$13:$B$450,0),0)</f>
        <v>0</v>
      </c>
      <c r="P67" s="22">
        <f t="shared" ca="1" si="17"/>
        <v>0</v>
      </c>
      <c r="Q67" s="24"/>
      <c r="R67" s="22">
        <f t="shared" ca="1" si="17"/>
        <v>0</v>
      </c>
      <c r="S67" s="22"/>
      <c r="T67" s="22">
        <f t="shared" ref="T67" ca="1" si="40">T23+T45</f>
        <v>183354.1129371693</v>
      </c>
      <c r="U67" s="22"/>
      <c r="V67" s="22">
        <f t="shared" ref="V67" ca="1" si="41">V23+V45</f>
        <v>642540.66749888228</v>
      </c>
      <c r="X67" s="22">
        <f t="shared" ref="X67" ca="1" si="42">X23+X45</f>
        <v>0</v>
      </c>
      <c r="Y67" s="9"/>
      <c r="Z67" s="22">
        <f t="shared" ref="Z67" ca="1" si="43">Z23+Z45</f>
        <v>5825.9787956012733</v>
      </c>
      <c r="AA67" s="22"/>
      <c r="AB67" s="22">
        <f t="shared" ref="AB67" ca="1" si="44">AB23+AB45</f>
        <v>0</v>
      </c>
      <c r="AD67" s="22">
        <f t="shared" ca="1" si="23"/>
        <v>831720.75923165283</v>
      </c>
      <c r="AE67" s="24"/>
      <c r="AF67" s="35" t="str">
        <f t="shared" ca="1" si="15"/>
        <v/>
      </c>
      <c r="AI67" s="66"/>
      <c r="AJ67" s="170"/>
      <c r="AK67" s="170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170"/>
      <c r="AZ67" s="105"/>
    </row>
    <row r="68" spans="2:52" ht="13" x14ac:dyDescent="0.3">
      <c r="B68" s="163">
        <f t="shared" si="24"/>
        <v>39</v>
      </c>
      <c r="D68" s="99" t="s">
        <v>27</v>
      </c>
      <c r="F68" s="113">
        <f ca="1">Function!T68</f>
        <v>0</v>
      </c>
      <c r="H68" s="113"/>
      <c r="K68" s="192">
        <f>_xlfn.IFNA(MATCH(J68,'Trans Factors'!$B$13:$B$450,0),0)</f>
        <v>0</v>
      </c>
      <c r="L68" s="113">
        <f t="shared" ca="1" si="16"/>
        <v>0</v>
      </c>
      <c r="M68" s="24"/>
      <c r="N68" s="28"/>
      <c r="O68" s="186">
        <f>_xlfn.IFNA(MATCH(N68,'Trans Factors'!$B$13:$B$450,0),0)</f>
        <v>0</v>
      </c>
      <c r="P68" s="22">
        <f t="shared" ca="1" si="17"/>
        <v>0</v>
      </c>
      <c r="Q68" s="24"/>
      <c r="R68" s="22">
        <f t="shared" ca="1" si="17"/>
        <v>0</v>
      </c>
      <c r="S68" s="22"/>
      <c r="T68" s="22">
        <f t="shared" ref="T68" ca="1" si="45">T24+T46</f>
        <v>0</v>
      </c>
      <c r="U68" s="22"/>
      <c r="V68" s="22">
        <f t="shared" ref="V68" ca="1" si="46">V24+V46</f>
        <v>0</v>
      </c>
      <c r="X68" s="22">
        <f t="shared" ref="X68" ca="1" si="47">X24+X46</f>
        <v>0</v>
      </c>
      <c r="Y68" s="9"/>
      <c r="Z68" s="22">
        <f t="shared" ref="Z68" ca="1" si="48">Z24+Z46</f>
        <v>0</v>
      </c>
      <c r="AA68" s="22"/>
      <c r="AB68" s="22">
        <f t="shared" ref="AB68" ca="1" si="49">AB24+AB46</f>
        <v>0</v>
      </c>
      <c r="AD68" s="22">
        <f t="shared" ca="1" si="23"/>
        <v>0</v>
      </c>
      <c r="AE68" s="24"/>
      <c r="AF68" s="35" t="str">
        <f t="shared" ca="1" si="15"/>
        <v/>
      </c>
      <c r="AI68" s="66"/>
      <c r="AJ68" s="170"/>
      <c r="AK68" s="170"/>
      <c r="AL68" s="66"/>
      <c r="AM68" s="170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170"/>
      <c r="AZ68" s="105"/>
    </row>
    <row r="69" spans="2:52" ht="13" x14ac:dyDescent="0.3">
      <c r="B69" s="163">
        <f t="shared" si="24"/>
        <v>40</v>
      </c>
      <c r="D69" s="99" t="s">
        <v>29</v>
      </c>
      <c r="F69" s="113">
        <f ca="1">Function!T69</f>
        <v>0</v>
      </c>
      <c r="H69" s="113"/>
      <c r="K69" s="192">
        <f>_xlfn.IFNA(MATCH(J69,'Trans Factors'!$B$13:$B$450,0),0)</f>
        <v>0</v>
      </c>
      <c r="L69" s="113">
        <f t="shared" ca="1" si="16"/>
        <v>0</v>
      </c>
      <c r="M69" s="24"/>
      <c r="N69" s="28"/>
      <c r="O69" s="186">
        <f>_xlfn.IFNA(MATCH(N69,'Trans Factors'!$B$13:$B$450,0),0)</f>
        <v>0</v>
      </c>
      <c r="P69" s="22">
        <f t="shared" ca="1" si="17"/>
        <v>0</v>
      </c>
      <c r="Q69" s="24"/>
      <c r="R69" s="22">
        <f t="shared" ca="1" si="17"/>
        <v>0</v>
      </c>
      <c r="S69" s="22"/>
      <c r="T69" s="22">
        <f t="shared" ref="T69" ca="1" si="50">T25+T47</f>
        <v>0</v>
      </c>
      <c r="U69" s="22"/>
      <c r="V69" s="22">
        <f t="shared" ref="V69" ca="1" si="51">V25+V47</f>
        <v>0</v>
      </c>
      <c r="X69" s="22">
        <f t="shared" ref="X69" ca="1" si="52">X25+X47</f>
        <v>0</v>
      </c>
      <c r="Y69" s="9"/>
      <c r="Z69" s="22">
        <f t="shared" ref="Z69" ca="1" si="53">Z25+Z47</f>
        <v>0</v>
      </c>
      <c r="AA69" s="22"/>
      <c r="AB69" s="22">
        <f t="shared" ref="AB69" ca="1" si="54">AB25+AB47</f>
        <v>0</v>
      </c>
      <c r="AD69" s="22">
        <f t="shared" ca="1" si="23"/>
        <v>0</v>
      </c>
      <c r="AE69" s="24"/>
      <c r="AF69" s="35" t="str">
        <f t="shared" ca="1" si="15"/>
        <v/>
      </c>
      <c r="AI69" s="66"/>
      <c r="AJ69" s="170"/>
      <c r="AK69" s="170"/>
      <c r="AL69" s="66"/>
      <c r="AM69" s="170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170"/>
      <c r="AZ69" s="105"/>
    </row>
    <row r="70" spans="2:52" ht="13" x14ac:dyDescent="0.3">
      <c r="B70" s="163">
        <f t="shared" si="24"/>
        <v>41</v>
      </c>
      <c r="D70" s="99" t="s">
        <v>30</v>
      </c>
      <c r="F70" s="113">
        <f ca="1">Function!T70</f>
        <v>0</v>
      </c>
      <c r="H70" s="113"/>
      <c r="K70" s="192">
        <f>_xlfn.IFNA(MATCH(J70,'Trans Factors'!$B$13:$B$450,0),0)</f>
        <v>0</v>
      </c>
      <c r="L70" s="113">
        <f t="shared" ca="1" si="16"/>
        <v>0</v>
      </c>
      <c r="M70" s="24"/>
      <c r="N70" s="28"/>
      <c r="O70" s="186">
        <f>_xlfn.IFNA(MATCH(N70,'Trans Factors'!$B$13:$B$450,0),0)</f>
        <v>0</v>
      </c>
      <c r="P70" s="22">
        <f t="shared" ca="1" si="17"/>
        <v>0</v>
      </c>
      <c r="Q70" s="24"/>
      <c r="R70" s="22">
        <f t="shared" ca="1" si="17"/>
        <v>0</v>
      </c>
      <c r="S70" s="22"/>
      <c r="T70" s="22">
        <f t="shared" ref="T70" ca="1" si="55">T26+T48</f>
        <v>0</v>
      </c>
      <c r="U70" s="22"/>
      <c r="V70" s="22">
        <f t="shared" ref="V70" ca="1" si="56">V26+V48</f>
        <v>0</v>
      </c>
      <c r="X70" s="22">
        <f t="shared" ref="X70" ca="1" si="57">X26+X48</f>
        <v>0</v>
      </c>
      <c r="Y70" s="9"/>
      <c r="Z70" s="22">
        <f t="shared" ref="Z70" ca="1" si="58">Z26+Z48</f>
        <v>0</v>
      </c>
      <c r="AA70" s="22"/>
      <c r="AB70" s="22">
        <f t="shared" ref="AB70" ca="1" si="59">AB26+AB48</f>
        <v>0</v>
      </c>
      <c r="AD70" s="22">
        <f t="shared" ca="1" si="23"/>
        <v>0</v>
      </c>
      <c r="AE70" s="24"/>
      <c r="AF70" s="35" t="str">
        <f t="shared" ca="1" si="15"/>
        <v/>
      </c>
      <c r="AI70" s="66"/>
      <c r="AJ70" s="170"/>
      <c r="AK70" s="170"/>
      <c r="AL70" s="66"/>
      <c r="AM70" s="170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170"/>
      <c r="AZ70" s="105"/>
    </row>
    <row r="71" spans="2:52" ht="13" x14ac:dyDescent="0.3">
      <c r="B71" s="163">
        <f t="shared" si="24"/>
        <v>42</v>
      </c>
      <c r="D71" s="99" t="s">
        <v>31</v>
      </c>
      <c r="F71" s="113">
        <f ca="1">Function!T71</f>
        <v>0</v>
      </c>
      <c r="H71" s="113"/>
      <c r="K71" s="192">
        <f>_xlfn.IFNA(MATCH(J71,'Trans Factors'!$B$13:$B$450,0),0)</f>
        <v>0</v>
      </c>
      <c r="L71" s="113">
        <f t="shared" ca="1" si="16"/>
        <v>0</v>
      </c>
      <c r="M71" s="24"/>
      <c r="N71" s="28"/>
      <c r="O71" s="186">
        <f>_xlfn.IFNA(MATCH(N71,'Trans Factors'!$B$13:$B$450,0),0)</f>
        <v>0</v>
      </c>
      <c r="P71" s="22">
        <f t="shared" ca="1" si="17"/>
        <v>0</v>
      </c>
      <c r="Q71" s="24"/>
      <c r="R71" s="22">
        <f t="shared" ca="1" si="17"/>
        <v>0</v>
      </c>
      <c r="S71" s="22"/>
      <c r="T71" s="22">
        <f t="shared" ref="T71" ca="1" si="60">T27+T49</f>
        <v>0</v>
      </c>
      <c r="U71" s="22"/>
      <c r="V71" s="22">
        <f t="shared" ref="V71" ca="1" si="61">V27+V49</f>
        <v>0</v>
      </c>
      <c r="X71" s="22">
        <f t="shared" ref="X71" ca="1" si="62">X27+X49</f>
        <v>0</v>
      </c>
      <c r="Y71" s="9"/>
      <c r="Z71" s="22">
        <f t="shared" ref="Z71" ca="1" si="63">Z27+Z49</f>
        <v>0</v>
      </c>
      <c r="AA71" s="22"/>
      <c r="AB71" s="22">
        <f t="shared" ref="AB71" ca="1" si="64">AB27+AB49</f>
        <v>0</v>
      </c>
      <c r="AD71" s="22">
        <f t="shared" ca="1" si="23"/>
        <v>0</v>
      </c>
      <c r="AE71" s="24"/>
      <c r="AF71" s="35" t="str">
        <f t="shared" ca="1" si="15"/>
        <v/>
      </c>
      <c r="AI71" s="66"/>
      <c r="AJ71" s="170"/>
      <c r="AK71" s="170"/>
      <c r="AL71" s="66"/>
      <c r="AM71" s="170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170"/>
      <c r="AZ71" s="105"/>
    </row>
    <row r="72" spans="2:52" ht="13" x14ac:dyDescent="0.3">
      <c r="B72" s="163">
        <f t="shared" si="24"/>
        <v>43</v>
      </c>
      <c r="D72" s="99" t="s">
        <v>327</v>
      </c>
      <c r="F72" s="113">
        <f ca="1">Function!T72</f>
        <v>0</v>
      </c>
      <c r="H72" s="113"/>
      <c r="K72" s="192">
        <f>_xlfn.IFNA(MATCH(J72,'Trans Factors'!$B$13:$B$450,0),0)</f>
        <v>0</v>
      </c>
      <c r="L72" s="113">
        <f t="shared" ca="1" si="16"/>
        <v>0</v>
      </c>
      <c r="M72" s="24"/>
      <c r="N72" s="28"/>
      <c r="O72" s="186">
        <f>_xlfn.IFNA(MATCH(N72,'Trans Factors'!$B$13:$B$450,0),0)</f>
        <v>0</v>
      </c>
      <c r="P72" s="22">
        <f t="shared" ca="1" si="17"/>
        <v>0</v>
      </c>
      <c r="Q72" s="24"/>
      <c r="R72" s="22">
        <f t="shared" ca="1" si="17"/>
        <v>0</v>
      </c>
      <c r="S72" s="22"/>
      <c r="T72" s="22">
        <f t="shared" ref="T72" ca="1" si="65">T28+T50</f>
        <v>0</v>
      </c>
      <c r="U72" s="22"/>
      <c r="V72" s="22">
        <f t="shared" ref="V72" ca="1" si="66">V28+V50</f>
        <v>0</v>
      </c>
      <c r="X72" s="22">
        <f t="shared" ref="X72" ca="1" si="67">X28+X50</f>
        <v>0</v>
      </c>
      <c r="Y72" s="9"/>
      <c r="Z72" s="22">
        <f t="shared" ref="Z72" ca="1" si="68">Z28+Z50</f>
        <v>0</v>
      </c>
      <c r="AA72" s="22"/>
      <c r="AB72" s="22">
        <f t="shared" ref="AB72" ca="1" si="69">AB28+AB50</f>
        <v>0</v>
      </c>
      <c r="AD72" s="22">
        <f t="shared" ca="1" si="23"/>
        <v>0</v>
      </c>
      <c r="AE72" s="24"/>
      <c r="AF72" s="35" t="str">
        <f t="shared" ca="1" si="15"/>
        <v/>
      </c>
      <c r="AI72" s="66"/>
      <c r="AJ72" s="170"/>
      <c r="AK72" s="170"/>
      <c r="AL72" s="66"/>
      <c r="AM72" s="170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170"/>
      <c r="AZ72" s="105"/>
    </row>
    <row r="73" spans="2:52" ht="13" x14ac:dyDescent="0.3">
      <c r="B73" s="163">
        <f>B72+1</f>
        <v>44</v>
      </c>
      <c r="D73" s="99" t="s">
        <v>34</v>
      </c>
      <c r="F73" s="113">
        <f ca="1">Function!T73</f>
        <v>0</v>
      </c>
      <c r="H73" s="113"/>
      <c r="K73" s="192">
        <f>_xlfn.IFNA(MATCH(J73,'Trans Factors'!$B$13:$B$450,0),0)</f>
        <v>0</v>
      </c>
      <c r="L73" s="113">
        <f t="shared" ca="1" si="16"/>
        <v>0</v>
      </c>
      <c r="M73" s="24"/>
      <c r="N73" s="28"/>
      <c r="O73" s="186">
        <f>_xlfn.IFNA(MATCH(N73,'Trans Factors'!$B$13:$B$450,0),0)</f>
        <v>0</v>
      </c>
      <c r="P73" s="22">
        <f t="shared" ca="1" si="17"/>
        <v>0</v>
      </c>
      <c r="Q73" s="24"/>
      <c r="R73" s="22">
        <f t="shared" ca="1" si="17"/>
        <v>0</v>
      </c>
      <c r="S73" s="22"/>
      <c r="T73" s="22">
        <f t="shared" ref="T73" ca="1" si="70">T29+T51</f>
        <v>0</v>
      </c>
      <c r="U73" s="22"/>
      <c r="V73" s="22">
        <f t="shared" ref="V73" ca="1" si="71">V29+V51</f>
        <v>0</v>
      </c>
      <c r="X73" s="22">
        <f t="shared" ref="X73" ca="1" si="72">X29+X51</f>
        <v>0</v>
      </c>
      <c r="Y73" s="9"/>
      <c r="Z73" s="22">
        <f t="shared" ref="Z73" ca="1" si="73">Z29+Z51</f>
        <v>0</v>
      </c>
      <c r="AA73" s="22"/>
      <c r="AB73" s="22">
        <f t="shared" ref="AB73" ca="1" si="74">AB29+AB51</f>
        <v>0</v>
      </c>
      <c r="AD73" s="22">
        <f t="shared" ca="1" si="23"/>
        <v>0</v>
      </c>
      <c r="AE73" s="24"/>
      <c r="AF73" s="35" t="str">
        <f t="shared" ca="1" si="15"/>
        <v/>
      </c>
      <c r="AI73" s="66"/>
      <c r="AJ73" s="170"/>
      <c r="AK73" s="170"/>
      <c r="AL73" s="66"/>
      <c r="AM73" s="170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170"/>
      <c r="AZ73" s="105"/>
    </row>
    <row r="74" spans="2:52" ht="13" x14ac:dyDescent="0.3">
      <c r="B74" s="163">
        <f>B73+1</f>
        <v>45</v>
      </c>
      <c r="D74" s="99" t="s">
        <v>78</v>
      </c>
      <c r="F74" s="113">
        <f ca="1">Function!T74</f>
        <v>4521.5650130587501</v>
      </c>
      <c r="H74" s="113"/>
      <c r="K74" s="192">
        <f>_xlfn.IFNA(MATCH(J74,'Trans Factors'!$B$13:$B$450,0),0)</f>
        <v>0</v>
      </c>
      <c r="L74" s="113">
        <f t="shared" ca="1" si="16"/>
        <v>4521.5650130587501</v>
      </c>
      <c r="M74" s="24"/>
      <c r="N74" s="28"/>
      <c r="O74" s="186">
        <f>_xlfn.IFNA(MATCH(N74,'Trans Factors'!$B$13:$B$450,0),0)</f>
        <v>0</v>
      </c>
      <c r="P74" s="22">
        <f t="shared" ca="1" si="17"/>
        <v>0</v>
      </c>
      <c r="Q74" s="24"/>
      <c r="R74" s="22">
        <f t="shared" ca="1" si="17"/>
        <v>0</v>
      </c>
      <c r="S74" s="22"/>
      <c r="T74" s="22">
        <f t="shared" ref="T74" ca="1" si="75">T30+T52</f>
        <v>41.007574940424377</v>
      </c>
      <c r="U74" s="22"/>
      <c r="V74" s="22">
        <f t="shared" ref="V74" ca="1" si="76">V30+V52</f>
        <v>3727.6496371961889</v>
      </c>
      <c r="X74" s="22">
        <f t="shared" ref="X74" ca="1" si="77">X30+X52</f>
        <v>142.58857307742244</v>
      </c>
      <c r="Y74" s="9"/>
      <c r="Z74" s="22">
        <f t="shared" ref="Z74" ca="1" si="78">Z30+Z52</f>
        <v>610.31922784471385</v>
      </c>
      <c r="AA74" s="22"/>
      <c r="AB74" s="22">
        <f t="shared" ref="AB74" ca="1" si="79">AB30+AB52</f>
        <v>0</v>
      </c>
      <c r="AD74" s="22">
        <f t="shared" ref="AD74" ca="1" si="80">P74+R74+T74+V74+X74+Z74+AB74</f>
        <v>4521.5650130587501</v>
      </c>
      <c r="AE74" s="24"/>
      <c r="AF74" s="35" t="str">
        <f t="shared" ca="1" si="15"/>
        <v/>
      </c>
      <c r="AI74" s="66"/>
      <c r="AJ74" s="170"/>
      <c r="AK74" s="170"/>
      <c r="AL74" s="66"/>
      <c r="AM74" s="170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170"/>
      <c r="AZ74" s="105"/>
    </row>
    <row r="75" spans="2:52" ht="13" x14ac:dyDescent="0.3">
      <c r="B75" s="163">
        <f t="shared" si="24"/>
        <v>46</v>
      </c>
      <c r="D75" s="99" t="s">
        <v>477</v>
      </c>
      <c r="F75" s="79">
        <f ca="1">SUM(F62:F74)</f>
        <v>2895268.07280165</v>
      </c>
      <c r="H75" s="79">
        <f>SUM(H62:H74)</f>
        <v>0</v>
      </c>
      <c r="L75" s="79">
        <f ca="1">SUM(L62:L74)</f>
        <v>2895268.07280165</v>
      </c>
      <c r="M75" s="24"/>
      <c r="N75" s="24"/>
      <c r="O75" s="186"/>
      <c r="P75" s="46">
        <f ca="1">SUM(P62:P74)</f>
        <v>58874.668042314879</v>
      </c>
      <c r="Q75" s="32"/>
      <c r="R75" s="46">
        <f ca="1">SUM(R62:R74)</f>
        <v>6613.6626106231515</v>
      </c>
      <c r="S75" s="30"/>
      <c r="T75" s="46">
        <f ca="1">SUM(T62:T74)</f>
        <v>316203.12400024559</v>
      </c>
      <c r="U75" s="30"/>
      <c r="V75" s="46">
        <f ca="1">SUM(V62:V74)</f>
        <v>1484314.6984467453</v>
      </c>
      <c r="W75" s="41"/>
      <c r="X75" s="46">
        <f ca="1">SUM(X62:X74)</f>
        <v>336740.01420310047</v>
      </c>
      <c r="Y75" s="13"/>
      <c r="Z75" s="46">
        <f ca="1">SUM(Z62:Z74)</f>
        <v>692521.90549862082</v>
      </c>
      <c r="AA75" s="30"/>
      <c r="AB75" s="46">
        <f ca="1">SUM(AB62:AB74)</f>
        <v>0</v>
      </c>
      <c r="AD75" s="46">
        <f ca="1">SUM(AD62:AD74)</f>
        <v>2895268.07280165</v>
      </c>
      <c r="AE75" s="24"/>
      <c r="AF75" s="35" t="str">
        <f ca="1">IF(ROUND(F75,4)=ROUND(AD75,4), "", "check")</f>
        <v/>
      </c>
      <c r="AI75" s="66"/>
      <c r="AJ75" s="170"/>
      <c r="AK75" s="170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</row>
    <row r="76" spans="2:52" ht="13" x14ac:dyDescent="0.3">
      <c r="M76" s="24"/>
      <c r="N76" s="24"/>
      <c r="O76" s="186"/>
      <c r="P76" s="24"/>
      <c r="Q76" s="24"/>
      <c r="R76" s="97"/>
      <c r="S76" s="24"/>
      <c r="T76" s="97"/>
      <c r="U76" s="24"/>
      <c r="V76" s="97"/>
      <c r="W76" s="41"/>
      <c r="X76" s="97"/>
      <c r="Z76" s="97"/>
      <c r="AA76" s="24"/>
      <c r="AB76" s="97"/>
      <c r="AD76" s="24"/>
      <c r="AE76" s="24"/>
      <c r="AF76" s="35" t="str">
        <f t="shared" si="15"/>
        <v/>
      </c>
    </row>
    <row r="77" spans="2:52" ht="13" x14ac:dyDescent="0.3">
      <c r="B77" s="163">
        <f>B75+1</f>
        <v>47</v>
      </c>
      <c r="D77" s="99" t="s">
        <v>221</v>
      </c>
      <c r="F77" s="113">
        <f ca="1">Function!T77</f>
        <v>73409.987277128981</v>
      </c>
      <c r="H77" s="113"/>
      <c r="K77" s="192">
        <f>_xlfn.IFNA(MATCH(J77,'Trans Factors'!$B$13:$B$450,0),0)</f>
        <v>0</v>
      </c>
      <c r="L77" s="113">
        <f t="shared" ref="L77" ca="1" si="81">F77-H77</f>
        <v>73409.987277128981</v>
      </c>
      <c r="M77" s="24"/>
      <c r="N77" s="28"/>
      <c r="O77" s="186">
        <f>_xlfn.IFNA(MATCH(N77,'Trans Factors'!$B$13:$B$450,0),0)</f>
        <v>0</v>
      </c>
      <c r="P77" s="22">
        <f t="shared" ref="P77:R77" ca="1" si="82">P33+P55</f>
        <v>2128.1688124546035</v>
      </c>
      <c r="Q77" s="24"/>
      <c r="R77" s="22">
        <f t="shared" ca="1" si="82"/>
        <v>323.10263802151462</v>
      </c>
      <c r="S77" s="22"/>
      <c r="T77" s="22">
        <f t="shared" ref="T77" ca="1" si="83">T33+T55</f>
        <v>8708.812465319048</v>
      </c>
      <c r="U77" s="22"/>
      <c r="V77" s="22">
        <f t="shared" ref="V77" ca="1" si="84">V33+V55</f>
        <v>39397.868173995921</v>
      </c>
      <c r="X77" s="22">
        <f t="shared" ref="X77" ca="1" si="85">X33+X55</f>
        <v>6581.9583781752181</v>
      </c>
      <c r="Y77" s="9"/>
      <c r="Z77" s="22">
        <f t="shared" ref="Z77" ca="1" si="86">Z33+Z55</f>
        <v>16270.076809162671</v>
      </c>
      <c r="AA77" s="22"/>
      <c r="AB77" s="22">
        <f t="shared" ref="AB77" ca="1" si="87">AB33+AB55</f>
        <v>0</v>
      </c>
      <c r="AC77" s="9"/>
      <c r="AD77" s="22">
        <f ca="1">P77+R77+T77+V77+X77+Z77+AB77</f>
        <v>73409.987277128967</v>
      </c>
      <c r="AE77" s="24"/>
      <c r="AF77" s="35" t="str">
        <f t="shared" ca="1" si="15"/>
        <v/>
      </c>
      <c r="AH77" s="94"/>
      <c r="AI77" s="94"/>
      <c r="AJ77" s="94"/>
      <c r="AK77" s="94"/>
      <c r="AL77" s="94"/>
      <c r="AM77" s="94"/>
      <c r="AN77" s="94"/>
    </row>
    <row r="78" spans="2:52" ht="13" x14ac:dyDescent="0.3">
      <c r="M78" s="24"/>
      <c r="N78" s="24"/>
      <c r="O78" s="188"/>
      <c r="P78" s="24"/>
      <c r="Q78" s="24"/>
      <c r="R78" s="97"/>
      <c r="S78" s="24"/>
      <c r="T78" s="97"/>
      <c r="U78" s="24"/>
      <c r="V78" s="97"/>
      <c r="W78" s="41"/>
      <c r="X78" s="97"/>
      <c r="Z78" s="97"/>
      <c r="AA78" s="24"/>
      <c r="AB78" s="97"/>
      <c r="AD78" s="24"/>
      <c r="AE78" s="24"/>
      <c r="AF78" s="35" t="str">
        <f t="shared" si="15"/>
        <v/>
      </c>
    </row>
    <row r="79" spans="2:52" ht="13" x14ac:dyDescent="0.3">
      <c r="B79" s="163">
        <f>B77+1</f>
        <v>48</v>
      </c>
      <c r="D79" s="99" t="s">
        <v>478</v>
      </c>
      <c r="F79" s="79">
        <f ca="1">F75+F77</f>
        <v>2968678.0600787792</v>
      </c>
      <c r="H79" s="79">
        <f>H75+H77</f>
        <v>0</v>
      </c>
      <c r="L79" s="79">
        <f ca="1">L75+L77</f>
        <v>2968678.0600787792</v>
      </c>
      <c r="M79" s="24"/>
      <c r="N79" s="24"/>
      <c r="O79" s="188"/>
      <c r="P79" s="45">
        <f ca="1">P75+P77</f>
        <v>61002.836854769484</v>
      </c>
      <c r="Q79" s="47"/>
      <c r="R79" s="45">
        <f ca="1">R75+R77</f>
        <v>6936.7652486446659</v>
      </c>
      <c r="S79" s="23"/>
      <c r="T79" s="45">
        <f ca="1">T75+T77</f>
        <v>324911.93646556465</v>
      </c>
      <c r="U79" s="23"/>
      <c r="V79" s="45">
        <f ca="1">V75+V77</f>
        <v>1523712.5666207413</v>
      </c>
      <c r="W79" s="41"/>
      <c r="X79" s="45">
        <f ca="1">X75+X77</f>
        <v>343321.97258127568</v>
      </c>
      <c r="Y79" s="8"/>
      <c r="Z79" s="45">
        <f ca="1">Z75+Z77</f>
        <v>708791.98230778344</v>
      </c>
      <c r="AA79" s="31"/>
      <c r="AB79" s="45">
        <f ca="1">AB75+AB77</f>
        <v>0</v>
      </c>
      <c r="AD79" s="45">
        <f ca="1">AD75+AD77</f>
        <v>2968678.0600787792</v>
      </c>
      <c r="AE79" s="24"/>
      <c r="AF79" s="35" t="str">
        <f t="shared" ca="1" si="15"/>
        <v/>
      </c>
    </row>
    <row r="80" spans="2:52" ht="13" x14ac:dyDescent="0.3">
      <c r="C80" s="99"/>
      <c r="D80" s="6"/>
      <c r="F80" s="219"/>
      <c r="H80" s="219"/>
      <c r="L80" s="219"/>
      <c r="M80" s="24"/>
      <c r="N80" s="24"/>
      <c r="O80" s="188"/>
      <c r="P80" s="24"/>
      <c r="Q80" s="24"/>
      <c r="R80" s="24"/>
      <c r="S80" s="24"/>
      <c r="T80" s="24"/>
      <c r="U80" s="24"/>
      <c r="V80" s="24"/>
      <c r="W80" s="41"/>
      <c r="X80" s="24"/>
      <c r="Z80" s="24"/>
      <c r="AA80" s="24"/>
      <c r="AB80" s="24"/>
      <c r="AD80" s="24"/>
      <c r="AE80" s="24"/>
      <c r="AF80" s="35" t="str">
        <f t="shared" si="15"/>
        <v/>
      </c>
    </row>
    <row r="81" spans="2:40" ht="13" x14ac:dyDescent="0.3">
      <c r="C81" s="99"/>
      <c r="E81" s="6"/>
      <c r="F81" s="219"/>
      <c r="H81" s="219"/>
      <c r="L81" s="219"/>
      <c r="M81" s="24"/>
      <c r="N81" s="97"/>
      <c r="O81" s="188"/>
      <c r="P81" s="97"/>
      <c r="Q81" s="97"/>
      <c r="R81" s="97"/>
      <c r="S81" s="97"/>
      <c r="T81" s="97"/>
      <c r="U81" s="97"/>
      <c r="V81" s="97"/>
      <c r="W81" s="41"/>
      <c r="X81" s="97"/>
      <c r="Y81" s="99"/>
      <c r="Z81" s="97"/>
      <c r="AA81" s="97"/>
      <c r="AB81" s="97"/>
      <c r="AC81" s="99"/>
      <c r="AD81" s="97"/>
      <c r="AE81" s="97"/>
      <c r="AF81" s="35" t="str">
        <f t="shared" ref="AF81:AF83" si="88">IF(ROUND(F81,4)=ROUND(AD81,4), "", "check")</f>
        <v/>
      </c>
      <c r="AG81" s="99"/>
    </row>
    <row r="82" spans="2:40" ht="13" x14ac:dyDescent="0.3">
      <c r="C82" s="99"/>
      <c r="D82" s="6" t="s">
        <v>36</v>
      </c>
      <c r="F82" s="219"/>
      <c r="H82" s="219"/>
      <c r="L82" s="219"/>
      <c r="M82" s="24"/>
      <c r="N82" s="97"/>
      <c r="O82" s="188"/>
      <c r="P82" s="97"/>
      <c r="Q82" s="97"/>
      <c r="R82" s="97"/>
      <c r="S82" s="97"/>
      <c r="T82" s="97"/>
      <c r="U82" s="97"/>
      <c r="V82" s="97"/>
      <c r="W82" s="41"/>
      <c r="X82" s="97"/>
      <c r="Y82" s="99"/>
      <c r="Z82" s="97"/>
      <c r="AA82" s="97"/>
      <c r="AB82" s="97"/>
      <c r="AC82" s="99"/>
      <c r="AD82" s="97"/>
      <c r="AE82" s="97"/>
      <c r="AF82" s="35" t="str">
        <f t="shared" si="88"/>
        <v/>
      </c>
      <c r="AG82" s="99"/>
      <c r="AH82" s="94"/>
      <c r="AI82" s="94"/>
      <c r="AJ82" s="94"/>
      <c r="AK82" s="94"/>
      <c r="AL82" s="94"/>
      <c r="AM82" s="94"/>
    </row>
    <row r="83" spans="2:40" ht="13" x14ac:dyDescent="0.3">
      <c r="C83" s="99"/>
      <c r="D83" s="97"/>
      <c r="F83" s="219"/>
      <c r="H83" s="219"/>
      <c r="L83" s="219"/>
      <c r="M83" s="24"/>
      <c r="N83" s="97"/>
      <c r="O83" s="188"/>
      <c r="P83" s="97"/>
      <c r="Q83" s="97"/>
      <c r="R83" s="97"/>
      <c r="S83" s="97"/>
      <c r="T83" s="97"/>
      <c r="U83" s="97"/>
      <c r="V83" s="97"/>
      <c r="W83" s="41"/>
      <c r="X83" s="97"/>
      <c r="Y83" s="99"/>
      <c r="Z83" s="97"/>
      <c r="AA83" s="97"/>
      <c r="AB83" s="97"/>
      <c r="AC83" s="99"/>
      <c r="AD83" s="97"/>
      <c r="AE83" s="97"/>
      <c r="AF83" s="35" t="str">
        <f t="shared" si="88"/>
        <v/>
      </c>
      <c r="AG83" s="99"/>
      <c r="AH83" s="94"/>
      <c r="AI83" s="94"/>
      <c r="AJ83" s="94"/>
      <c r="AK83" s="94"/>
      <c r="AL83" s="94"/>
      <c r="AM83" s="94"/>
    </row>
    <row r="84" spans="2:40" ht="13" x14ac:dyDescent="0.3">
      <c r="B84" s="163">
        <f>B79+1</f>
        <v>49</v>
      </c>
      <c r="C84" s="99"/>
      <c r="D84" s="97" t="s">
        <v>41</v>
      </c>
      <c r="F84" s="113">
        <f ca="1">+Function!T84</f>
        <v>20268.095318388616</v>
      </c>
      <c r="H84" s="113"/>
      <c r="K84" s="192">
        <f>_xlfn.IFNA(MATCH(J84,'Trans Factors'!$B$13:$B$450,0),0)</f>
        <v>0</v>
      </c>
      <c r="L84" s="113">
        <f t="shared" ref="L84:L88" ca="1" si="89">F84-H84</f>
        <v>20268.095318388616</v>
      </c>
      <c r="M84" s="24"/>
      <c r="N84" s="28" t="s">
        <v>267</v>
      </c>
      <c r="O84" s="186">
        <f>_xlfn.IFNA(MATCH(N84,'Trans Factors'!$B$13:$B$450,0),0)</f>
        <v>53</v>
      </c>
      <c r="P84" s="22">
        <f ca="1">OFFSET('Trans Factors'!$B$13,$O84-1,P$14)*$L84+OFFSET('Trans Factors'!$B$13,$K84-1,P$14)*$H84</f>
        <v>417.12079443941923</v>
      </c>
      <c r="Q84" s="24"/>
      <c r="R84" s="22">
        <f ca="1">OFFSET('Trans Factors'!$B$13,$O84-1,R$14)*$L84+OFFSET('Trans Factors'!$B$13,$K84-1,R$14)*$H84</f>
        <v>47.431712696295598</v>
      </c>
      <c r="S84" s="22"/>
      <c r="T84" s="22">
        <f ca="1">OFFSET('Trans Factors'!$B$13,$O84-1,T$14)*$L84+OFFSET('Trans Factors'!$B$13,$K84-1,T$14)*$H84</f>
        <v>2221.3789872058123</v>
      </c>
      <c r="U84" s="22"/>
      <c r="V84" s="22">
        <f ca="1">OFFSET('Trans Factors'!$B$13,$O84-1,V$14)*$L84+OFFSET('Trans Factors'!$B$13,$K84-1,V$14)*$H84</f>
        <v>10393.243147323248</v>
      </c>
      <c r="X84" s="22">
        <f ca="1">OFFSET('Trans Factors'!$B$13,$O84-1,X$14)*$L84+OFFSET('Trans Factors'!$B$13,$K84-1,X$14)*$H84</f>
        <v>2346.5672200380345</v>
      </c>
      <c r="Y84" s="9"/>
      <c r="Z84" s="22">
        <f ca="1">OFFSET('Trans Factors'!$B$13,$O84-1,Z$14)*$L84+OFFSET('Trans Factors'!$B$13,$K84-1,Z$14)*$H84</f>
        <v>4842.3534566858043</v>
      </c>
      <c r="AA84" s="22"/>
      <c r="AB84" s="22">
        <f ca="1">OFFSET('Trans Factors'!$B$13,$O84-1,AB$14)*$L84+OFFSET('Trans Factors'!$B$13,$K84-1,AB$14)*$H84</f>
        <v>0</v>
      </c>
      <c r="AD84" s="22">
        <f t="shared" ref="AD84:AD88" ca="1" si="90">P84+R84+T84+V84+X84+Z84+AB84</f>
        <v>20268.095318388612</v>
      </c>
      <c r="AE84" s="24"/>
      <c r="AF84" s="35" t="str">
        <f t="shared" ca="1" si="15"/>
        <v/>
      </c>
      <c r="AH84" s="94"/>
      <c r="AI84" s="94"/>
      <c r="AJ84" s="94"/>
      <c r="AK84" s="94"/>
      <c r="AL84" s="94"/>
      <c r="AM84" s="94"/>
    </row>
    <row r="85" spans="2:40" ht="13" x14ac:dyDescent="0.3">
      <c r="B85" s="163">
        <f>B84+1</f>
        <v>50</v>
      </c>
      <c r="C85" s="99"/>
      <c r="D85" s="97" t="s">
        <v>457</v>
      </c>
      <c r="F85" s="113">
        <f ca="1">+Function!T85</f>
        <v>-961.66861742681908</v>
      </c>
      <c r="H85" s="113"/>
      <c r="K85" s="192">
        <f>_xlfn.IFNA(MATCH(J85,'Trans Factors'!$B$13:$B$450,0),0)</f>
        <v>0</v>
      </c>
      <c r="L85" s="113">
        <f t="shared" ca="1" si="89"/>
        <v>-961.66861742681908</v>
      </c>
      <c r="M85" s="24"/>
      <c r="N85" s="28" t="s">
        <v>267</v>
      </c>
      <c r="O85" s="186">
        <f>_xlfn.IFNA(MATCH(N85,'Trans Factors'!$B$13:$B$450,0),0)</f>
        <v>53</v>
      </c>
      <c r="P85" s="22">
        <f ca="1">OFFSET('Trans Factors'!$B$13,$O85-1,P$14)*$L85+OFFSET('Trans Factors'!$B$13,$K85-1,P$14)*$H85</f>
        <v>-19.791301125597041</v>
      </c>
      <c r="Q85" s="24"/>
      <c r="R85" s="22">
        <f ca="1">OFFSET('Trans Factors'!$B$13,$O85-1,R$14)*$L85+OFFSET('Trans Factors'!$B$13,$K85-1,R$14)*$H85</f>
        <v>-2.2505118934115576</v>
      </c>
      <c r="S85" s="22"/>
      <c r="T85" s="22">
        <f ca="1">OFFSET('Trans Factors'!$B$13,$O85-1,T$14)*$L85+OFFSET('Trans Factors'!$B$13,$K85-1,T$14)*$H85</f>
        <v>-105.39867835874372</v>
      </c>
      <c r="U85" s="22"/>
      <c r="V85" s="22">
        <f ca="1">OFFSET('Trans Factors'!$B$13,$O85-1,V$14)*$L85+OFFSET('Trans Factors'!$B$13,$K85-1,V$14)*$H85</f>
        <v>-493.13246316732517</v>
      </c>
      <c r="X85" s="22">
        <f ca="1">OFFSET('Trans Factors'!$B$13,$O85-1,X$14)*$L85+OFFSET('Trans Factors'!$B$13,$K85-1,X$14)*$H85</f>
        <v>-111.33853570077251</v>
      </c>
      <c r="Y85" s="9"/>
      <c r="Z85" s="22">
        <f ca="1">OFFSET('Trans Factors'!$B$13,$O85-1,Z$14)*$L85+OFFSET('Trans Factors'!$B$13,$K85-1,Z$14)*$H85</f>
        <v>-229.75712718096901</v>
      </c>
      <c r="AA85" s="22"/>
      <c r="AB85" s="22">
        <f ca="1">OFFSET('Trans Factors'!$B$13,$O85-1,AB$14)*$L85+OFFSET('Trans Factors'!$B$13,$K85-1,AB$14)*$H85</f>
        <v>0</v>
      </c>
      <c r="AD85" s="22">
        <f t="shared" ca="1" si="90"/>
        <v>-961.66861742681886</v>
      </c>
      <c r="AE85" s="24"/>
      <c r="AF85" s="35" t="str">
        <f t="shared" ca="1" si="15"/>
        <v/>
      </c>
      <c r="AH85" s="94"/>
      <c r="AI85" s="94"/>
      <c r="AJ85" s="94"/>
      <c r="AK85" s="94"/>
      <c r="AL85" s="94"/>
      <c r="AM85" s="94"/>
    </row>
    <row r="86" spans="2:40" ht="13" x14ac:dyDescent="0.3">
      <c r="B86" s="163">
        <f t="shared" ref="B86:B89" si="91">B85+1</f>
        <v>51</v>
      </c>
      <c r="C86" s="99"/>
      <c r="D86" s="97" t="s">
        <v>42</v>
      </c>
      <c r="F86" s="113">
        <f ca="1">+Function!T86</f>
        <v>-11401.56644157421</v>
      </c>
      <c r="H86" s="113"/>
      <c r="K86" s="192">
        <f>_xlfn.IFNA(MATCH(J86,'Trans Factors'!$B$13:$B$450,0),0)</f>
        <v>0</v>
      </c>
      <c r="L86" s="113">
        <f t="shared" ca="1" si="89"/>
        <v>-11401.56644157421</v>
      </c>
      <c r="M86" s="24"/>
      <c r="N86" s="28" t="s">
        <v>267</v>
      </c>
      <c r="O86" s="186">
        <f>_xlfn.IFNA(MATCH(N86,'Trans Factors'!$B$13:$B$450,0),0)</f>
        <v>53</v>
      </c>
      <c r="P86" s="22">
        <f ca="1">OFFSET('Trans Factors'!$B$13,$O86-1,P$14)*$L86+OFFSET('Trans Factors'!$B$13,$K86-1,P$14)*$H86</f>
        <v>-234.64614593796779</v>
      </c>
      <c r="Q86" s="24"/>
      <c r="R86" s="22">
        <f ca="1">OFFSET('Trans Factors'!$B$13,$O86-1,R$14)*$L86+OFFSET('Trans Factors'!$B$13,$K86-1,R$14)*$H86</f>
        <v>-26.682123566580326</v>
      </c>
      <c r="S86" s="22"/>
      <c r="T86" s="22">
        <f ca="1">OFFSET('Trans Factors'!$B$13,$O86-1,T$14)*$L86+OFFSET('Trans Factors'!$B$13,$K86-1,T$14)*$H86</f>
        <v>-1249.6092857608239</v>
      </c>
      <c r="U86" s="22"/>
      <c r="V86" s="22">
        <f ca="1">OFFSET('Trans Factors'!$B$13,$O86-1,V$14)*$L86+OFFSET('Trans Factors'!$B$13,$K86-1,V$14)*$H86</f>
        <v>-5846.5904381321498</v>
      </c>
      <c r="X86" s="22">
        <f ca="1">OFFSET('Trans Factors'!$B$13,$O86-1,X$14)*$L86+OFFSET('Trans Factors'!$B$13,$K86-1,X$14)*$H86</f>
        <v>-1320.0323784055906</v>
      </c>
      <c r="Y86" s="9"/>
      <c r="Z86" s="22">
        <f ca="1">OFFSET('Trans Factors'!$B$13,$O86-1,Z$14)*$L86+OFFSET('Trans Factors'!$B$13,$K86-1,Z$14)*$H86</f>
        <v>-2724.0060697710969</v>
      </c>
      <c r="AA86" s="22"/>
      <c r="AB86" s="22">
        <f ca="1">OFFSET('Trans Factors'!$B$13,$O86-1,AB$14)*$L86+OFFSET('Trans Factors'!$B$13,$K86-1,AB$14)*$H86</f>
        <v>0</v>
      </c>
      <c r="AD86" s="22">
        <f t="shared" ca="1" si="90"/>
        <v>-11401.56644157421</v>
      </c>
      <c r="AE86" s="24"/>
      <c r="AF86" s="35" t="str">
        <f t="shared" ca="1" si="15"/>
        <v/>
      </c>
      <c r="AH86" s="94"/>
      <c r="AI86" s="94"/>
      <c r="AJ86" s="94"/>
      <c r="AK86" s="94"/>
      <c r="AL86" s="94"/>
      <c r="AM86" s="94"/>
      <c r="AN86" s="94"/>
    </row>
    <row r="87" spans="2:40" ht="13" x14ac:dyDescent="0.3">
      <c r="B87" s="163">
        <f t="shared" si="91"/>
        <v>52</v>
      </c>
      <c r="C87" s="99"/>
      <c r="D87" s="97" t="s">
        <v>458</v>
      </c>
      <c r="F87" s="113">
        <f ca="1">+Function!T87</f>
        <v>0</v>
      </c>
      <c r="H87" s="113"/>
      <c r="K87" s="192">
        <f>_xlfn.IFNA(MATCH(J87,'Trans Factors'!$B$13:$B$450,0),0)</f>
        <v>0</v>
      </c>
      <c r="L87" s="113">
        <f t="shared" ca="1" si="89"/>
        <v>0</v>
      </c>
      <c r="M87" s="24"/>
      <c r="N87" s="28"/>
      <c r="O87" s="186">
        <f>_xlfn.IFNA(MATCH(N87,'Trans Factors'!$B$13:$B$450,0),0)</f>
        <v>0</v>
      </c>
      <c r="P87" s="22">
        <f ca="1">OFFSET('Trans Factors'!$B$13,$O87-1,P$14)*$L87+OFFSET('Trans Factors'!$B$13,$K87-1,P$14)*$H87</f>
        <v>0</v>
      </c>
      <c r="Q87" s="24"/>
      <c r="R87" s="22">
        <f ca="1">OFFSET('Trans Factors'!$B$13,$O87-1,R$14)*$L87+OFFSET('Trans Factors'!$B$13,$K87-1,R$14)*$H87</f>
        <v>0</v>
      </c>
      <c r="S87" s="22"/>
      <c r="T87" s="22">
        <f ca="1">OFFSET('Trans Factors'!$B$13,$O87-1,T$14)*$L87+OFFSET('Trans Factors'!$B$13,$K87-1,T$14)*$H87</f>
        <v>0</v>
      </c>
      <c r="U87" s="22"/>
      <c r="V87" s="22">
        <f ca="1">OFFSET('Trans Factors'!$B$13,$O87-1,V$14)*$L87+OFFSET('Trans Factors'!$B$13,$K87-1,V$14)*$H87</f>
        <v>0</v>
      </c>
      <c r="X87" s="22">
        <f ca="1">OFFSET('Trans Factors'!$B$13,$O87-1,X$14)*$L87+OFFSET('Trans Factors'!$B$13,$K87-1,X$14)*$H87</f>
        <v>0</v>
      </c>
      <c r="Y87" s="9"/>
      <c r="Z87" s="22">
        <f ca="1">OFFSET('Trans Factors'!$B$13,$O87-1,Z$14)*$L87+OFFSET('Trans Factors'!$B$13,$K87-1,Z$14)*$H87</f>
        <v>0</v>
      </c>
      <c r="AA87" s="22"/>
      <c r="AB87" s="22">
        <f ca="1">OFFSET('Trans Factors'!$B$13,$O87-1,AB$14)*$L87+OFFSET('Trans Factors'!$B$13,$K87-1,AB$14)*$H87</f>
        <v>0</v>
      </c>
      <c r="AD87" s="22">
        <f t="shared" ca="1" si="90"/>
        <v>0</v>
      </c>
      <c r="AE87" s="24"/>
      <c r="AF87" s="35" t="str">
        <f t="shared" ca="1" si="15"/>
        <v/>
      </c>
      <c r="AH87" s="94"/>
      <c r="AI87" s="94"/>
      <c r="AJ87" s="94"/>
      <c r="AK87" s="94"/>
      <c r="AL87" s="94"/>
      <c r="AM87" s="94"/>
      <c r="AN87" s="94"/>
    </row>
    <row r="88" spans="2:40" ht="13" x14ac:dyDescent="0.3">
      <c r="B88" s="163">
        <f t="shared" si="91"/>
        <v>53</v>
      </c>
      <c r="C88" s="99"/>
      <c r="D88" s="97" t="s">
        <v>459</v>
      </c>
      <c r="F88" s="113">
        <f ca="1">+Function!T88</f>
        <v>-25218.549036438479</v>
      </c>
      <c r="H88" s="113"/>
      <c r="K88" s="192">
        <f>_xlfn.IFNA(MATCH(J88,'Trans Factors'!$B$13:$B$450,0),0)</f>
        <v>0</v>
      </c>
      <c r="L88" s="113">
        <f t="shared" ca="1" si="89"/>
        <v>-25218.549036438479</v>
      </c>
      <c r="M88" s="24"/>
      <c r="N88" s="28" t="s">
        <v>267</v>
      </c>
      <c r="O88" s="186">
        <f>_xlfn.IFNA(MATCH(N88,'Trans Factors'!$B$13:$B$450,0),0)</f>
        <v>53</v>
      </c>
      <c r="P88" s="22">
        <f ca="1">OFFSET('Trans Factors'!$B$13,$O88-1,P$14)*$L88+OFFSET('Trans Factors'!$B$13,$K88-1,P$14)*$H88</f>
        <v>-519.00196064032423</v>
      </c>
      <c r="Q88" s="24"/>
      <c r="R88" s="22">
        <f ca="1">OFFSET('Trans Factors'!$B$13,$O88-1,R$14)*$L88+OFFSET('Trans Factors'!$B$13,$K88-1,R$14)*$H88</f>
        <v>-59.016841677695979</v>
      </c>
      <c r="S88" s="22"/>
      <c r="T88" s="22">
        <f ca="1">OFFSET('Trans Factors'!$B$13,$O88-1,T$14)*$L88+OFFSET('Trans Factors'!$B$13,$K88-1,T$14)*$H88</f>
        <v>-2763.9476742809006</v>
      </c>
      <c r="U88" s="22"/>
      <c r="V88" s="22">
        <f ca="1">OFFSET('Trans Factors'!$B$13,$O88-1,V$14)*$L88+OFFSET('Trans Factors'!$B$13,$K88-1,V$14)*$H88</f>
        <v>-12931.778139044078</v>
      </c>
      <c r="X88" s="22">
        <f ca="1">OFFSET('Trans Factors'!$B$13,$O88-1,X$14)*$L88+OFFSET('Trans Factors'!$B$13,$K88-1,X$14)*$H88</f>
        <v>-2919.7129565568412</v>
      </c>
      <c r="Y88" s="9"/>
      <c r="Z88" s="22">
        <f ca="1">OFFSET('Trans Factors'!$B$13,$O88-1,Z$14)*$L88+OFFSET('Trans Factors'!$B$13,$K88-1,Z$14)*$H88</f>
        <v>-6025.0914642386369</v>
      </c>
      <c r="AA88" s="22"/>
      <c r="AB88" s="22">
        <f ca="1">OFFSET('Trans Factors'!$B$13,$O88-1,AB$14)*$L88+OFFSET('Trans Factors'!$B$13,$K88-1,AB$14)*$H88</f>
        <v>0</v>
      </c>
      <c r="AD88" s="22">
        <f t="shared" ca="1" si="90"/>
        <v>-25218.549036438479</v>
      </c>
      <c r="AE88" s="24"/>
      <c r="AF88" s="35" t="str">
        <f t="shared" ca="1" si="15"/>
        <v/>
      </c>
    </row>
    <row r="89" spans="2:40" ht="13" x14ac:dyDescent="0.3">
      <c r="B89" s="163">
        <f t="shared" si="91"/>
        <v>54</v>
      </c>
      <c r="C89" s="99"/>
      <c r="D89" s="97" t="s">
        <v>479</v>
      </c>
      <c r="F89" s="79">
        <f ca="1">SUM(F82:F88)</f>
        <v>-17313.688777050891</v>
      </c>
      <c r="H89" s="79">
        <f>SUM(H82:H88)</f>
        <v>0</v>
      </c>
      <c r="K89" s="192"/>
      <c r="L89" s="79">
        <f ca="1">SUM(L82:L88)</f>
        <v>-17313.688777050891</v>
      </c>
      <c r="M89" s="24"/>
      <c r="N89" s="24"/>
      <c r="O89" s="188"/>
      <c r="P89" s="46">
        <f ca="1">SUM(P82:P88)</f>
        <v>-356.31861326446983</v>
      </c>
      <c r="Q89" s="30"/>
      <c r="R89" s="46">
        <f ca="1">SUM(R82:R88)</f>
        <v>-40.517764441392259</v>
      </c>
      <c r="S89" s="30"/>
      <c r="T89" s="46">
        <f ca="1">SUM(T82:T88)</f>
        <v>-1897.5766511946561</v>
      </c>
      <c r="U89" s="30"/>
      <c r="V89" s="46">
        <f ca="1">SUM(V82:V88)</f>
        <v>-8878.2578930203053</v>
      </c>
      <c r="W89" s="116"/>
      <c r="X89" s="46">
        <f ca="1">SUM(X82:X88)</f>
        <v>-2004.5166506251696</v>
      </c>
      <c r="Y89" s="13"/>
      <c r="Z89" s="46">
        <f ca="1">SUM(Z82:Z88)</f>
        <v>-4136.5012045048989</v>
      </c>
      <c r="AA89" s="30"/>
      <c r="AB89" s="46">
        <f ca="1">SUM(AB82:AB88)</f>
        <v>0</v>
      </c>
      <c r="AC89" s="8"/>
      <c r="AD89" s="46">
        <f ca="1">SUM(AD82:AD88)</f>
        <v>-17313.688777050895</v>
      </c>
      <c r="AE89" s="24"/>
      <c r="AF89" s="35" t="str">
        <f t="shared" ca="1" si="15"/>
        <v/>
      </c>
    </row>
    <row r="90" spans="2:40" ht="13" x14ac:dyDescent="0.3">
      <c r="D90" s="97"/>
      <c r="M90" s="24"/>
      <c r="N90" s="24"/>
      <c r="O90" s="188"/>
      <c r="P90" s="24"/>
      <c r="Q90" s="24"/>
      <c r="R90" s="24"/>
      <c r="S90" s="24"/>
      <c r="T90" s="24"/>
      <c r="U90" s="24"/>
      <c r="V90" s="24"/>
      <c r="W90" s="41"/>
      <c r="X90" s="24"/>
      <c r="Z90" s="97"/>
      <c r="AA90" s="24"/>
      <c r="AB90" s="97"/>
      <c r="AD90" s="97"/>
      <c r="AE90" s="24"/>
      <c r="AF90" s="35" t="str">
        <f t="shared" si="15"/>
        <v/>
      </c>
    </row>
    <row r="91" spans="2:40" ht="13" x14ac:dyDescent="0.3">
      <c r="M91" s="24"/>
      <c r="N91" s="24"/>
      <c r="O91" s="188"/>
      <c r="P91" s="24"/>
      <c r="Q91" s="24"/>
      <c r="R91" s="24"/>
      <c r="S91" s="24"/>
      <c r="T91" s="24"/>
      <c r="U91" s="24"/>
      <c r="V91" s="24"/>
      <c r="W91" s="24"/>
      <c r="X91" s="24"/>
      <c r="Z91" s="97"/>
      <c r="AA91" s="24"/>
      <c r="AB91" s="97"/>
      <c r="AD91" s="97"/>
      <c r="AE91" s="24"/>
      <c r="AF91" s="35" t="str">
        <f t="shared" si="15"/>
        <v/>
      </c>
    </row>
    <row r="92" spans="2:40" ht="13" x14ac:dyDescent="0.3">
      <c r="B92" s="163">
        <f>B89+1</f>
        <v>55</v>
      </c>
      <c r="D92" s="97" t="s">
        <v>480</v>
      </c>
      <c r="F92" s="79">
        <f ca="1">F79+F89</f>
        <v>2951364.3713017283</v>
      </c>
      <c r="H92" s="79">
        <f>H79+H89</f>
        <v>0</v>
      </c>
      <c r="L92" s="79">
        <f ca="1">L79+L89</f>
        <v>2951364.3713017283</v>
      </c>
      <c r="M92" s="24"/>
      <c r="N92" s="24"/>
      <c r="O92" s="188"/>
      <c r="P92" s="45">
        <f ca="1">P79+P89</f>
        <v>60646.518241505015</v>
      </c>
      <c r="Q92" s="23"/>
      <c r="R92" s="45">
        <f ca="1">R79+R89</f>
        <v>6896.2474842032734</v>
      </c>
      <c r="S92" s="23"/>
      <c r="T92" s="45">
        <f ca="1">T79+T89</f>
        <v>323014.35981436999</v>
      </c>
      <c r="U92" s="23"/>
      <c r="V92" s="45">
        <f ca="1">V79+V89</f>
        <v>1514834.308727721</v>
      </c>
      <c r="W92" s="31"/>
      <c r="X92" s="45">
        <f ca="1">X79+X89</f>
        <v>341317.45593065053</v>
      </c>
      <c r="Y92" s="8"/>
      <c r="Z92" s="45">
        <f ca="1">Z79+Z89</f>
        <v>704655.48110327858</v>
      </c>
      <c r="AA92" s="31"/>
      <c r="AB92" s="45">
        <f ca="1">AB79+AB89</f>
        <v>0</v>
      </c>
      <c r="AC92" s="8"/>
      <c r="AD92" s="45">
        <f ca="1">AD79+AD89</f>
        <v>2951364.3713017283</v>
      </c>
      <c r="AE92" s="24"/>
      <c r="AF92" s="35" t="str">
        <f t="shared" ca="1" si="15"/>
        <v/>
      </c>
    </row>
    <row r="93" spans="2:40" ht="13" x14ac:dyDescent="0.3">
      <c r="M93" s="24"/>
      <c r="N93" s="24"/>
      <c r="O93" s="188"/>
      <c r="P93" s="24"/>
      <c r="Q93" s="24"/>
      <c r="R93" s="24"/>
      <c r="S93" s="24"/>
      <c r="T93" s="24"/>
      <c r="U93" s="24"/>
      <c r="V93" s="24"/>
      <c r="W93" s="24"/>
      <c r="X93" s="24"/>
      <c r="Z93" s="97"/>
      <c r="AA93" s="24"/>
      <c r="AB93" s="97"/>
      <c r="AD93" s="97"/>
      <c r="AE93" s="24"/>
      <c r="AF93" s="35" t="str">
        <f t="shared" si="15"/>
        <v/>
      </c>
    </row>
    <row r="94" spans="2:40" ht="13" x14ac:dyDescent="0.3">
      <c r="M94" s="24"/>
      <c r="N94" s="24"/>
      <c r="O94" s="188"/>
      <c r="P94" s="24"/>
      <c r="Q94" s="24"/>
      <c r="R94" s="24"/>
      <c r="S94" s="24"/>
      <c r="T94" s="24"/>
      <c r="U94" s="24"/>
      <c r="V94" s="24"/>
      <c r="W94" s="24"/>
      <c r="X94" s="24"/>
      <c r="Z94" s="97"/>
      <c r="AA94" s="24"/>
      <c r="AB94" s="97"/>
      <c r="AD94" s="97"/>
      <c r="AE94" s="24"/>
      <c r="AF94" s="35" t="str">
        <f t="shared" si="15"/>
        <v/>
      </c>
    </row>
    <row r="95" spans="2:40" ht="13" x14ac:dyDescent="0.3">
      <c r="B95" s="163">
        <f>B92+1</f>
        <v>56</v>
      </c>
      <c r="D95" s="99" t="s">
        <v>38</v>
      </c>
      <c r="F95" s="226">
        <f>Function!F95</f>
        <v>5.8701360377304071E-2</v>
      </c>
      <c r="G95" s="228"/>
      <c r="H95" s="226">
        <f>Function!H95</f>
        <v>0</v>
      </c>
      <c r="I95" s="228"/>
      <c r="J95" s="228"/>
      <c r="K95" s="194"/>
      <c r="L95" s="226">
        <f>Function!L95</f>
        <v>5.8701360377304071E-2</v>
      </c>
      <c r="M95" s="24"/>
      <c r="N95" s="24"/>
      <c r="O95" s="188"/>
      <c r="P95" s="34">
        <f>$F$95</f>
        <v>5.8701360377304071E-2</v>
      </c>
      <c r="Q95" s="24"/>
      <c r="R95" s="34">
        <f>$F$95</f>
        <v>5.8701360377304071E-2</v>
      </c>
      <c r="S95" s="24"/>
      <c r="T95" s="34">
        <f>$F$95</f>
        <v>5.8701360377304071E-2</v>
      </c>
      <c r="U95" s="24"/>
      <c r="V95" s="34">
        <f>$F$95</f>
        <v>5.8701360377304071E-2</v>
      </c>
      <c r="W95" s="34"/>
      <c r="X95" s="34">
        <f>$F$95</f>
        <v>5.8701360377304071E-2</v>
      </c>
      <c r="Z95" s="34">
        <f>$F$95</f>
        <v>5.8701360377304071E-2</v>
      </c>
      <c r="AA95" s="24"/>
      <c r="AB95" s="34">
        <f>$F$95</f>
        <v>5.8701360377304071E-2</v>
      </c>
      <c r="AD95" s="34"/>
      <c r="AE95" s="24"/>
      <c r="AF95" s="35"/>
    </row>
    <row r="96" spans="2:40" ht="13" x14ac:dyDescent="0.3">
      <c r="M96" s="24"/>
      <c r="N96" s="24"/>
      <c r="O96" s="188"/>
      <c r="P96" s="24"/>
      <c r="Q96" s="24"/>
      <c r="R96" s="24"/>
      <c r="S96" s="24"/>
      <c r="T96" s="24"/>
      <c r="U96" s="24"/>
      <c r="V96" s="24"/>
      <c r="W96" s="24"/>
      <c r="X96" s="24"/>
      <c r="Z96" s="97"/>
      <c r="AA96" s="24"/>
      <c r="AB96" s="97"/>
      <c r="AD96" s="97"/>
      <c r="AE96" s="24"/>
      <c r="AF96" s="35" t="str">
        <f t="shared" si="15"/>
        <v/>
      </c>
    </row>
    <row r="97" spans="2:39" ht="13" x14ac:dyDescent="0.3">
      <c r="B97" s="163">
        <f>B95+1</f>
        <v>57</v>
      </c>
      <c r="D97" s="99" t="s">
        <v>481</v>
      </c>
      <c r="F97" s="79">
        <f ca="1">F92*F95</f>
        <v>173249.10356451821</v>
      </c>
      <c r="H97" s="79">
        <f>H92*H95</f>
        <v>0</v>
      </c>
      <c r="L97" s="79">
        <f ca="1">L92*L95</f>
        <v>173249.10356451821</v>
      </c>
      <c r="M97" s="24"/>
      <c r="N97" s="24"/>
      <c r="O97" s="188"/>
      <c r="P97" s="45">
        <f ca="1">P92*P95</f>
        <v>3560.0331229233311</v>
      </c>
      <c r="Q97" s="24"/>
      <c r="R97" s="45">
        <f ca="1">R92*R95</f>
        <v>404.8191088212929</v>
      </c>
      <c r="S97" s="24"/>
      <c r="T97" s="45">
        <f ca="1">T92*T95</f>
        <v>18961.382342507499</v>
      </c>
      <c r="U97" s="24"/>
      <c r="V97" s="45">
        <f ca="1">V92*V95</f>
        <v>88922.834668530239</v>
      </c>
      <c r="W97" s="24"/>
      <c r="X97" s="45">
        <f ca="1">X92*X95</f>
        <v>20035.798983649718</v>
      </c>
      <c r="Y97" s="24"/>
      <c r="Z97" s="45">
        <f ca="1">Z92*Z95</f>
        <v>41364.235338086131</v>
      </c>
      <c r="AA97" s="23"/>
      <c r="AB97" s="45">
        <f ca="1">AB92*AB95</f>
        <v>0</v>
      </c>
      <c r="AC97" s="24"/>
      <c r="AD97" s="45">
        <f ca="1">P97+R97+T97+V97+X97+Z97+AB97</f>
        <v>173249.10356451821</v>
      </c>
      <c r="AE97" s="24"/>
      <c r="AF97" s="35" t="str">
        <f t="shared" ca="1" si="15"/>
        <v/>
      </c>
    </row>
    <row r="98" spans="2:39" ht="13" x14ac:dyDescent="0.3">
      <c r="F98" s="113"/>
      <c r="H98" s="113"/>
      <c r="L98" s="113"/>
      <c r="W98" s="24"/>
      <c r="AA98" s="24"/>
      <c r="AD98" s="1">
        <f t="shared" ref="AD98:AD99" si="92">P98+R98+T98+V98+X98+Z98+AB98</f>
        <v>0</v>
      </c>
      <c r="AE98" s="24"/>
      <c r="AF98" s="35" t="str">
        <f t="shared" si="15"/>
        <v/>
      </c>
      <c r="AH98" s="94"/>
      <c r="AI98" s="94"/>
      <c r="AJ98" s="94"/>
      <c r="AK98" s="94"/>
      <c r="AL98" s="94"/>
      <c r="AM98" s="94"/>
    </row>
    <row r="99" spans="2:39" ht="13" x14ac:dyDescent="0.3">
      <c r="F99" s="113"/>
      <c r="H99" s="113"/>
      <c r="L99" s="113"/>
      <c r="W99" s="24"/>
      <c r="AA99" s="24"/>
      <c r="AD99" s="1">
        <f t="shared" si="92"/>
        <v>0</v>
      </c>
      <c r="AE99" s="24"/>
      <c r="AF99" s="35" t="str">
        <f t="shared" si="15"/>
        <v/>
      </c>
    </row>
    <row r="100" spans="2:39" ht="13" x14ac:dyDescent="0.3">
      <c r="D100" s="6" t="s">
        <v>70</v>
      </c>
      <c r="M100" s="24"/>
      <c r="N100" s="24"/>
      <c r="P100" s="24"/>
      <c r="Q100" s="24"/>
      <c r="R100" s="24"/>
      <c r="S100" s="24"/>
      <c r="T100" s="24"/>
      <c r="U100" s="24"/>
      <c r="V100" s="24"/>
      <c r="W100" s="24"/>
      <c r="X100" s="24"/>
      <c r="Z100" s="24"/>
      <c r="AB100" s="24"/>
      <c r="AD100" s="24"/>
      <c r="AE100" s="24"/>
      <c r="AF100" s="35" t="str">
        <f t="shared" si="15"/>
        <v/>
      </c>
    </row>
    <row r="101" spans="2:39" ht="13" x14ac:dyDescent="0.3">
      <c r="M101" s="24"/>
      <c r="N101" s="24"/>
      <c r="P101" s="24"/>
      <c r="Q101" s="24"/>
      <c r="R101" s="24"/>
      <c r="S101" s="24"/>
      <c r="T101" s="24"/>
      <c r="U101" s="24"/>
      <c r="V101" s="24"/>
      <c r="W101" s="24"/>
      <c r="X101" s="24"/>
      <c r="Z101" s="24"/>
      <c r="AB101" s="24"/>
      <c r="AD101" s="24"/>
      <c r="AE101" s="24"/>
      <c r="AF101" s="35" t="str">
        <f t="shared" si="15"/>
        <v/>
      </c>
    </row>
    <row r="102" spans="2:39" ht="13" x14ac:dyDescent="0.3">
      <c r="B102" s="163">
        <f>B97+1</f>
        <v>58</v>
      </c>
      <c r="D102" s="99" t="s">
        <v>220</v>
      </c>
      <c r="F102" s="113">
        <f ca="1">Function!T102</f>
        <v>103657.95343098546</v>
      </c>
      <c r="H102" s="113"/>
      <c r="K102" s="192">
        <f>_xlfn.IFNA(MATCH(J102,'Trans Factors'!$B$13:$B$450,0),0)</f>
        <v>0</v>
      </c>
      <c r="L102" s="113">
        <f t="shared" ref="L102:L103" ca="1" si="93">F102-H102</f>
        <v>103657.95343098546</v>
      </c>
      <c r="M102" s="24"/>
      <c r="N102" s="28" t="s">
        <v>277</v>
      </c>
      <c r="O102" s="186">
        <f>_xlfn.IFNA(MATCH(N102,'Trans Factors'!$B$13:$B$450,0),0)</f>
        <v>20</v>
      </c>
      <c r="P102" s="22">
        <f ca="1">OFFSET('Trans Factors'!$B$13,$O102-1,P$14)*$L102+OFFSET('Trans Factors'!$B$13,$K102-1,P$14)*$H102</f>
        <v>3096.2193133732435</v>
      </c>
      <c r="Q102" s="24"/>
      <c r="R102" s="22">
        <f ca="1">OFFSET('Trans Factors'!$B$13,$O102-1,R$14)*$L102+OFFSET('Trans Factors'!$B$13,$K102-1,R$14)*$H102</f>
        <v>484.9351853248408</v>
      </c>
      <c r="S102" s="22"/>
      <c r="T102" s="22">
        <f ca="1">OFFSET('Trans Factors'!$B$13,$O102-1,T$14)*$L102+OFFSET('Trans Factors'!$B$13,$K102-1,T$14)*$H102</f>
        <v>14596.013480683627</v>
      </c>
      <c r="U102" s="22"/>
      <c r="V102" s="22">
        <f ca="1">OFFSET('Trans Factors'!$B$13,$O102-1,V$14)*$L102+OFFSET('Trans Factors'!$B$13,$K102-1,V$14)*$H102</f>
        <v>62111.890612794989</v>
      </c>
      <c r="X102" s="22">
        <f ca="1">OFFSET('Trans Factors'!$B$13,$O102-1,X$14)*$L102+OFFSET('Trans Factors'!$B$13,$K102-1,X$14)*$H102</f>
        <v>6966.9001113660088</v>
      </c>
      <c r="Y102" s="9"/>
      <c r="Z102" s="22">
        <f ca="1">OFFSET('Trans Factors'!$B$13,$O102-1,Z$14)*$L102+OFFSET('Trans Factors'!$B$13,$K102-1,Z$14)*$H102</f>
        <v>16401.994727442776</v>
      </c>
      <c r="AA102" s="22"/>
      <c r="AB102" s="22">
        <f ca="1">OFFSET('Trans Factors'!$B$13,$O102-1,AB$14)*$L102+OFFSET('Trans Factors'!$B$13,$K102-1,AB$14)*$H102</f>
        <v>0</v>
      </c>
      <c r="AD102" s="22">
        <f t="shared" ref="AD102" ca="1" si="94">P102+R102+T102+V102+X102+Z102+AB102</f>
        <v>103657.95343098548</v>
      </c>
      <c r="AE102" s="24"/>
      <c r="AF102" s="35" t="str">
        <f t="shared" ca="1" si="15"/>
        <v/>
      </c>
    </row>
    <row r="103" spans="2:39" ht="13" x14ac:dyDescent="0.3">
      <c r="B103" s="163">
        <f>B102+1</f>
        <v>59</v>
      </c>
      <c r="D103" s="99" t="s">
        <v>221</v>
      </c>
      <c r="F103" s="227">
        <f ca="1">Function!T103</f>
        <v>17901.019862284433</v>
      </c>
      <c r="H103" s="227"/>
      <c r="K103" s="192">
        <f>_xlfn.IFNA(MATCH(J103,'Trans Factors'!$B$13:$B$450,0),0)</f>
        <v>0</v>
      </c>
      <c r="L103" s="227">
        <f t="shared" ca="1" si="93"/>
        <v>17901.019862284433</v>
      </c>
      <c r="M103" s="24"/>
      <c r="N103" s="28" t="s">
        <v>266</v>
      </c>
      <c r="O103" s="186">
        <f>_xlfn.IFNA(MATCH(N103,'Trans Factors'!$B$13:$B$450,0),0)</f>
        <v>23</v>
      </c>
      <c r="P103" s="22">
        <f ca="1">OFFSET('Trans Factors'!$B$13,$O103-1,P$14)*$L103+OFFSET('Trans Factors'!$B$13,$K103-1,P$14)*$H103</f>
        <v>518.95380444934551</v>
      </c>
      <c r="Q103" s="24"/>
      <c r="R103" s="22">
        <f ca="1">OFFSET('Trans Factors'!$B$13,$O103-1,R$14)*$L103+OFFSET('Trans Factors'!$B$13,$K103-1,R$14)*$H103</f>
        <v>78.788553919033376</v>
      </c>
      <c r="S103" s="22"/>
      <c r="T103" s="22">
        <f ca="1">OFFSET('Trans Factors'!$B$13,$O103-1,T$14)*$L103+OFFSET('Trans Factors'!$B$13,$K103-1,T$14)*$H103</f>
        <v>2123.6432630081167</v>
      </c>
      <c r="U103" s="22"/>
      <c r="V103" s="22">
        <f ca="1">OFFSET('Trans Factors'!$B$13,$O103-1,V$14)*$L103+OFFSET('Trans Factors'!$B$13,$K103-1,V$14)*$H103</f>
        <v>9607.1671835596462</v>
      </c>
      <c r="X103" s="22">
        <f ca="1">OFFSET('Trans Factors'!$B$13,$O103-1,X$14)*$L103+OFFSET('Trans Factors'!$B$13,$K103-1,X$14)*$H103</f>
        <v>1605.0100542266709</v>
      </c>
      <c r="Y103" s="9"/>
      <c r="Z103" s="22">
        <f ca="1">OFFSET('Trans Factors'!$B$13,$O103-1,Z$14)*$L103+OFFSET('Trans Factors'!$B$13,$K103-1,Z$14)*$H103</f>
        <v>3967.4570031216185</v>
      </c>
      <c r="AA103" s="22"/>
      <c r="AB103" s="22">
        <f ca="1">OFFSET('Trans Factors'!$B$13,$O103-1,AB$14)*$L103+OFFSET('Trans Factors'!$B$13,$K103-1,AB$14)*$H103</f>
        <v>0</v>
      </c>
      <c r="AD103" s="30">
        <f t="shared" ref="AD103" ca="1" si="95">P103+R103+T103+V103+X103+Z103+AB103</f>
        <v>17901.019862284429</v>
      </c>
      <c r="AE103" s="24"/>
      <c r="AF103" s="35" t="str">
        <f t="shared" ca="1" si="15"/>
        <v/>
      </c>
    </row>
    <row r="104" spans="2:39" ht="13" x14ac:dyDescent="0.3">
      <c r="B104" s="163">
        <f>B103+1</f>
        <v>60</v>
      </c>
      <c r="D104" s="99" t="s">
        <v>222</v>
      </c>
      <c r="F104" s="79">
        <f ca="1">F102+F103</f>
        <v>121558.9732932699</v>
      </c>
      <c r="H104" s="79">
        <f>H102+H103</f>
        <v>0</v>
      </c>
      <c r="L104" s="79">
        <f ca="1">L102+L103</f>
        <v>121558.9732932699</v>
      </c>
      <c r="M104" s="24"/>
      <c r="N104" s="24"/>
      <c r="P104" s="10">
        <f ca="1">P102+P103</f>
        <v>3615.1731178225891</v>
      </c>
      <c r="Q104" s="24"/>
      <c r="R104" s="10">
        <f ca="1">R102+R103</f>
        <v>563.72373924387421</v>
      </c>
      <c r="S104" s="24"/>
      <c r="T104" s="10">
        <f ca="1">T102+T103</f>
        <v>16719.656743691743</v>
      </c>
      <c r="U104" s="24"/>
      <c r="V104" s="10">
        <f ca="1">V102+V103</f>
        <v>71719.057796354638</v>
      </c>
      <c r="W104" s="24"/>
      <c r="X104" s="10">
        <f ca="1">X102+X103</f>
        <v>8571.9101655926788</v>
      </c>
      <c r="Z104" s="10">
        <f ca="1">Z102+Z103</f>
        <v>20369.451730564393</v>
      </c>
      <c r="AB104" s="10">
        <f ca="1">AB102+AB103</f>
        <v>0</v>
      </c>
      <c r="AD104" s="10">
        <f ca="1">AD102+AD103</f>
        <v>121558.97329326991</v>
      </c>
      <c r="AE104" s="24"/>
      <c r="AF104" s="35" t="str">
        <f t="shared" ca="1" si="15"/>
        <v/>
      </c>
    </row>
    <row r="105" spans="2:39" ht="13" x14ac:dyDescent="0.3">
      <c r="M105" s="24"/>
      <c r="N105" s="24"/>
      <c r="P105" s="24"/>
      <c r="Q105" s="24"/>
      <c r="R105" s="24"/>
      <c r="S105" s="24"/>
      <c r="T105" s="24"/>
      <c r="U105" s="24"/>
      <c r="V105" s="24"/>
      <c r="W105" s="24"/>
      <c r="X105" s="24"/>
      <c r="Z105" s="24"/>
      <c r="AB105" s="24"/>
      <c r="AD105" s="24"/>
      <c r="AE105" s="24"/>
      <c r="AF105" s="35" t="str">
        <f t="shared" si="15"/>
        <v/>
      </c>
    </row>
    <row r="106" spans="2:39" ht="13" x14ac:dyDescent="0.3">
      <c r="D106" s="6" t="s">
        <v>69</v>
      </c>
      <c r="F106" s="113"/>
      <c r="H106" s="113"/>
      <c r="L106" s="113"/>
      <c r="W106" s="24"/>
      <c r="AE106" s="24"/>
      <c r="AF106" s="35" t="str">
        <f t="shared" ref="AF106:AF111" si="96">IF(ROUND(F106,4)=ROUND(AD106,4), "", "check")</f>
        <v/>
      </c>
    </row>
    <row r="107" spans="2:39" ht="13" x14ac:dyDescent="0.3">
      <c r="F107" s="113"/>
      <c r="H107" s="113"/>
      <c r="L107" s="113"/>
      <c r="AE107" s="24"/>
      <c r="AF107" s="35" t="str">
        <f t="shared" si="96"/>
        <v/>
      </c>
    </row>
    <row r="108" spans="2:39" ht="13" x14ac:dyDescent="0.3">
      <c r="B108" s="163">
        <f>B104+1</f>
        <v>61</v>
      </c>
      <c r="D108" s="99" t="s">
        <v>39</v>
      </c>
      <c r="F108" s="113">
        <f ca="1">Function!T108</f>
        <v>22070.996121271273</v>
      </c>
      <c r="H108" s="113"/>
      <c r="K108" s="192">
        <f>_xlfn.IFNA(MATCH(J108,'Trans Factors'!$B$13:$B$450,0),0)</f>
        <v>0</v>
      </c>
      <c r="L108" s="113">
        <f t="shared" ref="L108:L109" ca="1" si="97">F108-H108</f>
        <v>22070.996121271273</v>
      </c>
      <c r="M108" s="24"/>
      <c r="N108" s="75" t="s">
        <v>268</v>
      </c>
      <c r="O108" s="186">
        <f>_xlfn.IFNA(MATCH(N108,'Trans Factors'!$B$13:$B$450,0),0)</f>
        <v>62</v>
      </c>
      <c r="P108" s="22">
        <f ca="1">OFFSET('Trans Factors'!$B$13,$O108-1,P$14)*$L108+OFFSET('Trans Factors'!$B$13,$K108-1,P$14)*$H108</f>
        <v>453.52891086317919</v>
      </c>
      <c r="Q108" s="24"/>
      <c r="R108" s="22">
        <f ca="1">OFFSET('Trans Factors'!$B$13,$O108-1,R$14)*$L108+OFFSET('Trans Factors'!$B$13,$K108-1,R$14)*$H108</f>
        <v>51.571758795761561</v>
      </c>
      <c r="S108" s="22"/>
      <c r="T108" s="22">
        <f ca="1">OFFSET('Trans Factors'!$B$13,$O108-1,T$14)*$L108+OFFSET('Trans Factors'!$B$13,$K108-1,T$14)*$H108</f>
        <v>2415.5772672126745</v>
      </c>
      <c r="U108" s="22"/>
      <c r="V108" s="22">
        <f ca="1">OFFSET('Trans Factors'!$B$13,$O108-1,V$14)*$L108+OFFSET('Trans Factors'!$B$13,$K108-1,V$14)*$H108</f>
        <v>11328.286834862014</v>
      </c>
      <c r="X108" s="22">
        <f ca="1">OFFSET('Trans Factors'!$B$13,$O108-1,X$14)*$L108+OFFSET('Trans Factors'!$B$13,$K108-1,X$14)*$H108</f>
        <v>2552.4521198461734</v>
      </c>
      <c r="Y108" s="9"/>
      <c r="Z108" s="22">
        <f ca="1">OFFSET('Trans Factors'!$B$13,$O108-1,Z$14)*$L108+OFFSET('Trans Factors'!$B$13,$K108-1,Z$14)*$H108</f>
        <v>5269.5792296914669</v>
      </c>
      <c r="AA108" s="22"/>
      <c r="AB108" s="22">
        <f ca="1">OFFSET('Trans Factors'!$B$13,$O108-1,AB$14)*$L108+OFFSET('Trans Factors'!$B$13,$K108-1,AB$14)*$H108</f>
        <v>0</v>
      </c>
      <c r="AD108" s="22">
        <f t="shared" ref="AD108:AD109" ca="1" si="98">P108+R108+T108+V108+X108+Z108+AB108</f>
        <v>22070.99612127127</v>
      </c>
      <c r="AE108" s="24"/>
      <c r="AF108" s="35" t="str">
        <f t="shared" ca="1" si="96"/>
        <v/>
      </c>
    </row>
    <row r="109" spans="2:39" ht="13" x14ac:dyDescent="0.3">
      <c r="B109" s="163">
        <f>B108+1</f>
        <v>62</v>
      </c>
      <c r="D109" s="99" t="s">
        <v>40</v>
      </c>
      <c r="F109" s="113">
        <f ca="1">Function!T109</f>
        <v>26301.747439204766</v>
      </c>
      <c r="H109" s="113"/>
      <c r="K109" s="192">
        <f>_xlfn.IFNA(MATCH(J109,'Trans Factors'!$B$13:$B$450,0),0)</f>
        <v>0</v>
      </c>
      <c r="L109" s="113">
        <f t="shared" ca="1" si="97"/>
        <v>26301.747439204766</v>
      </c>
      <c r="M109" s="24"/>
      <c r="N109" s="75" t="s">
        <v>269</v>
      </c>
      <c r="O109" s="186">
        <f>_xlfn.IFNA(MATCH(N109,'Trans Factors'!$B$13:$B$450,0),0)</f>
        <v>59</v>
      </c>
      <c r="P109" s="22">
        <f ca="1">OFFSET('Trans Factors'!$B$13,$O109-1,P$14)*$L109+OFFSET('Trans Factors'!$B$13,$K109-1,P$14)*$H109</f>
        <v>2520.9646466542649</v>
      </c>
      <c r="Q109" s="24"/>
      <c r="R109" s="22">
        <f ca="1">OFFSET('Trans Factors'!$B$13,$O109-1,R$14)*$L109+OFFSET('Trans Factors'!$B$13,$K109-1,R$14)*$H109</f>
        <v>20.721960983396205</v>
      </c>
      <c r="S109" s="22"/>
      <c r="T109" s="22">
        <f ca="1">OFFSET('Trans Factors'!$B$13,$O109-1,T$14)*$L109+OFFSET('Trans Factors'!$B$13,$K109-1,T$14)*$H109</f>
        <v>1096.0959566858728</v>
      </c>
      <c r="U109" s="22"/>
      <c r="V109" s="22">
        <f ca="1">OFFSET('Trans Factors'!$B$13,$O109-1,V$14)*$L109+OFFSET('Trans Factors'!$B$13,$K109-1,V$14)*$H109</f>
        <v>18135.770832295089</v>
      </c>
      <c r="X109" s="22">
        <f ca="1">OFFSET('Trans Factors'!$B$13,$O109-1,X$14)*$L109+OFFSET('Trans Factors'!$B$13,$K109-1,X$14)*$H109</f>
        <v>1054.6662772405243</v>
      </c>
      <c r="Y109" s="9"/>
      <c r="Z109" s="22">
        <f ca="1">OFFSET('Trans Factors'!$B$13,$O109-1,Z$14)*$L109+OFFSET('Trans Factors'!$B$13,$K109-1,Z$14)*$H109</f>
        <v>3473.5277653456174</v>
      </c>
      <c r="AA109" s="22"/>
      <c r="AB109" s="22">
        <f ca="1">OFFSET('Trans Factors'!$B$13,$O109-1,AB$14)*$L109+OFFSET('Trans Factors'!$B$13,$K109-1,AB$14)*$H109</f>
        <v>0</v>
      </c>
      <c r="AD109" s="22">
        <f t="shared" ca="1" si="98"/>
        <v>26301.747439204766</v>
      </c>
      <c r="AE109" s="24"/>
      <c r="AF109" s="35" t="str">
        <f t="shared" ca="1" si="96"/>
        <v/>
      </c>
    </row>
    <row r="110" spans="2:39" ht="13" x14ac:dyDescent="0.3">
      <c r="B110" s="163">
        <f>B109+1</f>
        <v>63</v>
      </c>
      <c r="D110" s="99" t="s">
        <v>328</v>
      </c>
      <c r="F110" s="79">
        <f ca="1">F108+F109</f>
        <v>48372.743560476039</v>
      </c>
      <c r="H110" s="79">
        <f>H108+H109</f>
        <v>0</v>
      </c>
      <c r="L110" s="79">
        <f ca="1">L108+L109</f>
        <v>48372.743560476039</v>
      </c>
      <c r="M110" s="97"/>
      <c r="N110" s="97"/>
      <c r="P110" s="10">
        <f ca="1">P108+P109</f>
        <v>2974.4935575174441</v>
      </c>
      <c r="Q110" s="97"/>
      <c r="R110" s="10">
        <f ca="1">R108+R109</f>
        <v>72.293719779157769</v>
      </c>
      <c r="S110" s="97"/>
      <c r="T110" s="10">
        <f ca="1">T108+T109</f>
        <v>3511.6732238985473</v>
      </c>
      <c r="U110" s="97"/>
      <c r="V110" s="10">
        <f ca="1">V108+V109</f>
        <v>29464.057667157103</v>
      </c>
      <c r="W110" s="97"/>
      <c r="X110" s="10">
        <f ca="1">X108+X109</f>
        <v>3607.1183970866978</v>
      </c>
      <c r="Y110" s="99"/>
      <c r="Z110" s="10">
        <f ca="1">Z108+Z109</f>
        <v>8743.1069950370838</v>
      </c>
      <c r="AA110" s="99"/>
      <c r="AB110" s="10">
        <f ca="1">AB108+AB109</f>
        <v>0</v>
      </c>
      <c r="AC110" s="99"/>
      <c r="AD110" s="10">
        <f ca="1">AD108+AD109</f>
        <v>48372.743560476039</v>
      </c>
      <c r="AE110" s="24"/>
      <c r="AF110" s="35" t="str">
        <f t="shared" ca="1" si="96"/>
        <v/>
      </c>
    </row>
    <row r="111" spans="2:39" ht="13" x14ac:dyDescent="0.3">
      <c r="M111" s="24"/>
      <c r="N111" s="24"/>
      <c r="P111" s="24"/>
      <c r="Q111" s="24"/>
      <c r="R111" s="24"/>
      <c r="S111" s="24"/>
      <c r="T111" s="24"/>
      <c r="U111" s="24"/>
      <c r="V111" s="24"/>
      <c r="W111" s="24"/>
      <c r="X111" s="24"/>
      <c r="Z111" s="24"/>
      <c r="AB111" s="24"/>
      <c r="AD111" s="24"/>
      <c r="AE111" s="24"/>
      <c r="AF111" s="35" t="str">
        <f t="shared" si="96"/>
        <v/>
      </c>
    </row>
    <row r="112" spans="2:39" ht="13" x14ac:dyDescent="0.3">
      <c r="M112" s="24"/>
      <c r="N112" s="24"/>
      <c r="P112" s="24"/>
      <c r="Q112" s="24"/>
      <c r="R112" s="24"/>
      <c r="S112" s="24"/>
      <c r="T112" s="24"/>
      <c r="U112" s="24"/>
      <c r="V112" s="24"/>
      <c r="W112" s="24"/>
      <c r="X112" s="24"/>
      <c r="Z112" s="24"/>
      <c r="AB112" s="24"/>
      <c r="AD112" s="24"/>
      <c r="AE112" s="24"/>
      <c r="AF112" s="35" t="str">
        <f t="shared" si="15"/>
        <v/>
      </c>
    </row>
    <row r="113" spans="2:52" ht="13" x14ac:dyDescent="0.3">
      <c r="D113" s="6" t="s">
        <v>74</v>
      </c>
      <c r="M113" s="24"/>
      <c r="N113" s="24"/>
      <c r="P113" s="24"/>
      <c r="Q113" s="24"/>
      <c r="R113" s="24"/>
      <c r="S113" s="24"/>
      <c r="T113" s="24"/>
      <c r="U113" s="24"/>
      <c r="V113" s="24"/>
      <c r="W113" s="24"/>
      <c r="X113" s="24"/>
      <c r="Z113" s="24"/>
      <c r="AB113" s="24"/>
      <c r="AD113" s="24"/>
      <c r="AE113" s="24"/>
      <c r="AF113" s="35" t="str">
        <f t="shared" si="15"/>
        <v/>
      </c>
      <c r="AI113" s="56" t="s">
        <v>206</v>
      </c>
      <c r="AJ113" s="56" t="s">
        <v>214</v>
      </c>
      <c r="AL113" s="2" t="s">
        <v>52</v>
      </c>
      <c r="AM113" s="2"/>
      <c r="AN113" s="2" t="s">
        <v>54</v>
      </c>
      <c r="AO113" s="2"/>
      <c r="AP113" s="2" t="s">
        <v>55</v>
      </c>
      <c r="AQ113" s="2"/>
      <c r="AR113" s="2" t="s">
        <v>56</v>
      </c>
      <c r="AS113" s="2"/>
      <c r="AT113" s="2" t="s">
        <v>57</v>
      </c>
      <c r="AU113" s="2"/>
      <c r="AV113" s="2" t="s">
        <v>60</v>
      </c>
      <c r="AW113" s="2"/>
      <c r="AX113" s="2" t="s">
        <v>9</v>
      </c>
      <c r="AZ113" s="2"/>
    </row>
    <row r="114" spans="2:52" ht="13" x14ac:dyDescent="0.3">
      <c r="M114" s="24"/>
      <c r="N114" s="24"/>
      <c r="P114" s="24"/>
      <c r="Q114" s="24"/>
      <c r="R114" s="24"/>
      <c r="S114" s="24"/>
      <c r="T114" s="24"/>
      <c r="U114" s="24"/>
      <c r="V114" s="24"/>
      <c r="W114" s="24"/>
      <c r="X114" s="24"/>
      <c r="Z114" s="24"/>
      <c r="AB114" s="24"/>
      <c r="AD114" s="24"/>
      <c r="AE114" s="24"/>
      <c r="AF114" s="35" t="str">
        <f t="shared" si="15"/>
        <v/>
      </c>
      <c r="AI114" s="57" t="s">
        <v>212</v>
      </c>
      <c r="AJ114" s="57" t="s">
        <v>213</v>
      </c>
      <c r="AL114" s="57" t="s">
        <v>53</v>
      </c>
      <c r="AM114" s="2"/>
      <c r="AN114" s="57" t="s">
        <v>53</v>
      </c>
      <c r="AO114" s="2"/>
      <c r="AP114" s="57" t="s">
        <v>53</v>
      </c>
      <c r="AQ114" s="2"/>
      <c r="AR114" s="57" t="s">
        <v>55</v>
      </c>
      <c r="AS114" s="2"/>
      <c r="AT114" s="57" t="s">
        <v>58</v>
      </c>
      <c r="AU114" s="2"/>
      <c r="AV114" s="57" t="s">
        <v>104</v>
      </c>
      <c r="AW114" s="56"/>
      <c r="AX114" s="57" t="s">
        <v>49</v>
      </c>
      <c r="AZ114" s="57" t="s">
        <v>11</v>
      </c>
    </row>
    <row r="115" spans="2:52" ht="13" x14ac:dyDescent="0.3">
      <c r="D115" s="97" t="s">
        <v>7</v>
      </c>
      <c r="M115" s="24"/>
      <c r="N115" s="24"/>
      <c r="P115" s="24"/>
      <c r="Q115" s="24"/>
      <c r="R115" s="24"/>
      <c r="S115" s="24"/>
      <c r="T115" s="24"/>
      <c r="U115" s="24"/>
      <c r="V115" s="24"/>
      <c r="W115" s="24"/>
      <c r="X115" s="24"/>
      <c r="Z115" s="24"/>
      <c r="AB115" s="24"/>
      <c r="AD115" s="24"/>
      <c r="AF115" s="35" t="str">
        <f t="shared" si="15"/>
        <v/>
      </c>
    </row>
    <row r="116" spans="2:52" ht="13" x14ac:dyDescent="0.3">
      <c r="B116" s="28">
        <f>B110+1</f>
        <v>64</v>
      </c>
      <c r="D116" s="63" t="s">
        <v>352</v>
      </c>
      <c r="F116" s="113">
        <f ca="1">Function!T116</f>
        <v>0</v>
      </c>
      <c r="H116" s="200"/>
      <c r="K116" s="192">
        <f>_xlfn.IFNA(MATCH(J116,'Trans Factors'!$B$13:$B$450,0),0)</f>
        <v>0</v>
      </c>
      <c r="L116" s="113">
        <f t="shared" ref="L116:L160" ca="1" si="99">F116-H116</f>
        <v>0</v>
      </c>
      <c r="O116" s="186">
        <f>_xlfn.IFNA(MATCH(N116,'Trans Factors'!$B$13:$B$450,0),0)</f>
        <v>0</v>
      </c>
      <c r="P116" s="22">
        <f ca="1">OFFSET('Trans Factors'!$B$13,$O116-1,P$14)*$L116+OFFSET('Trans Factors'!$B$13,$K116-1,P$14)*$H116</f>
        <v>0</v>
      </c>
      <c r="Q116" s="24"/>
      <c r="R116" s="22">
        <f ca="1">OFFSET('Trans Factors'!$B$13,$O116-1,R$14)*$L116+OFFSET('Trans Factors'!$B$13,$K116-1,R$14)*$H116</f>
        <v>0</v>
      </c>
      <c r="S116" s="22"/>
      <c r="T116" s="22">
        <f ca="1">OFFSET('Trans Factors'!$B$13,$O116-1,T$14)*$L116+OFFSET('Trans Factors'!$B$13,$K116-1,T$14)*$H116</f>
        <v>0</v>
      </c>
      <c r="U116" s="22"/>
      <c r="V116" s="22">
        <f ca="1">OFFSET('Trans Factors'!$B$13,$O116-1,V$14)*$L116+OFFSET('Trans Factors'!$B$13,$K116-1,V$14)*$H116</f>
        <v>0</v>
      </c>
      <c r="X116" s="22">
        <f ca="1">OFFSET('Trans Factors'!$B$13,$O116-1,X$14)*$L116+OFFSET('Trans Factors'!$B$13,$K116-1,X$14)*$H116</f>
        <v>0</v>
      </c>
      <c r="Y116" s="9"/>
      <c r="Z116" s="22">
        <f ca="1">OFFSET('Trans Factors'!$B$13,$O116-1,Z$14)*$L116+OFFSET('Trans Factors'!$B$13,$K116-1,Z$14)*$H116</f>
        <v>0</v>
      </c>
      <c r="AA116" s="22"/>
      <c r="AB116" s="22">
        <f ca="1">OFFSET('Trans Factors'!$B$13,$O116-1,AB$14)*$L116+OFFSET('Trans Factors'!$B$13,$K116-1,AB$14)*$H116</f>
        <v>0</v>
      </c>
      <c r="AD116" s="22">
        <f t="shared" ref="AD116:AD160" ca="1" si="100">P116+R116+T116+V116+X116+Z116+AB116</f>
        <v>0</v>
      </c>
      <c r="AF116" s="35" t="str">
        <f t="shared" ca="1" si="15"/>
        <v/>
      </c>
      <c r="AI116" s="243">
        <f ca="1">Function!AJ116</f>
        <v>0</v>
      </c>
      <c r="AJ116" s="242">
        <f ca="1">IFERROR(AI116/F116,0)</f>
        <v>0</v>
      </c>
      <c r="AL116" s="199">
        <f ca="1">$AJ116*P116</f>
        <v>0</v>
      </c>
      <c r="AM116" s="199"/>
      <c r="AN116" s="199">
        <f t="shared" ref="AN116:AX116" ca="1" si="101">$AJ116*R116</f>
        <v>0</v>
      </c>
      <c r="AO116" s="199"/>
      <c r="AP116" s="199">
        <f t="shared" ca="1" si="101"/>
        <v>0</v>
      </c>
      <c r="AQ116" s="199"/>
      <c r="AR116" s="199">
        <f t="shared" ca="1" si="101"/>
        <v>0</v>
      </c>
      <c r="AS116" s="199"/>
      <c r="AT116" s="199">
        <f t="shared" ca="1" si="101"/>
        <v>0</v>
      </c>
      <c r="AU116" s="199"/>
      <c r="AV116" s="199">
        <f t="shared" ca="1" si="101"/>
        <v>0</v>
      </c>
      <c r="AW116" s="199"/>
      <c r="AX116" s="199">
        <f t="shared" ca="1" si="101"/>
        <v>0</v>
      </c>
      <c r="AZ116" s="199">
        <f ca="1">SUM(AL116:AX116)</f>
        <v>0</v>
      </c>
    </row>
    <row r="117" spans="2:52" ht="13" x14ac:dyDescent="0.3">
      <c r="B117" s="28">
        <f t="shared" ref="B117:B122" si="102">B116+1</f>
        <v>65</v>
      </c>
      <c r="D117" s="63" t="s">
        <v>128</v>
      </c>
      <c r="F117" s="113">
        <f ca="1">Function!T117</f>
        <v>26965.613624531987</v>
      </c>
      <c r="H117" s="200"/>
      <c r="K117" s="192">
        <f>_xlfn.IFNA(MATCH(J117,'Trans Factors'!$B$13:$B$450,0),0)</f>
        <v>0</v>
      </c>
      <c r="L117" s="113">
        <f t="shared" ca="1" si="99"/>
        <v>26965.613624531987</v>
      </c>
      <c r="N117" s="75" t="s">
        <v>283</v>
      </c>
      <c r="O117" s="186">
        <f>_xlfn.IFNA(MATCH(N117,'Trans Factors'!$B$13:$B$450,0),0)</f>
        <v>11</v>
      </c>
      <c r="P117" s="22">
        <f ca="1">OFFSET('Trans Factors'!$B$13,$O117-1,P$14)*$L117+OFFSET('Trans Factors'!$B$13,$K117-1,P$14)*$H117</f>
        <v>0</v>
      </c>
      <c r="Q117" s="24"/>
      <c r="R117" s="22">
        <f ca="1">OFFSET('Trans Factors'!$B$13,$O117-1,R$14)*$L117+OFFSET('Trans Factors'!$B$13,$K117-1,R$14)*$H117</f>
        <v>0</v>
      </c>
      <c r="S117" s="22"/>
      <c r="T117" s="22">
        <f ca="1">OFFSET('Trans Factors'!$B$13,$O117-1,T$14)*$L117+OFFSET('Trans Factors'!$B$13,$K117-1,T$14)*$H117</f>
        <v>0</v>
      </c>
      <c r="U117" s="22"/>
      <c r="V117" s="22">
        <f ca="1">OFFSET('Trans Factors'!$B$13,$O117-1,V$14)*$L117+OFFSET('Trans Factors'!$B$13,$K117-1,V$14)*$H117</f>
        <v>0</v>
      </c>
      <c r="X117" s="22">
        <f ca="1">OFFSET('Trans Factors'!$B$13,$O117-1,X$14)*$L117+OFFSET('Trans Factors'!$B$13,$K117-1,X$14)*$H117</f>
        <v>0</v>
      </c>
      <c r="Y117" s="9"/>
      <c r="Z117" s="22">
        <f ca="1">OFFSET('Trans Factors'!$B$13,$O117-1,Z$14)*$L117+OFFSET('Trans Factors'!$B$13,$K117-1,Z$14)*$H117</f>
        <v>0</v>
      </c>
      <c r="AA117" s="22"/>
      <c r="AB117" s="22">
        <f ca="1">OFFSET('Trans Factors'!$B$13,$O117-1,AB$14)*$L117+OFFSET('Trans Factors'!$B$13,$K117-1,AB$14)*$H117</f>
        <v>26965.613624531987</v>
      </c>
      <c r="AD117" s="22">
        <f t="shared" ca="1" si="100"/>
        <v>26965.613624531987</v>
      </c>
      <c r="AF117" s="35" t="str">
        <f t="shared" ca="1" si="15"/>
        <v/>
      </c>
      <c r="AI117" s="243">
        <f ca="1">Function!AJ117</f>
        <v>0</v>
      </c>
      <c r="AJ117" s="242">
        <f t="shared" ref="AJ117:AJ157" ca="1" si="103">IFERROR(AI117/F117,0)</f>
        <v>0</v>
      </c>
      <c r="AL117" s="199">
        <f t="shared" ref="AL117:AL160" ca="1" si="104">$AJ117*P117</f>
        <v>0</v>
      </c>
      <c r="AM117" s="199"/>
      <c r="AN117" s="199">
        <f t="shared" ref="AN117:AN160" ca="1" si="105">$AJ117*R117</f>
        <v>0</v>
      </c>
      <c r="AO117" s="199"/>
      <c r="AP117" s="199">
        <f t="shared" ref="AP117:AP160" ca="1" si="106">$AJ117*T117</f>
        <v>0</v>
      </c>
      <c r="AQ117" s="199"/>
      <c r="AR117" s="199">
        <f t="shared" ref="AR117:AR160" ca="1" si="107">$AJ117*V117</f>
        <v>0</v>
      </c>
      <c r="AS117" s="199"/>
      <c r="AT117" s="199">
        <f t="shared" ref="AT117:AT160" ca="1" si="108">$AJ117*X117</f>
        <v>0</v>
      </c>
      <c r="AU117" s="199"/>
      <c r="AV117" s="199">
        <f t="shared" ref="AV117:AV160" ca="1" si="109">$AJ117*Z117</f>
        <v>0</v>
      </c>
      <c r="AW117" s="199"/>
      <c r="AX117" s="199">
        <f t="shared" ref="AX117:AX160" ca="1" si="110">$AJ117*AB117</f>
        <v>0</v>
      </c>
      <c r="AZ117" s="199">
        <f t="shared" ref="AZ117:AZ160" ca="1" si="111">SUM(AL117:AX117)</f>
        <v>0</v>
      </c>
    </row>
    <row r="118" spans="2:52" ht="13" x14ac:dyDescent="0.3">
      <c r="B118" s="28">
        <f t="shared" si="102"/>
        <v>66</v>
      </c>
      <c r="D118" s="63" t="s">
        <v>129</v>
      </c>
      <c r="F118" s="113">
        <f ca="1">Function!T118</f>
        <v>17163.793884536266</v>
      </c>
      <c r="H118" s="200"/>
      <c r="K118" s="192">
        <f>_xlfn.IFNA(MATCH(J118,'Trans Factors'!$B$13:$B$450,0),0)</f>
        <v>0</v>
      </c>
      <c r="L118" s="113">
        <f t="shared" ca="1" si="99"/>
        <v>17163.793884536266</v>
      </c>
      <c r="N118" s="75" t="s">
        <v>283</v>
      </c>
      <c r="O118" s="186">
        <f>_xlfn.IFNA(MATCH(N118,'Trans Factors'!$B$13:$B$450,0),0)</f>
        <v>11</v>
      </c>
      <c r="P118" s="22">
        <f ca="1">OFFSET('Trans Factors'!$B$13,$O118-1,P$14)*$L118+OFFSET('Trans Factors'!$B$13,$K118-1,P$14)*$H118</f>
        <v>0</v>
      </c>
      <c r="Q118" s="24"/>
      <c r="R118" s="22">
        <f ca="1">OFFSET('Trans Factors'!$B$13,$O118-1,R$14)*$L118+OFFSET('Trans Factors'!$B$13,$K118-1,R$14)*$H118</f>
        <v>0</v>
      </c>
      <c r="S118" s="22"/>
      <c r="T118" s="22">
        <f ca="1">OFFSET('Trans Factors'!$B$13,$O118-1,T$14)*$L118+OFFSET('Trans Factors'!$B$13,$K118-1,T$14)*$H118</f>
        <v>0</v>
      </c>
      <c r="U118" s="22"/>
      <c r="V118" s="22">
        <f ca="1">OFFSET('Trans Factors'!$B$13,$O118-1,V$14)*$L118+OFFSET('Trans Factors'!$B$13,$K118-1,V$14)*$H118</f>
        <v>0</v>
      </c>
      <c r="X118" s="22">
        <f ca="1">OFFSET('Trans Factors'!$B$13,$O118-1,X$14)*$L118+OFFSET('Trans Factors'!$B$13,$K118-1,X$14)*$H118</f>
        <v>0</v>
      </c>
      <c r="Y118" s="9"/>
      <c r="Z118" s="22">
        <f ca="1">OFFSET('Trans Factors'!$B$13,$O118-1,Z$14)*$L118+OFFSET('Trans Factors'!$B$13,$K118-1,Z$14)*$H118</f>
        <v>0</v>
      </c>
      <c r="AA118" s="22"/>
      <c r="AB118" s="22">
        <f ca="1">OFFSET('Trans Factors'!$B$13,$O118-1,AB$14)*$L118+OFFSET('Trans Factors'!$B$13,$K118-1,AB$14)*$H118</f>
        <v>17163.793884536266</v>
      </c>
      <c r="AD118" s="22">
        <f t="shared" ca="1" si="100"/>
        <v>17163.793884536266</v>
      </c>
      <c r="AF118" s="35" t="str">
        <f t="shared" ca="1" si="15"/>
        <v/>
      </c>
      <c r="AI118" s="243">
        <f ca="1">Function!AJ118</f>
        <v>0</v>
      </c>
      <c r="AJ118" s="242">
        <f t="shared" ca="1" si="103"/>
        <v>0</v>
      </c>
      <c r="AL118" s="199">
        <f t="shared" ca="1" si="104"/>
        <v>0</v>
      </c>
      <c r="AM118" s="199"/>
      <c r="AN118" s="199">
        <f t="shared" ca="1" si="105"/>
        <v>0</v>
      </c>
      <c r="AO118" s="199"/>
      <c r="AP118" s="199">
        <f t="shared" ca="1" si="106"/>
        <v>0</v>
      </c>
      <c r="AQ118" s="199"/>
      <c r="AR118" s="199">
        <f t="shared" ca="1" si="107"/>
        <v>0</v>
      </c>
      <c r="AS118" s="199"/>
      <c r="AT118" s="199">
        <f t="shared" ca="1" si="108"/>
        <v>0</v>
      </c>
      <c r="AU118" s="199"/>
      <c r="AV118" s="199">
        <f t="shared" ca="1" si="109"/>
        <v>0</v>
      </c>
      <c r="AW118" s="199"/>
      <c r="AX118" s="199">
        <f t="shared" ca="1" si="110"/>
        <v>0</v>
      </c>
      <c r="AZ118" s="199">
        <f t="shared" ca="1" si="111"/>
        <v>0</v>
      </c>
    </row>
    <row r="119" spans="2:52" ht="13" x14ac:dyDescent="0.3">
      <c r="B119" s="28">
        <f t="shared" si="102"/>
        <v>67</v>
      </c>
      <c r="D119" s="63" t="s">
        <v>253</v>
      </c>
      <c r="F119" s="113">
        <f ca="1">Function!T119</f>
        <v>1104.2779834838057</v>
      </c>
      <c r="H119" s="200"/>
      <c r="K119" s="192">
        <f>_xlfn.IFNA(MATCH(J119,'Trans Factors'!$B$13:$B$450,0),0)</f>
        <v>0</v>
      </c>
      <c r="L119" s="113">
        <f t="shared" ca="1" si="99"/>
        <v>1104.2779834838057</v>
      </c>
      <c r="N119" s="95" t="s">
        <v>283</v>
      </c>
      <c r="O119" s="186">
        <f>_xlfn.IFNA(MATCH(N119,'Trans Factors'!$B$13:$B$450,0),0)</f>
        <v>11</v>
      </c>
      <c r="P119" s="22">
        <f ca="1">OFFSET('Trans Factors'!$B$13,$O119-1,P$14)*$L119+OFFSET('Trans Factors'!$B$13,$K119-1,P$14)*$H119</f>
        <v>0</v>
      </c>
      <c r="Q119" s="24"/>
      <c r="R119" s="22">
        <f ca="1">OFFSET('Trans Factors'!$B$13,$O119-1,R$14)*$L119+OFFSET('Trans Factors'!$B$13,$K119-1,R$14)*$H119</f>
        <v>0</v>
      </c>
      <c r="S119" s="22"/>
      <c r="T119" s="22">
        <f ca="1">OFFSET('Trans Factors'!$B$13,$O119-1,T$14)*$L119+OFFSET('Trans Factors'!$B$13,$K119-1,T$14)*$H119</f>
        <v>0</v>
      </c>
      <c r="U119" s="22"/>
      <c r="V119" s="22">
        <f ca="1">OFFSET('Trans Factors'!$B$13,$O119-1,V$14)*$L119+OFFSET('Trans Factors'!$B$13,$K119-1,V$14)*$H119</f>
        <v>0</v>
      </c>
      <c r="X119" s="22">
        <f ca="1">OFFSET('Trans Factors'!$B$13,$O119-1,X$14)*$L119+OFFSET('Trans Factors'!$B$13,$K119-1,X$14)*$H119</f>
        <v>0</v>
      </c>
      <c r="Y119" s="9"/>
      <c r="Z119" s="22">
        <f ca="1">OFFSET('Trans Factors'!$B$13,$O119-1,Z$14)*$L119+OFFSET('Trans Factors'!$B$13,$K119-1,Z$14)*$H119</f>
        <v>0</v>
      </c>
      <c r="AA119" s="22"/>
      <c r="AB119" s="22">
        <f ca="1">OFFSET('Trans Factors'!$B$13,$O119-1,AB$14)*$L119+OFFSET('Trans Factors'!$B$13,$K119-1,AB$14)*$H119</f>
        <v>1104.2779834838057</v>
      </c>
      <c r="AD119" s="22">
        <f t="shared" ca="1" si="100"/>
        <v>1104.2779834838057</v>
      </c>
      <c r="AF119" s="35"/>
      <c r="AI119" s="243">
        <f ca="1">Function!AJ119</f>
        <v>0</v>
      </c>
      <c r="AJ119" s="242">
        <f t="shared" ca="1" si="103"/>
        <v>0</v>
      </c>
      <c r="AL119" s="199">
        <f t="shared" ca="1" si="104"/>
        <v>0</v>
      </c>
      <c r="AM119" s="199"/>
      <c r="AN119" s="199">
        <f t="shared" ca="1" si="105"/>
        <v>0</v>
      </c>
      <c r="AO119" s="199"/>
      <c r="AP119" s="199">
        <f t="shared" ca="1" si="106"/>
        <v>0</v>
      </c>
      <c r="AQ119" s="199"/>
      <c r="AR119" s="199">
        <f t="shared" ca="1" si="107"/>
        <v>0</v>
      </c>
      <c r="AS119" s="199"/>
      <c r="AT119" s="199">
        <f t="shared" ca="1" si="108"/>
        <v>0</v>
      </c>
      <c r="AU119" s="199"/>
      <c r="AV119" s="199">
        <f t="shared" ca="1" si="109"/>
        <v>0</v>
      </c>
      <c r="AW119" s="199"/>
      <c r="AX119" s="199">
        <f t="shared" ca="1" si="110"/>
        <v>0</v>
      </c>
      <c r="AZ119" s="199">
        <f t="shared" ca="1" si="111"/>
        <v>0</v>
      </c>
    </row>
    <row r="120" spans="2:52" ht="13" x14ac:dyDescent="0.3">
      <c r="B120" s="28">
        <f t="shared" si="102"/>
        <v>68</v>
      </c>
      <c r="D120" s="63" t="s">
        <v>382</v>
      </c>
      <c r="F120" s="113">
        <f ca="1">Function!T120</f>
        <v>0</v>
      </c>
      <c r="H120" s="200"/>
      <c r="K120" s="192">
        <f>_xlfn.IFNA(MATCH(J120,'Trans Factors'!$B$13:$B$450,0),0)</f>
        <v>0</v>
      </c>
      <c r="L120" s="113">
        <f t="shared" ca="1" si="99"/>
        <v>0</v>
      </c>
      <c r="O120" s="186">
        <f>_xlfn.IFNA(MATCH(N120,'Trans Factors'!$B$13:$B$450,0),0)</f>
        <v>0</v>
      </c>
      <c r="P120" s="22">
        <f ca="1">OFFSET('Trans Factors'!$B$13,$O120-1,P$14)*$L120+OFFSET('Trans Factors'!$B$13,$K120-1,P$14)*$H120</f>
        <v>0</v>
      </c>
      <c r="Q120" s="24"/>
      <c r="R120" s="22">
        <f ca="1">OFFSET('Trans Factors'!$B$13,$O120-1,R$14)*$L120+OFFSET('Trans Factors'!$B$13,$K120-1,R$14)*$H120</f>
        <v>0</v>
      </c>
      <c r="S120" s="22"/>
      <c r="T120" s="22">
        <f ca="1">OFFSET('Trans Factors'!$B$13,$O120-1,T$14)*$L120+OFFSET('Trans Factors'!$B$13,$K120-1,T$14)*$H120</f>
        <v>0</v>
      </c>
      <c r="U120" s="22"/>
      <c r="V120" s="22">
        <f ca="1">OFFSET('Trans Factors'!$B$13,$O120-1,V$14)*$L120+OFFSET('Trans Factors'!$B$13,$K120-1,V$14)*$H120</f>
        <v>0</v>
      </c>
      <c r="X120" s="22">
        <f ca="1">OFFSET('Trans Factors'!$B$13,$O120-1,X$14)*$L120+OFFSET('Trans Factors'!$B$13,$K120-1,X$14)*$H120</f>
        <v>0</v>
      </c>
      <c r="Y120" s="9"/>
      <c r="Z120" s="22">
        <f ca="1">OFFSET('Trans Factors'!$B$13,$O120-1,Z$14)*$L120+OFFSET('Trans Factors'!$B$13,$K120-1,Z$14)*$H120</f>
        <v>0</v>
      </c>
      <c r="AA120" s="22"/>
      <c r="AB120" s="22">
        <f ca="1">OFFSET('Trans Factors'!$B$13,$O120-1,AB$14)*$L120+OFFSET('Trans Factors'!$B$13,$K120-1,AB$14)*$H120</f>
        <v>0</v>
      </c>
      <c r="AD120" s="22">
        <f t="shared" ca="1" si="100"/>
        <v>0</v>
      </c>
      <c r="AF120" s="35" t="str">
        <f t="shared" ref="AF120:AF180" ca="1" si="112">IF(ROUND(F120,4)=ROUND(AD120,4), "", "check")</f>
        <v/>
      </c>
      <c r="AI120" s="243">
        <f ca="1">Function!AJ120</f>
        <v>0</v>
      </c>
      <c r="AJ120" s="242">
        <f t="shared" ca="1" si="103"/>
        <v>0</v>
      </c>
      <c r="AL120" s="199">
        <f t="shared" ca="1" si="104"/>
        <v>0</v>
      </c>
      <c r="AM120" s="199"/>
      <c r="AN120" s="199">
        <f t="shared" ca="1" si="105"/>
        <v>0</v>
      </c>
      <c r="AO120" s="199"/>
      <c r="AP120" s="199">
        <f t="shared" ca="1" si="106"/>
        <v>0</v>
      </c>
      <c r="AQ120" s="199"/>
      <c r="AR120" s="199">
        <f t="shared" ca="1" si="107"/>
        <v>0</v>
      </c>
      <c r="AS120" s="199"/>
      <c r="AT120" s="199">
        <f t="shared" ca="1" si="108"/>
        <v>0</v>
      </c>
      <c r="AU120" s="199"/>
      <c r="AV120" s="199">
        <f t="shared" ca="1" si="109"/>
        <v>0</v>
      </c>
      <c r="AW120" s="199"/>
      <c r="AX120" s="199">
        <f t="shared" ca="1" si="110"/>
        <v>0</v>
      </c>
      <c r="AZ120" s="199">
        <f t="shared" ca="1" si="111"/>
        <v>0</v>
      </c>
    </row>
    <row r="121" spans="2:52" ht="13" x14ac:dyDescent="0.3">
      <c r="B121" s="28">
        <f t="shared" si="102"/>
        <v>69</v>
      </c>
      <c r="D121" s="63" t="s">
        <v>228</v>
      </c>
      <c r="F121" s="113">
        <f ca="1">Function!T121</f>
        <v>17612.274764011701</v>
      </c>
      <c r="H121" s="200"/>
      <c r="K121" s="192">
        <f>_xlfn.IFNA(MATCH(J121,'Trans Factors'!$B$13:$B$450,0),0)</f>
        <v>0</v>
      </c>
      <c r="L121" s="113">
        <f t="shared" ref="L121" ca="1" si="113">F121-H121</f>
        <v>17612.274764011701</v>
      </c>
      <c r="N121" s="78" t="s">
        <v>389</v>
      </c>
      <c r="O121" s="186">
        <f>_xlfn.IFNA(MATCH(N121,'Trans Factors'!$B$13:$B$450,0),0)</f>
        <v>5</v>
      </c>
      <c r="P121" s="22">
        <f ca="1">OFFSET('Trans Factors'!$B$13,$O121-1,P$14)*$L121+OFFSET('Trans Factors'!$B$13,$K121-1,P$14)*$H121</f>
        <v>0</v>
      </c>
      <c r="Q121" s="24"/>
      <c r="R121" s="22">
        <f ca="1">OFFSET('Trans Factors'!$B$13,$O121-1,R$14)*$L121+OFFSET('Trans Factors'!$B$13,$K121-1,R$14)*$H121</f>
        <v>0</v>
      </c>
      <c r="S121" s="22"/>
      <c r="T121" s="22">
        <f ca="1">OFFSET('Trans Factors'!$B$13,$O121-1,T$14)*$L121+OFFSET('Trans Factors'!$B$13,$K121-1,T$14)*$H121</f>
        <v>0</v>
      </c>
      <c r="U121" s="22"/>
      <c r="V121" s="22">
        <f ca="1">OFFSET('Trans Factors'!$B$13,$O121-1,V$14)*$L121+OFFSET('Trans Factors'!$B$13,$K121-1,V$14)*$H121</f>
        <v>17612.274764011701</v>
      </c>
      <c r="X121" s="22">
        <f ca="1">OFFSET('Trans Factors'!$B$13,$O121-1,X$14)*$L121+OFFSET('Trans Factors'!$B$13,$K121-1,X$14)*$H121</f>
        <v>0</v>
      </c>
      <c r="Y121" s="9"/>
      <c r="Z121" s="22">
        <f ca="1">OFFSET('Trans Factors'!$B$13,$O121-1,Z$14)*$L121+OFFSET('Trans Factors'!$B$13,$K121-1,Z$14)*$H121</f>
        <v>0</v>
      </c>
      <c r="AA121" s="22"/>
      <c r="AB121" s="22">
        <f ca="1">OFFSET('Trans Factors'!$B$13,$O121-1,AB$14)*$L121+OFFSET('Trans Factors'!$B$13,$K121-1,AB$14)*$H121</f>
        <v>0</v>
      </c>
      <c r="AD121" s="22">
        <f t="shared" ref="AD121" ca="1" si="114">P121+R121+T121+V121+X121+Z121+AB121</f>
        <v>17612.274764011701</v>
      </c>
      <c r="AF121" s="35"/>
      <c r="AI121" s="243">
        <f ca="1">Function!AJ121</f>
        <v>0</v>
      </c>
      <c r="AJ121" s="242">
        <f t="shared" ca="1" si="103"/>
        <v>0</v>
      </c>
      <c r="AL121" s="199">
        <f t="shared" ca="1" si="104"/>
        <v>0</v>
      </c>
      <c r="AM121" s="199"/>
      <c r="AN121" s="199">
        <f t="shared" ca="1" si="105"/>
        <v>0</v>
      </c>
      <c r="AO121" s="199"/>
      <c r="AP121" s="199">
        <f t="shared" ca="1" si="106"/>
        <v>0</v>
      </c>
      <c r="AQ121" s="199"/>
      <c r="AR121" s="199">
        <f t="shared" ca="1" si="107"/>
        <v>0</v>
      </c>
      <c r="AS121" s="199"/>
      <c r="AT121" s="199">
        <f t="shared" ca="1" si="108"/>
        <v>0</v>
      </c>
      <c r="AU121" s="199"/>
      <c r="AV121" s="199">
        <f t="shared" ca="1" si="109"/>
        <v>0</v>
      </c>
      <c r="AW121" s="199"/>
      <c r="AX121" s="199">
        <f t="shared" ca="1" si="110"/>
        <v>0</v>
      </c>
      <c r="AZ121" s="199">
        <f t="shared" ca="1" si="111"/>
        <v>0</v>
      </c>
    </row>
    <row r="122" spans="2:52" ht="13" x14ac:dyDescent="0.3">
      <c r="B122" s="28">
        <f t="shared" si="102"/>
        <v>70</v>
      </c>
      <c r="D122" s="63" t="s">
        <v>140</v>
      </c>
      <c r="F122" s="113">
        <f ca="1">Function!T122</f>
        <v>1285.4070408906441</v>
      </c>
      <c r="H122" s="200"/>
      <c r="K122" s="192">
        <f>_xlfn.IFNA(MATCH(J122,'Trans Factors'!$B$13:$B$450,0),0)</f>
        <v>0</v>
      </c>
      <c r="L122" s="113">
        <f t="shared" ca="1" si="99"/>
        <v>1285.4070408906441</v>
      </c>
      <c r="N122" s="112" t="s">
        <v>260</v>
      </c>
      <c r="O122" s="186">
        <f>_xlfn.IFNA(MATCH(N122,'Trans Factors'!$B$13:$B$450,0),0)</f>
        <v>8</v>
      </c>
      <c r="P122" s="22">
        <f ca="1">OFFSET('Trans Factors'!$B$13,$O122-1,P$14)*$L122+OFFSET('Trans Factors'!$B$13,$K122-1,P$14)*$H122</f>
        <v>0</v>
      </c>
      <c r="Q122" s="24"/>
      <c r="R122" s="22">
        <f ca="1">OFFSET('Trans Factors'!$B$13,$O122-1,R$14)*$L122+OFFSET('Trans Factors'!$B$13,$K122-1,R$14)*$H122</f>
        <v>0</v>
      </c>
      <c r="S122" s="22"/>
      <c r="T122" s="22">
        <f ca="1">OFFSET('Trans Factors'!$B$13,$O122-1,T$14)*$L122+OFFSET('Trans Factors'!$B$13,$K122-1,T$14)*$H122</f>
        <v>0</v>
      </c>
      <c r="U122" s="22"/>
      <c r="V122" s="22">
        <f ca="1">OFFSET('Trans Factors'!$B$13,$O122-1,V$14)*$L122+OFFSET('Trans Factors'!$B$13,$K122-1,V$14)*$H122</f>
        <v>0</v>
      </c>
      <c r="X122" s="22">
        <f ca="1">OFFSET('Trans Factors'!$B$13,$O122-1,X$14)*$L122+OFFSET('Trans Factors'!$B$13,$K122-1,X$14)*$H122</f>
        <v>0</v>
      </c>
      <c r="Y122" s="9"/>
      <c r="Z122" s="22">
        <f ca="1">OFFSET('Trans Factors'!$B$13,$O122-1,Z$14)*$L122+OFFSET('Trans Factors'!$B$13,$K122-1,Z$14)*$H122</f>
        <v>1285.4070408906441</v>
      </c>
      <c r="AA122" s="22"/>
      <c r="AB122" s="22">
        <f ca="1">OFFSET('Trans Factors'!$B$13,$O122-1,AB$14)*$L122+OFFSET('Trans Factors'!$B$13,$K122-1,AB$14)*$H122</f>
        <v>0</v>
      </c>
      <c r="AD122" s="22">
        <f t="shared" ca="1" si="100"/>
        <v>1285.4070408906441</v>
      </c>
      <c r="AF122" s="35" t="str">
        <f t="shared" ca="1" si="112"/>
        <v/>
      </c>
      <c r="AI122" s="243">
        <f ca="1">Function!AJ122</f>
        <v>0</v>
      </c>
      <c r="AJ122" s="242">
        <f t="shared" ca="1" si="103"/>
        <v>0</v>
      </c>
      <c r="AL122" s="199">
        <f t="shared" ca="1" si="104"/>
        <v>0</v>
      </c>
      <c r="AM122" s="199"/>
      <c r="AN122" s="199">
        <f t="shared" ca="1" si="105"/>
        <v>0</v>
      </c>
      <c r="AO122" s="199"/>
      <c r="AP122" s="199">
        <f t="shared" ca="1" si="106"/>
        <v>0</v>
      </c>
      <c r="AQ122" s="199"/>
      <c r="AR122" s="199">
        <f t="shared" ca="1" si="107"/>
        <v>0</v>
      </c>
      <c r="AS122" s="199"/>
      <c r="AT122" s="199">
        <f t="shared" ca="1" si="108"/>
        <v>0</v>
      </c>
      <c r="AU122" s="199"/>
      <c r="AV122" s="199">
        <f t="shared" ca="1" si="109"/>
        <v>0</v>
      </c>
      <c r="AW122" s="199"/>
      <c r="AX122" s="199">
        <f t="shared" ca="1" si="110"/>
        <v>0</v>
      </c>
      <c r="AZ122" s="199">
        <f t="shared" ca="1" si="111"/>
        <v>0</v>
      </c>
    </row>
    <row r="123" spans="2:52" ht="13" x14ac:dyDescent="0.3">
      <c r="B123" s="28"/>
      <c r="D123" s="97" t="s">
        <v>8</v>
      </c>
      <c r="K123" s="192"/>
      <c r="O123" s="186"/>
      <c r="AD123" s="22"/>
      <c r="AF123" s="35" t="str">
        <f t="shared" si="112"/>
        <v/>
      </c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Z123" s="199"/>
    </row>
    <row r="124" spans="2:52" ht="13" x14ac:dyDescent="0.3">
      <c r="B124" s="28">
        <f>B122+1</f>
        <v>71</v>
      </c>
      <c r="D124" s="63" t="s">
        <v>71</v>
      </c>
      <c r="F124" s="113">
        <f ca="1">Function!T124</f>
        <v>0</v>
      </c>
      <c r="H124" s="200"/>
      <c r="K124" s="192">
        <f>_xlfn.IFNA(MATCH(J124,'Trans Factors'!$B$13:$B$450,0),0)</f>
        <v>0</v>
      </c>
      <c r="L124" s="113">
        <f t="shared" ca="1" si="99"/>
        <v>0</v>
      </c>
      <c r="O124" s="186">
        <f>_xlfn.IFNA(MATCH(N124,'Trans Factors'!$B$13:$B$450,0),0)</f>
        <v>0</v>
      </c>
      <c r="P124" s="22">
        <f ca="1">OFFSET('Trans Factors'!$B$13,$O124-1,P$14)*$L124+OFFSET('Trans Factors'!$B$13,$K124-1,P$14)*$H124</f>
        <v>0</v>
      </c>
      <c r="Q124" s="24"/>
      <c r="R124" s="22">
        <f ca="1">OFFSET('Trans Factors'!$B$13,$O124-1,R$14)*$L124+OFFSET('Trans Factors'!$B$13,$K124-1,R$14)*$H124</f>
        <v>0</v>
      </c>
      <c r="S124" s="22"/>
      <c r="T124" s="22">
        <f ca="1">OFFSET('Trans Factors'!$B$13,$O124-1,T$14)*$L124+OFFSET('Trans Factors'!$B$13,$K124-1,T$14)*$H124</f>
        <v>0</v>
      </c>
      <c r="U124" s="22"/>
      <c r="V124" s="22">
        <f ca="1">OFFSET('Trans Factors'!$B$13,$O124-1,V$14)*$L124+OFFSET('Trans Factors'!$B$13,$K124-1,V$14)*$H124</f>
        <v>0</v>
      </c>
      <c r="X124" s="22">
        <f ca="1">OFFSET('Trans Factors'!$B$13,$O124-1,X$14)*$L124+OFFSET('Trans Factors'!$B$13,$K124-1,X$14)*$H124</f>
        <v>0</v>
      </c>
      <c r="Y124" s="9"/>
      <c r="Z124" s="22">
        <f ca="1">OFFSET('Trans Factors'!$B$13,$O124-1,Z$14)*$L124+OFFSET('Trans Factors'!$B$13,$K124-1,Z$14)*$H124</f>
        <v>0</v>
      </c>
      <c r="AA124" s="22"/>
      <c r="AB124" s="22">
        <f ca="1">OFFSET('Trans Factors'!$B$13,$O124-1,AB$14)*$L124+OFFSET('Trans Factors'!$B$13,$K124-1,AB$14)*$H124</f>
        <v>0</v>
      </c>
      <c r="AD124" s="22">
        <f t="shared" ca="1" si="100"/>
        <v>0</v>
      </c>
      <c r="AF124" s="35" t="str">
        <f t="shared" ca="1" si="112"/>
        <v/>
      </c>
      <c r="AI124" s="243">
        <f ca="1">Function!AJ124</f>
        <v>0</v>
      </c>
      <c r="AJ124" s="242">
        <f t="shared" ca="1" si="103"/>
        <v>0</v>
      </c>
      <c r="AL124" s="199">
        <f t="shared" ca="1" si="104"/>
        <v>0</v>
      </c>
      <c r="AM124" s="199"/>
      <c r="AN124" s="199">
        <f t="shared" ca="1" si="105"/>
        <v>0</v>
      </c>
      <c r="AO124" s="199"/>
      <c r="AP124" s="199">
        <f t="shared" ca="1" si="106"/>
        <v>0</v>
      </c>
      <c r="AQ124" s="199"/>
      <c r="AR124" s="199">
        <f t="shared" ca="1" si="107"/>
        <v>0</v>
      </c>
      <c r="AS124" s="199"/>
      <c r="AT124" s="199">
        <f t="shared" ca="1" si="108"/>
        <v>0</v>
      </c>
      <c r="AU124" s="199"/>
      <c r="AV124" s="199">
        <f t="shared" ca="1" si="109"/>
        <v>0</v>
      </c>
      <c r="AW124" s="199"/>
      <c r="AX124" s="199">
        <f t="shared" ca="1" si="110"/>
        <v>0</v>
      </c>
      <c r="AZ124" s="199">
        <f t="shared" ca="1" si="111"/>
        <v>0</v>
      </c>
    </row>
    <row r="125" spans="2:52" ht="13" x14ac:dyDescent="0.3">
      <c r="B125" s="28">
        <f t="shared" ref="B125:B131" si="115">B124+1</f>
        <v>72</v>
      </c>
      <c r="D125" s="63" t="s">
        <v>196</v>
      </c>
      <c r="F125" s="113">
        <f ca="1">Function!T125</f>
        <v>2979.4091778992783</v>
      </c>
      <c r="H125" s="200"/>
      <c r="K125" s="192">
        <f>_xlfn.IFNA(MATCH(J125,'Trans Factors'!$B$13:$B$450,0),0)</f>
        <v>0</v>
      </c>
      <c r="L125" s="113">
        <f t="shared" ca="1" si="99"/>
        <v>2979.4091778992783</v>
      </c>
      <c r="N125" s="28" t="s">
        <v>410</v>
      </c>
      <c r="O125" s="186">
        <f>_xlfn.IFNA(MATCH(N125,'Trans Factors'!$B$13:$B$450,0),0)</f>
        <v>2</v>
      </c>
      <c r="P125" s="22">
        <f ca="1">OFFSET('Trans Factors'!$B$13,$O125-1,P$14)*$L125+OFFSET('Trans Factors'!$B$13,$K125-1,P$14)*$H125</f>
        <v>0</v>
      </c>
      <c r="Q125" s="24"/>
      <c r="R125" s="22">
        <f ca="1">OFFSET('Trans Factors'!$B$13,$O125-1,R$14)*$L125+OFFSET('Trans Factors'!$B$13,$K125-1,R$14)*$H125</f>
        <v>0</v>
      </c>
      <c r="S125" s="22"/>
      <c r="T125" s="22">
        <f ca="1">OFFSET('Trans Factors'!$B$13,$O125-1,T$14)*$L125+OFFSET('Trans Factors'!$B$13,$K125-1,T$14)*$H125</f>
        <v>0</v>
      </c>
      <c r="U125" s="22"/>
      <c r="V125" s="22">
        <f ca="1">OFFSET('Trans Factors'!$B$13,$O125-1,V$14)*$L125+OFFSET('Trans Factors'!$B$13,$K125-1,V$14)*$H125</f>
        <v>2511.6370198426134</v>
      </c>
      <c r="X125" s="22">
        <f ca="1">OFFSET('Trans Factors'!$B$13,$O125-1,X$14)*$L125+OFFSET('Trans Factors'!$B$13,$K125-1,X$14)*$H125</f>
        <v>0</v>
      </c>
      <c r="Y125" s="9"/>
      <c r="Z125" s="22">
        <f ca="1">OFFSET('Trans Factors'!$B$13,$O125-1,Z$14)*$L125+OFFSET('Trans Factors'!$B$13,$K125-1,Z$14)*$H125</f>
        <v>467.77215805666503</v>
      </c>
      <c r="AA125" s="22"/>
      <c r="AB125" s="22">
        <f ca="1">OFFSET('Trans Factors'!$B$13,$O125-1,AB$14)*$L125+OFFSET('Trans Factors'!$B$13,$K125-1,AB$14)*$H125</f>
        <v>0</v>
      </c>
      <c r="AD125" s="22">
        <f t="shared" ca="1" si="100"/>
        <v>2979.4091778992783</v>
      </c>
      <c r="AF125" s="35" t="str">
        <f t="shared" ca="1" si="112"/>
        <v/>
      </c>
      <c r="AI125" s="243">
        <f ca="1">Function!AJ125</f>
        <v>1272.3132042898285</v>
      </c>
      <c r="AJ125" s="242">
        <f t="shared" ca="1" si="103"/>
        <v>0.42703540478012186</v>
      </c>
      <c r="AL125" s="199">
        <f t="shared" ca="1" si="104"/>
        <v>0</v>
      </c>
      <c r="AM125" s="199"/>
      <c r="AN125" s="199">
        <f t="shared" ca="1" si="105"/>
        <v>0</v>
      </c>
      <c r="AO125" s="199"/>
      <c r="AP125" s="199">
        <f t="shared" ca="1" si="106"/>
        <v>0</v>
      </c>
      <c r="AQ125" s="199"/>
      <c r="AR125" s="199">
        <f t="shared" ca="1" si="107"/>
        <v>1072.5579314292295</v>
      </c>
      <c r="AS125" s="199"/>
      <c r="AT125" s="199">
        <f t="shared" ca="1" si="108"/>
        <v>0</v>
      </c>
      <c r="AU125" s="199"/>
      <c r="AV125" s="199">
        <f t="shared" ca="1" si="109"/>
        <v>199.75527286059909</v>
      </c>
      <c r="AW125" s="199"/>
      <c r="AX125" s="199">
        <f t="shared" ca="1" si="110"/>
        <v>0</v>
      </c>
      <c r="AZ125" s="199">
        <f t="shared" ca="1" si="111"/>
        <v>1272.3132042898285</v>
      </c>
    </row>
    <row r="126" spans="2:52" ht="13" x14ac:dyDescent="0.3">
      <c r="B126" s="28">
        <f t="shared" si="115"/>
        <v>73</v>
      </c>
      <c r="D126" s="63" t="s">
        <v>204</v>
      </c>
      <c r="F126" s="113">
        <f ca="1">Function!T126</f>
        <v>0</v>
      </c>
      <c r="H126" s="200"/>
      <c r="K126" s="192">
        <f>_xlfn.IFNA(MATCH(J126,'Trans Factors'!$B$13:$B$450,0),0)</f>
        <v>0</v>
      </c>
      <c r="L126" s="113">
        <f t="shared" ca="1" si="99"/>
        <v>0</v>
      </c>
      <c r="O126" s="186">
        <f>_xlfn.IFNA(MATCH(N126,'Trans Factors'!$B$13:$B$450,0),0)</f>
        <v>0</v>
      </c>
      <c r="P126" s="22">
        <f ca="1">OFFSET('Trans Factors'!$B$13,$O126-1,P$14)*$L126+OFFSET('Trans Factors'!$B$13,$K126-1,P$14)*$H126</f>
        <v>0</v>
      </c>
      <c r="Q126" s="24"/>
      <c r="R126" s="22">
        <f ca="1">OFFSET('Trans Factors'!$B$13,$O126-1,R$14)*$L126+OFFSET('Trans Factors'!$B$13,$K126-1,R$14)*$H126</f>
        <v>0</v>
      </c>
      <c r="S126" s="22"/>
      <c r="T126" s="22">
        <f ca="1">OFFSET('Trans Factors'!$B$13,$O126-1,T$14)*$L126+OFFSET('Trans Factors'!$B$13,$K126-1,T$14)*$H126</f>
        <v>0</v>
      </c>
      <c r="U126" s="22"/>
      <c r="V126" s="22">
        <f ca="1">OFFSET('Trans Factors'!$B$13,$O126-1,V$14)*$L126+OFFSET('Trans Factors'!$B$13,$K126-1,V$14)*$H126</f>
        <v>0</v>
      </c>
      <c r="X126" s="22">
        <f ca="1">OFFSET('Trans Factors'!$B$13,$O126-1,X$14)*$L126+OFFSET('Trans Factors'!$B$13,$K126-1,X$14)*$H126</f>
        <v>0</v>
      </c>
      <c r="Y126" s="9"/>
      <c r="Z126" s="22">
        <f ca="1">OFFSET('Trans Factors'!$B$13,$O126-1,Z$14)*$L126+OFFSET('Trans Factors'!$B$13,$K126-1,Z$14)*$H126</f>
        <v>0</v>
      </c>
      <c r="AA126" s="22"/>
      <c r="AB126" s="22">
        <f ca="1">OFFSET('Trans Factors'!$B$13,$O126-1,AB$14)*$L126+OFFSET('Trans Factors'!$B$13,$K126-1,AB$14)*$H126</f>
        <v>0</v>
      </c>
      <c r="AD126" s="22">
        <f t="shared" ca="1" si="100"/>
        <v>0</v>
      </c>
      <c r="AF126" s="35" t="str">
        <f t="shared" ca="1" si="112"/>
        <v/>
      </c>
      <c r="AI126" s="243">
        <f ca="1">Function!AJ126</f>
        <v>0</v>
      </c>
      <c r="AJ126" s="242">
        <f t="shared" ca="1" si="103"/>
        <v>0</v>
      </c>
      <c r="AL126" s="199">
        <f t="shared" ca="1" si="104"/>
        <v>0</v>
      </c>
      <c r="AM126" s="199"/>
      <c r="AN126" s="199">
        <f t="shared" ca="1" si="105"/>
        <v>0</v>
      </c>
      <c r="AO126" s="199"/>
      <c r="AP126" s="199">
        <f t="shared" ca="1" si="106"/>
        <v>0</v>
      </c>
      <c r="AQ126" s="199"/>
      <c r="AR126" s="199">
        <f t="shared" ca="1" si="107"/>
        <v>0</v>
      </c>
      <c r="AS126" s="199"/>
      <c r="AT126" s="199">
        <f t="shared" ca="1" si="108"/>
        <v>0</v>
      </c>
      <c r="AU126" s="199"/>
      <c r="AV126" s="199">
        <f t="shared" ca="1" si="109"/>
        <v>0</v>
      </c>
      <c r="AW126" s="199"/>
      <c r="AX126" s="199">
        <f t="shared" ca="1" si="110"/>
        <v>0</v>
      </c>
      <c r="AZ126" s="199">
        <f t="shared" ca="1" si="111"/>
        <v>0</v>
      </c>
    </row>
    <row r="127" spans="2:52" ht="13" x14ac:dyDescent="0.3">
      <c r="B127" s="28">
        <f t="shared" si="115"/>
        <v>74</v>
      </c>
      <c r="D127" s="63" t="s">
        <v>224</v>
      </c>
      <c r="F127" s="113">
        <f ca="1">Function!T127</f>
        <v>2298.0747132235433</v>
      </c>
      <c r="H127" s="200"/>
      <c r="K127" s="192">
        <f>_xlfn.IFNA(MATCH(J127,'Trans Factors'!$B$13:$B$450,0),0)</f>
        <v>0</v>
      </c>
      <c r="L127" s="113">
        <f t="shared" ca="1" si="99"/>
        <v>2298.0747132235433</v>
      </c>
      <c r="N127" s="28" t="s">
        <v>410</v>
      </c>
      <c r="O127" s="186">
        <f>_xlfn.IFNA(MATCH(N127,'Trans Factors'!$B$13:$B$450,0),0)</f>
        <v>2</v>
      </c>
      <c r="P127" s="22">
        <f ca="1">OFFSET('Trans Factors'!$B$13,$O127-1,P$14)*$L127+OFFSET('Trans Factors'!$B$13,$K127-1,P$14)*$H127</f>
        <v>0</v>
      </c>
      <c r="Q127" s="24"/>
      <c r="R127" s="22">
        <f ca="1">OFFSET('Trans Factors'!$B$13,$O127-1,R$14)*$L127+OFFSET('Trans Factors'!$B$13,$K127-1,R$14)*$H127</f>
        <v>0</v>
      </c>
      <c r="S127" s="22"/>
      <c r="T127" s="22">
        <f ca="1">OFFSET('Trans Factors'!$B$13,$O127-1,T$14)*$L127+OFFSET('Trans Factors'!$B$13,$K127-1,T$14)*$H127</f>
        <v>0</v>
      </c>
      <c r="U127" s="22"/>
      <c r="V127" s="22">
        <f ca="1">OFFSET('Trans Factors'!$B$13,$O127-1,V$14)*$L127+OFFSET('Trans Factors'!$B$13,$K127-1,V$14)*$H127</f>
        <v>1937.2731905746898</v>
      </c>
      <c r="X127" s="22">
        <f ca="1">OFFSET('Trans Factors'!$B$13,$O127-1,X$14)*$L127+OFFSET('Trans Factors'!$B$13,$K127-1,X$14)*$H127</f>
        <v>0</v>
      </c>
      <c r="Y127" s="9"/>
      <c r="Z127" s="22">
        <f ca="1">OFFSET('Trans Factors'!$B$13,$O127-1,Z$14)*$L127+OFFSET('Trans Factors'!$B$13,$K127-1,Z$14)*$H127</f>
        <v>360.80152264885351</v>
      </c>
      <c r="AA127" s="22"/>
      <c r="AB127" s="22">
        <f ca="1">OFFSET('Trans Factors'!$B$13,$O127-1,AB$14)*$L127+OFFSET('Trans Factors'!$B$13,$K127-1,AB$14)*$H127</f>
        <v>0</v>
      </c>
      <c r="AD127" s="22">
        <f t="shared" ca="1" si="100"/>
        <v>2298.0747132235433</v>
      </c>
      <c r="AF127" s="35" t="str">
        <f t="shared" ca="1" si="112"/>
        <v/>
      </c>
      <c r="AI127" s="243">
        <f ca="1">Function!AJ127</f>
        <v>341.78251220876245</v>
      </c>
      <c r="AJ127" s="242">
        <f t="shared" ca="1" si="103"/>
        <v>0.14872558765913188</v>
      </c>
      <c r="AL127" s="199">
        <f t="shared" ca="1" si="104"/>
        <v>0</v>
      </c>
      <c r="AM127" s="199"/>
      <c r="AN127" s="199">
        <f t="shared" ca="1" si="105"/>
        <v>0</v>
      </c>
      <c r="AO127" s="199"/>
      <c r="AP127" s="199">
        <f t="shared" ca="1" si="106"/>
        <v>0</v>
      </c>
      <c r="AQ127" s="199"/>
      <c r="AR127" s="199">
        <f t="shared" ca="1" si="107"/>
        <v>288.12209372450212</v>
      </c>
      <c r="AS127" s="199"/>
      <c r="AT127" s="199">
        <f t="shared" ca="1" si="108"/>
        <v>0</v>
      </c>
      <c r="AU127" s="199"/>
      <c r="AV127" s="199">
        <f t="shared" ca="1" si="109"/>
        <v>53.660418484260319</v>
      </c>
      <c r="AW127" s="199"/>
      <c r="AX127" s="199">
        <f t="shared" ca="1" si="110"/>
        <v>0</v>
      </c>
      <c r="AZ127" s="199">
        <f t="shared" ca="1" si="111"/>
        <v>341.78251220876245</v>
      </c>
    </row>
    <row r="128" spans="2:52" ht="13" x14ac:dyDescent="0.3">
      <c r="B128" s="28">
        <f t="shared" si="115"/>
        <v>75</v>
      </c>
      <c r="D128" s="63" t="s">
        <v>21</v>
      </c>
      <c r="F128" s="113">
        <f ca="1">Function!T128</f>
        <v>0</v>
      </c>
      <c r="H128" s="200"/>
      <c r="K128" s="192">
        <f>_xlfn.IFNA(MATCH(J128,'Trans Factors'!$B$13:$B$450,0),0)</f>
        <v>0</v>
      </c>
      <c r="L128" s="113">
        <f t="shared" ca="1" si="99"/>
        <v>0</v>
      </c>
      <c r="O128" s="186">
        <f>_xlfn.IFNA(MATCH(N128,'Trans Factors'!$B$13:$B$450,0),0)</f>
        <v>0</v>
      </c>
      <c r="P128" s="22">
        <f ca="1">OFFSET('Trans Factors'!$B$13,$O128-1,P$14)*$L128+OFFSET('Trans Factors'!$B$13,$K128-1,P$14)*$H128</f>
        <v>0</v>
      </c>
      <c r="Q128" s="24"/>
      <c r="R128" s="22">
        <f ca="1">OFFSET('Trans Factors'!$B$13,$O128-1,R$14)*$L128+OFFSET('Trans Factors'!$B$13,$K128-1,R$14)*$H128</f>
        <v>0</v>
      </c>
      <c r="S128" s="22"/>
      <c r="T128" s="22">
        <f ca="1">OFFSET('Trans Factors'!$B$13,$O128-1,T$14)*$L128+OFFSET('Trans Factors'!$B$13,$K128-1,T$14)*$H128</f>
        <v>0</v>
      </c>
      <c r="U128" s="22"/>
      <c r="V128" s="22">
        <f ca="1">OFFSET('Trans Factors'!$B$13,$O128-1,V$14)*$L128+OFFSET('Trans Factors'!$B$13,$K128-1,V$14)*$H128</f>
        <v>0</v>
      </c>
      <c r="X128" s="22">
        <f ca="1">OFFSET('Trans Factors'!$B$13,$O128-1,X$14)*$L128+OFFSET('Trans Factors'!$B$13,$K128-1,X$14)*$H128</f>
        <v>0</v>
      </c>
      <c r="Y128" s="9"/>
      <c r="Z128" s="22">
        <f ca="1">OFFSET('Trans Factors'!$B$13,$O128-1,Z$14)*$L128+OFFSET('Trans Factors'!$B$13,$K128-1,Z$14)*$H128</f>
        <v>0</v>
      </c>
      <c r="AA128" s="22"/>
      <c r="AB128" s="22">
        <f ca="1">OFFSET('Trans Factors'!$B$13,$O128-1,AB$14)*$L128+OFFSET('Trans Factors'!$B$13,$K128-1,AB$14)*$H128</f>
        <v>0</v>
      </c>
      <c r="AD128" s="22">
        <f t="shared" ca="1" si="100"/>
        <v>0</v>
      </c>
      <c r="AF128" s="35" t="str">
        <f t="shared" ca="1" si="112"/>
        <v/>
      </c>
      <c r="AI128" s="243">
        <f ca="1">Function!AJ128</f>
        <v>0</v>
      </c>
      <c r="AJ128" s="242">
        <f t="shared" ca="1" si="103"/>
        <v>0</v>
      </c>
      <c r="AL128" s="199">
        <f t="shared" ca="1" si="104"/>
        <v>0</v>
      </c>
      <c r="AM128" s="199"/>
      <c r="AN128" s="199">
        <f t="shared" ca="1" si="105"/>
        <v>0</v>
      </c>
      <c r="AO128" s="199"/>
      <c r="AP128" s="199">
        <f t="shared" ca="1" si="106"/>
        <v>0</v>
      </c>
      <c r="AQ128" s="199"/>
      <c r="AR128" s="199">
        <f t="shared" ca="1" si="107"/>
        <v>0</v>
      </c>
      <c r="AS128" s="199"/>
      <c r="AT128" s="199">
        <f t="shared" ca="1" si="108"/>
        <v>0</v>
      </c>
      <c r="AU128" s="199"/>
      <c r="AV128" s="199">
        <f t="shared" ca="1" si="109"/>
        <v>0</v>
      </c>
      <c r="AW128" s="199"/>
      <c r="AX128" s="199">
        <f t="shared" ca="1" si="110"/>
        <v>0</v>
      </c>
      <c r="AZ128" s="199">
        <f t="shared" ca="1" si="111"/>
        <v>0</v>
      </c>
    </row>
    <row r="129" spans="2:52" ht="13" x14ac:dyDescent="0.3">
      <c r="B129" s="28">
        <f t="shared" si="115"/>
        <v>76</v>
      </c>
      <c r="D129" s="63" t="s">
        <v>225</v>
      </c>
      <c r="F129" s="113">
        <f ca="1">Function!T129</f>
        <v>0</v>
      </c>
      <c r="H129" s="200"/>
      <c r="K129" s="192">
        <f>_xlfn.IFNA(MATCH(J129,'Trans Factors'!$B$13:$B$450,0),0)</f>
        <v>0</v>
      </c>
      <c r="L129" s="113">
        <f t="shared" ca="1" si="99"/>
        <v>0</v>
      </c>
      <c r="O129" s="186">
        <f>_xlfn.IFNA(MATCH(N129,'Trans Factors'!$B$13:$B$450,0),0)</f>
        <v>0</v>
      </c>
      <c r="P129" s="22">
        <f ca="1">OFFSET('Trans Factors'!$B$13,$O129-1,P$14)*$L129+OFFSET('Trans Factors'!$B$13,$K129-1,P$14)*$H129</f>
        <v>0</v>
      </c>
      <c r="Q129" s="24"/>
      <c r="R129" s="22">
        <f ca="1">OFFSET('Trans Factors'!$B$13,$O129-1,R$14)*$L129+OFFSET('Trans Factors'!$B$13,$K129-1,R$14)*$H129</f>
        <v>0</v>
      </c>
      <c r="S129" s="22"/>
      <c r="T129" s="22">
        <f ca="1">OFFSET('Trans Factors'!$B$13,$O129-1,T$14)*$L129+OFFSET('Trans Factors'!$B$13,$K129-1,T$14)*$H129</f>
        <v>0</v>
      </c>
      <c r="U129" s="22"/>
      <c r="V129" s="22">
        <f ca="1">OFFSET('Trans Factors'!$B$13,$O129-1,V$14)*$L129+OFFSET('Trans Factors'!$B$13,$K129-1,V$14)*$H129</f>
        <v>0</v>
      </c>
      <c r="X129" s="22">
        <f ca="1">OFFSET('Trans Factors'!$B$13,$O129-1,X$14)*$L129+OFFSET('Trans Factors'!$B$13,$K129-1,X$14)*$H129</f>
        <v>0</v>
      </c>
      <c r="Y129" s="9"/>
      <c r="Z129" s="22">
        <f ca="1">OFFSET('Trans Factors'!$B$13,$O129-1,Z$14)*$L129+OFFSET('Trans Factors'!$B$13,$K129-1,Z$14)*$H129</f>
        <v>0</v>
      </c>
      <c r="AA129" s="22"/>
      <c r="AB129" s="22">
        <f ca="1">OFFSET('Trans Factors'!$B$13,$O129-1,AB$14)*$L129+OFFSET('Trans Factors'!$B$13,$K129-1,AB$14)*$H129</f>
        <v>0</v>
      </c>
      <c r="AD129" s="22">
        <f t="shared" ca="1" si="100"/>
        <v>0</v>
      </c>
      <c r="AF129" s="35" t="str">
        <f t="shared" ca="1" si="112"/>
        <v/>
      </c>
      <c r="AI129" s="243">
        <f ca="1">Function!AJ129</f>
        <v>0</v>
      </c>
      <c r="AJ129" s="242">
        <f t="shared" ca="1" si="103"/>
        <v>0</v>
      </c>
      <c r="AL129" s="199">
        <f t="shared" ca="1" si="104"/>
        <v>0</v>
      </c>
      <c r="AM129" s="199"/>
      <c r="AN129" s="199">
        <f t="shared" ca="1" si="105"/>
        <v>0</v>
      </c>
      <c r="AO129" s="199"/>
      <c r="AP129" s="199">
        <f t="shared" ca="1" si="106"/>
        <v>0</v>
      </c>
      <c r="AQ129" s="199"/>
      <c r="AR129" s="199">
        <f t="shared" ca="1" si="107"/>
        <v>0</v>
      </c>
      <c r="AS129" s="199"/>
      <c r="AT129" s="199">
        <f t="shared" ca="1" si="108"/>
        <v>0</v>
      </c>
      <c r="AU129" s="199"/>
      <c r="AV129" s="199">
        <f t="shared" ca="1" si="109"/>
        <v>0</v>
      </c>
      <c r="AW129" s="199"/>
      <c r="AX129" s="199">
        <f t="shared" ca="1" si="110"/>
        <v>0</v>
      </c>
      <c r="AZ129" s="199">
        <f t="shared" ca="1" si="111"/>
        <v>0</v>
      </c>
    </row>
    <row r="130" spans="2:52" ht="13" x14ac:dyDescent="0.3">
      <c r="B130" s="28">
        <f t="shared" si="115"/>
        <v>77</v>
      </c>
      <c r="D130" s="63" t="s">
        <v>205</v>
      </c>
      <c r="F130" s="113">
        <f ca="1">Function!T130</f>
        <v>0</v>
      </c>
      <c r="H130" s="200"/>
      <c r="K130" s="192">
        <f>_xlfn.IFNA(MATCH(J130,'Trans Factors'!$B$13:$B$450,0),0)</f>
        <v>0</v>
      </c>
      <c r="L130" s="113">
        <f t="shared" ca="1" si="99"/>
        <v>0</v>
      </c>
      <c r="O130" s="186">
        <f>_xlfn.IFNA(MATCH(N130,'Trans Factors'!$B$13:$B$450,0),0)</f>
        <v>0</v>
      </c>
      <c r="P130" s="22">
        <f ca="1">OFFSET('Trans Factors'!$B$13,$O130-1,P$14)*$L130+OFFSET('Trans Factors'!$B$13,$K130-1,P$14)*$H130</f>
        <v>0</v>
      </c>
      <c r="Q130" s="24"/>
      <c r="R130" s="22">
        <f ca="1">OFFSET('Trans Factors'!$B$13,$O130-1,R$14)*$L130+OFFSET('Trans Factors'!$B$13,$K130-1,R$14)*$H130</f>
        <v>0</v>
      </c>
      <c r="S130" s="22"/>
      <c r="T130" s="22">
        <f ca="1">OFFSET('Trans Factors'!$B$13,$O130-1,T$14)*$L130+OFFSET('Trans Factors'!$B$13,$K130-1,T$14)*$H130</f>
        <v>0</v>
      </c>
      <c r="U130" s="22"/>
      <c r="V130" s="22">
        <f ca="1">OFFSET('Trans Factors'!$B$13,$O130-1,V$14)*$L130+OFFSET('Trans Factors'!$B$13,$K130-1,V$14)*$H130</f>
        <v>0</v>
      </c>
      <c r="X130" s="22">
        <f ca="1">OFFSET('Trans Factors'!$B$13,$O130-1,X$14)*$L130+OFFSET('Trans Factors'!$B$13,$K130-1,X$14)*$H130</f>
        <v>0</v>
      </c>
      <c r="Y130" s="9"/>
      <c r="Z130" s="22">
        <f ca="1">OFFSET('Trans Factors'!$B$13,$O130-1,Z$14)*$L130+OFFSET('Trans Factors'!$B$13,$K130-1,Z$14)*$H130</f>
        <v>0</v>
      </c>
      <c r="AA130" s="22"/>
      <c r="AB130" s="22">
        <f ca="1">OFFSET('Trans Factors'!$B$13,$O130-1,AB$14)*$L130+OFFSET('Trans Factors'!$B$13,$K130-1,AB$14)*$H130</f>
        <v>0</v>
      </c>
      <c r="AD130" s="22">
        <f t="shared" ca="1" si="100"/>
        <v>0</v>
      </c>
      <c r="AF130" s="35" t="str">
        <f t="shared" ca="1" si="112"/>
        <v/>
      </c>
      <c r="AI130" s="243">
        <f ca="1">Function!AJ130</f>
        <v>0</v>
      </c>
      <c r="AJ130" s="242">
        <f t="shared" ca="1" si="103"/>
        <v>0</v>
      </c>
      <c r="AL130" s="199">
        <f t="shared" ca="1" si="104"/>
        <v>0</v>
      </c>
      <c r="AM130" s="199"/>
      <c r="AN130" s="199">
        <f t="shared" ca="1" si="105"/>
        <v>0</v>
      </c>
      <c r="AO130" s="199"/>
      <c r="AP130" s="199">
        <f t="shared" ca="1" si="106"/>
        <v>0</v>
      </c>
      <c r="AQ130" s="199"/>
      <c r="AR130" s="199">
        <f t="shared" ca="1" si="107"/>
        <v>0</v>
      </c>
      <c r="AS130" s="199"/>
      <c r="AT130" s="199">
        <f t="shared" ca="1" si="108"/>
        <v>0</v>
      </c>
      <c r="AU130" s="199"/>
      <c r="AV130" s="199">
        <f t="shared" ca="1" si="109"/>
        <v>0</v>
      </c>
      <c r="AW130" s="199"/>
      <c r="AX130" s="199">
        <f t="shared" ca="1" si="110"/>
        <v>0</v>
      </c>
      <c r="AZ130" s="199">
        <f t="shared" ca="1" si="111"/>
        <v>0</v>
      </c>
    </row>
    <row r="131" spans="2:52" ht="13" x14ac:dyDescent="0.3">
      <c r="B131" s="28">
        <f t="shared" si="115"/>
        <v>78</v>
      </c>
      <c r="D131" s="63" t="s">
        <v>226</v>
      </c>
      <c r="F131" s="113">
        <f ca="1">Function!T131</f>
        <v>0</v>
      </c>
      <c r="H131" s="200"/>
      <c r="K131" s="192">
        <f>_xlfn.IFNA(MATCH(J131,'Trans Factors'!$B$13:$B$450,0),0)</f>
        <v>0</v>
      </c>
      <c r="L131" s="113">
        <f t="shared" ca="1" si="99"/>
        <v>0</v>
      </c>
      <c r="O131" s="186">
        <f>_xlfn.IFNA(MATCH(N131,'Trans Factors'!$B$13:$B$450,0),0)</f>
        <v>0</v>
      </c>
      <c r="P131" s="22">
        <f ca="1">OFFSET('Trans Factors'!$B$13,$O131-1,P$14)*$L131+OFFSET('Trans Factors'!$B$13,$K131-1,P$14)*$H131</f>
        <v>0</v>
      </c>
      <c r="Q131" s="24"/>
      <c r="R131" s="22">
        <f ca="1">OFFSET('Trans Factors'!$B$13,$O131-1,R$14)*$L131+OFFSET('Trans Factors'!$B$13,$K131-1,R$14)*$H131</f>
        <v>0</v>
      </c>
      <c r="S131" s="22"/>
      <c r="T131" s="22">
        <f ca="1">OFFSET('Trans Factors'!$B$13,$O131-1,T$14)*$L131+OFFSET('Trans Factors'!$B$13,$K131-1,T$14)*$H131</f>
        <v>0</v>
      </c>
      <c r="U131" s="22"/>
      <c r="V131" s="22">
        <f ca="1">OFFSET('Trans Factors'!$B$13,$O131-1,V$14)*$L131+OFFSET('Trans Factors'!$B$13,$K131-1,V$14)*$H131</f>
        <v>0</v>
      </c>
      <c r="X131" s="22">
        <f ca="1">OFFSET('Trans Factors'!$B$13,$O131-1,X$14)*$L131+OFFSET('Trans Factors'!$B$13,$K131-1,X$14)*$H131</f>
        <v>0</v>
      </c>
      <c r="Y131" s="9"/>
      <c r="Z131" s="22">
        <f ca="1">OFFSET('Trans Factors'!$B$13,$O131-1,Z$14)*$L131+OFFSET('Trans Factors'!$B$13,$K131-1,Z$14)*$H131</f>
        <v>0</v>
      </c>
      <c r="AA131" s="22"/>
      <c r="AB131" s="22">
        <f ca="1">OFFSET('Trans Factors'!$B$13,$O131-1,AB$14)*$L131+OFFSET('Trans Factors'!$B$13,$K131-1,AB$14)*$H131</f>
        <v>0</v>
      </c>
      <c r="AD131" s="22">
        <f t="shared" ca="1" si="100"/>
        <v>0</v>
      </c>
      <c r="AF131" s="35" t="str">
        <f t="shared" ca="1" si="112"/>
        <v/>
      </c>
      <c r="AI131" s="243">
        <f ca="1">Function!AJ131</f>
        <v>0</v>
      </c>
      <c r="AJ131" s="242">
        <f t="shared" ca="1" si="103"/>
        <v>0</v>
      </c>
      <c r="AL131" s="199">
        <f t="shared" ca="1" si="104"/>
        <v>0</v>
      </c>
      <c r="AM131" s="199"/>
      <c r="AN131" s="199">
        <f t="shared" ca="1" si="105"/>
        <v>0</v>
      </c>
      <c r="AO131" s="199"/>
      <c r="AP131" s="199">
        <f t="shared" ca="1" si="106"/>
        <v>0</v>
      </c>
      <c r="AQ131" s="199"/>
      <c r="AR131" s="199">
        <f t="shared" ca="1" si="107"/>
        <v>0</v>
      </c>
      <c r="AS131" s="199"/>
      <c r="AT131" s="199">
        <f t="shared" ca="1" si="108"/>
        <v>0</v>
      </c>
      <c r="AU131" s="199"/>
      <c r="AV131" s="199">
        <f t="shared" ca="1" si="109"/>
        <v>0</v>
      </c>
      <c r="AW131" s="199"/>
      <c r="AX131" s="199">
        <f t="shared" ca="1" si="110"/>
        <v>0</v>
      </c>
      <c r="AZ131" s="199">
        <f t="shared" ca="1" si="111"/>
        <v>0</v>
      </c>
    </row>
    <row r="132" spans="2:52" ht="13" x14ac:dyDescent="0.3">
      <c r="B132" s="28"/>
      <c r="D132" s="97" t="s">
        <v>9</v>
      </c>
      <c r="K132" s="192"/>
      <c r="O132" s="186"/>
      <c r="AF132" s="35" t="str">
        <f t="shared" si="112"/>
        <v/>
      </c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  <c r="AW132" s="199"/>
      <c r="AX132" s="199"/>
      <c r="AZ132" s="199"/>
    </row>
    <row r="133" spans="2:52" ht="13" x14ac:dyDescent="0.3">
      <c r="B133" s="28">
        <f>B131+1</f>
        <v>79</v>
      </c>
      <c r="D133" s="97" t="s">
        <v>239</v>
      </c>
      <c r="F133" s="113">
        <f ca="1">Function!T133</f>
        <v>3740.6240013717302</v>
      </c>
      <c r="K133" s="192">
        <f>_xlfn.IFNA(MATCH(J133,'Trans Factors'!$B$13:$B$450,0),0)</f>
        <v>0</v>
      </c>
      <c r="L133" s="113">
        <f t="shared" ca="1" si="99"/>
        <v>3740.6240013717302</v>
      </c>
      <c r="N133" s="28" t="s">
        <v>399</v>
      </c>
      <c r="O133" s="186">
        <f>_xlfn.IFNA(MATCH(N133,'Trans Factors'!$B$13:$B$450,0),0)</f>
        <v>71</v>
      </c>
      <c r="P133" s="22">
        <f ca="1">OFFSET('Trans Factors'!$B$13,$O133-1,P$14)*$L133+OFFSET('Trans Factors'!$B$13,$K133-1,P$14)*$H133</f>
        <v>284.1006435600753</v>
      </c>
      <c r="Q133" s="24"/>
      <c r="R133" s="22">
        <f ca="1">OFFSET('Trans Factors'!$B$13,$O133-1,R$14)*$L133+OFFSET('Trans Factors'!$B$13,$K133-1,R$14)*$H133</f>
        <v>55.934563893653653</v>
      </c>
      <c r="S133" s="22"/>
      <c r="T133" s="22">
        <f ca="1">OFFSET('Trans Factors'!$B$13,$O133-1,T$14)*$L133+OFFSET('Trans Factors'!$B$13,$K133-1,T$14)*$H133</f>
        <v>799.60306588816411</v>
      </c>
      <c r="U133" s="22"/>
      <c r="V133" s="22">
        <f ca="1">OFFSET('Trans Factors'!$B$13,$O133-1,V$14)*$L133+OFFSET('Trans Factors'!$B$13,$K133-1,V$14)*$H133</f>
        <v>1976.0496837334213</v>
      </c>
      <c r="X133" s="22">
        <f ca="1">OFFSET('Trans Factors'!$B$13,$O133-1,X$14)*$L133+OFFSET('Trans Factors'!$B$13,$K133-1,X$14)*$H133</f>
        <v>26.500122491832368</v>
      </c>
      <c r="Y133" s="9"/>
      <c r="Z133" s="22">
        <f ca="1">OFFSET('Trans Factors'!$B$13,$O133-1,Z$14)*$L133+OFFSET('Trans Factors'!$B$13,$K133-1,Z$14)*$H133</f>
        <v>598.43592180458313</v>
      </c>
      <c r="AA133" s="22"/>
      <c r="AB133" s="22">
        <f ca="1">OFFSET('Trans Factors'!$B$13,$O133-1,AB$14)*$L133+OFFSET('Trans Factors'!$B$13,$K133-1,AB$14)*$H133</f>
        <v>0</v>
      </c>
      <c r="AD133" s="22">
        <f t="shared" ref="AD133" ca="1" si="116">P133+R133+T133+V133+X133+Z133+AB133</f>
        <v>3740.6240013717297</v>
      </c>
      <c r="AF133" s="35" t="str">
        <f t="shared" ca="1" si="112"/>
        <v/>
      </c>
      <c r="AI133" s="235">
        <f ca="1">Function!AJ133</f>
        <v>1805.5576216432</v>
      </c>
      <c r="AJ133" s="242">
        <f t="shared" ca="1" si="103"/>
        <v>0.48268888318662373</v>
      </c>
      <c r="AL133" s="199">
        <f t="shared" ca="1" si="104"/>
        <v>137.13222235261381</v>
      </c>
      <c r="AM133" s="199"/>
      <c r="AN133" s="199">
        <f t="shared" ca="1" si="105"/>
        <v>26.998992177358531</v>
      </c>
      <c r="AO133" s="199"/>
      <c r="AP133" s="199">
        <f t="shared" ca="1" si="106"/>
        <v>385.95951086615827</v>
      </c>
      <c r="AQ133" s="199"/>
      <c r="AR133" s="199">
        <f t="shared" ca="1" si="107"/>
        <v>953.81721496256614</v>
      </c>
      <c r="AS133" s="199"/>
      <c r="AT133" s="199">
        <f t="shared" ca="1" si="108"/>
        <v>12.791314529891293</v>
      </c>
      <c r="AU133" s="199"/>
      <c r="AV133" s="199">
        <f t="shared" ca="1" si="109"/>
        <v>288.85836675461189</v>
      </c>
      <c r="AW133" s="199"/>
      <c r="AX133" s="199">
        <f t="shared" ca="1" si="110"/>
        <v>0</v>
      </c>
      <c r="AZ133" s="199">
        <f t="shared" ca="1" si="111"/>
        <v>1805.5576216432</v>
      </c>
    </row>
    <row r="134" spans="2:52" ht="13" x14ac:dyDescent="0.3">
      <c r="B134" s="28">
        <f>B133+1</f>
        <v>80</v>
      </c>
      <c r="D134" s="63" t="s">
        <v>227</v>
      </c>
      <c r="F134" s="113">
        <f ca="1">Function!T134</f>
        <v>184.23818852302003</v>
      </c>
      <c r="H134" s="200"/>
      <c r="K134" s="192">
        <f>_xlfn.IFNA(MATCH(J134,'Trans Factors'!$B$13:$B$450,0),0)</f>
        <v>0</v>
      </c>
      <c r="L134" s="113">
        <f t="shared" ca="1" si="99"/>
        <v>184.23818852302003</v>
      </c>
      <c r="N134" s="28" t="s">
        <v>311</v>
      </c>
      <c r="O134" s="186">
        <f>_xlfn.IFNA(MATCH(N134,'Trans Factors'!$B$13:$B$450,0),0)</f>
        <v>41</v>
      </c>
      <c r="P134" s="22">
        <f ca="1">OFFSET('Trans Factors'!$B$13,$O134-1,P$14)*$L134+OFFSET('Trans Factors'!$B$13,$K134-1,P$14)*$H134</f>
        <v>0</v>
      </c>
      <c r="Q134" s="24"/>
      <c r="R134" s="22">
        <f ca="1">OFFSET('Trans Factors'!$B$13,$O134-1,R$14)*$L134+OFFSET('Trans Factors'!$B$13,$K134-1,R$14)*$H134</f>
        <v>9.6548234323290648E-3</v>
      </c>
      <c r="S134" s="22"/>
      <c r="T134" s="22">
        <f ca="1">OFFSET('Trans Factors'!$B$13,$O134-1,T$14)*$L134+OFFSET('Trans Factors'!$B$13,$K134-1,T$14)*$H134</f>
        <v>0.65376166799563418</v>
      </c>
      <c r="U134" s="22"/>
      <c r="V134" s="22">
        <f ca="1">OFFSET('Trans Factors'!$B$13,$O134-1,V$14)*$L134+OFFSET('Trans Factors'!$B$13,$K134-1,V$14)*$H134</f>
        <v>103.35599568052946</v>
      </c>
      <c r="X134" s="22">
        <f ca="1">OFFSET('Trans Factors'!$B$13,$O134-1,X$14)*$L134+OFFSET('Trans Factors'!$B$13,$K134-1,X$14)*$H134</f>
        <v>29.270230540554472</v>
      </c>
      <c r="Y134" s="9"/>
      <c r="Z134" s="22">
        <f ca="1">OFFSET('Trans Factors'!$B$13,$O134-1,Z$14)*$L134+OFFSET('Trans Factors'!$B$13,$K134-1,Z$14)*$H134</f>
        <v>50.948545810508158</v>
      </c>
      <c r="AA134" s="22"/>
      <c r="AB134" s="22">
        <f ca="1">OFFSET('Trans Factors'!$B$13,$O134-1,AB$14)*$L134+OFFSET('Trans Factors'!$B$13,$K134-1,AB$14)*$H134</f>
        <v>0</v>
      </c>
      <c r="AD134" s="22">
        <f t="shared" ca="1" si="100"/>
        <v>184.23818852302006</v>
      </c>
      <c r="AF134" s="35" t="str">
        <f t="shared" ca="1" si="112"/>
        <v/>
      </c>
      <c r="AI134" s="235">
        <f ca="1">Function!AJ134</f>
        <v>131.92818852177001</v>
      </c>
      <c r="AJ134" s="242">
        <f t="shared" ca="1" si="103"/>
        <v>0.71607406466269052</v>
      </c>
      <c r="AL134" s="199">
        <f t="shared" ca="1" si="104"/>
        <v>0</v>
      </c>
      <c r="AM134" s="199"/>
      <c r="AN134" s="199">
        <f t="shared" ca="1" si="105"/>
        <v>6.9135686587884623E-3</v>
      </c>
      <c r="AO134" s="199"/>
      <c r="AP134" s="199">
        <f t="shared" ca="1" si="106"/>
        <v>0.46814177492229414</v>
      </c>
      <c r="AQ134" s="199"/>
      <c r="AR134" s="199">
        <f t="shared" ca="1" si="107"/>
        <v>74.01054793421622</v>
      </c>
      <c r="AS134" s="199"/>
      <c r="AT134" s="199">
        <f t="shared" ca="1" si="108"/>
        <v>20.959652956788862</v>
      </c>
      <c r="AU134" s="199"/>
      <c r="AV134" s="199">
        <f t="shared" ca="1" si="109"/>
        <v>36.482932287183871</v>
      </c>
      <c r="AW134" s="199"/>
      <c r="AX134" s="199">
        <f t="shared" ca="1" si="110"/>
        <v>0</v>
      </c>
      <c r="AZ134" s="199">
        <f t="shared" ca="1" si="111"/>
        <v>131.92818852177004</v>
      </c>
    </row>
    <row r="135" spans="2:52" ht="13" x14ac:dyDescent="0.3">
      <c r="B135" s="28">
        <f t="shared" ref="B135:B136" si="117">B134+1</f>
        <v>81</v>
      </c>
      <c r="D135" s="63" t="s">
        <v>224</v>
      </c>
      <c r="F135" s="113">
        <f ca="1">Function!T135</f>
        <v>5613.0094337191604</v>
      </c>
      <c r="H135" s="200"/>
      <c r="K135" s="192">
        <f>_xlfn.IFNA(MATCH(J135,'Trans Factors'!$B$13:$B$450,0),0)</f>
        <v>0</v>
      </c>
      <c r="L135" s="113">
        <f t="shared" ca="1" si="99"/>
        <v>5613.0094337191604</v>
      </c>
      <c r="N135" s="28" t="s">
        <v>312</v>
      </c>
      <c r="O135" s="186">
        <f>_xlfn.IFNA(MATCH(N135,'Trans Factors'!$B$13:$B$450,0),0)</f>
        <v>14</v>
      </c>
      <c r="P135" s="22">
        <f ca="1">OFFSET('Trans Factors'!$B$13,$O135-1,P$14)*$L135+OFFSET('Trans Factors'!$B$13,$K135-1,P$14)*$H135</f>
        <v>0</v>
      </c>
      <c r="Q135" s="24"/>
      <c r="R135" s="22">
        <f ca="1">OFFSET('Trans Factors'!$B$13,$O135-1,R$14)*$L135+OFFSET('Trans Factors'!$B$13,$K135-1,R$14)*$H135</f>
        <v>0</v>
      </c>
      <c r="S135" s="22"/>
      <c r="T135" s="22">
        <f ca="1">OFFSET('Trans Factors'!$B$13,$O135-1,T$14)*$L135+OFFSET('Trans Factors'!$B$13,$K135-1,T$14)*$H135</f>
        <v>1271.2897316119947</v>
      </c>
      <c r="U135" s="22"/>
      <c r="V135" s="22">
        <f ca="1">OFFSET('Trans Factors'!$B$13,$O135-1,V$14)*$L135+OFFSET('Trans Factors'!$B$13,$K135-1,V$14)*$H135</f>
        <v>4279.8804013651588</v>
      </c>
      <c r="X135" s="22">
        <f ca="1">OFFSET('Trans Factors'!$B$13,$O135-1,X$14)*$L135+OFFSET('Trans Factors'!$B$13,$K135-1,X$14)*$H135</f>
        <v>0</v>
      </c>
      <c r="Y135" s="9"/>
      <c r="Z135" s="22">
        <f ca="1">OFFSET('Trans Factors'!$B$13,$O135-1,Z$14)*$L135+OFFSET('Trans Factors'!$B$13,$K135-1,Z$14)*$H135</f>
        <v>61.83930074200623</v>
      </c>
      <c r="AA135" s="22"/>
      <c r="AB135" s="22">
        <f ca="1">OFFSET('Trans Factors'!$B$13,$O135-1,AB$14)*$L135+OFFSET('Trans Factors'!$B$13,$K135-1,AB$14)*$H135</f>
        <v>0</v>
      </c>
      <c r="AD135" s="22">
        <f t="shared" ca="1" si="100"/>
        <v>5613.0094337191595</v>
      </c>
      <c r="AF135" s="35" t="str">
        <f t="shared" ca="1" si="112"/>
        <v/>
      </c>
      <c r="AI135" s="235">
        <f ca="1">Function!AJ135</f>
        <v>740.08452798860003</v>
      </c>
      <c r="AJ135" s="242">
        <f t="shared" ca="1" si="103"/>
        <v>0.13185164513401193</v>
      </c>
      <c r="AL135" s="199">
        <f t="shared" ca="1" si="104"/>
        <v>0</v>
      </c>
      <c r="AM135" s="199"/>
      <c r="AN135" s="199">
        <f t="shared" ca="1" si="105"/>
        <v>0</v>
      </c>
      <c r="AO135" s="199"/>
      <c r="AP135" s="199">
        <f t="shared" ca="1" si="106"/>
        <v>167.62164255501798</v>
      </c>
      <c r="AQ135" s="199"/>
      <c r="AR135" s="199">
        <f t="shared" ca="1" si="107"/>
        <v>564.30927189681142</v>
      </c>
      <c r="AS135" s="199"/>
      <c r="AT135" s="199">
        <f t="shared" ca="1" si="108"/>
        <v>0</v>
      </c>
      <c r="AU135" s="199"/>
      <c r="AV135" s="199">
        <f t="shared" ca="1" si="109"/>
        <v>8.1536135367704468</v>
      </c>
      <c r="AW135" s="199"/>
      <c r="AX135" s="199">
        <f t="shared" ca="1" si="110"/>
        <v>0</v>
      </c>
      <c r="AZ135" s="199">
        <f t="shared" ca="1" si="111"/>
        <v>740.0845279885998</v>
      </c>
    </row>
    <row r="136" spans="2:52" ht="13" x14ac:dyDescent="0.3">
      <c r="B136" s="28">
        <f t="shared" si="117"/>
        <v>82</v>
      </c>
      <c r="D136" s="63" t="s">
        <v>21</v>
      </c>
      <c r="F136" s="113">
        <f ca="1">Function!T136</f>
        <v>2500.134475710754</v>
      </c>
      <c r="H136" s="200"/>
      <c r="K136" s="192">
        <f>_xlfn.IFNA(MATCH(J136,'Trans Factors'!$B$13:$B$450,0),0)</f>
        <v>0</v>
      </c>
      <c r="L136" s="113">
        <f t="shared" ca="1" si="99"/>
        <v>2500.134475710754</v>
      </c>
      <c r="N136" s="28" t="s">
        <v>310</v>
      </c>
      <c r="O136" s="186">
        <f>_xlfn.IFNA(MATCH(N136,'Trans Factors'!$B$13:$B$450,0),0)</f>
        <v>47</v>
      </c>
      <c r="P136" s="22">
        <f ca="1">OFFSET('Trans Factors'!$B$13,$O136-1,P$14)*$L136+OFFSET('Trans Factors'!$B$13,$K136-1,P$14)*$H136</f>
        <v>630.18672633973108</v>
      </c>
      <c r="Q136" s="24"/>
      <c r="R136" s="22">
        <f ca="1">OFFSET('Trans Factors'!$B$13,$O136-1,R$14)*$L136+OFFSET('Trans Factors'!$B$13,$K136-1,R$14)*$H136</f>
        <v>124.0633471510542</v>
      </c>
      <c r="S136" s="22"/>
      <c r="T136" s="22">
        <f ca="1">OFFSET('Trans Factors'!$B$13,$O136-1,T$14)*$L136+OFFSET('Trans Factors'!$B$13,$K136-1,T$14)*$H136</f>
        <v>501.72105090722124</v>
      </c>
      <c r="U136" s="22"/>
      <c r="V136" s="22">
        <f ca="1">OFFSET('Trans Factors'!$B$13,$O136-1,V$14)*$L136+OFFSET('Trans Factors'!$B$13,$K136-1,V$14)*$H136</f>
        <v>0</v>
      </c>
      <c r="X136" s="22">
        <f ca="1">OFFSET('Trans Factors'!$B$13,$O136-1,X$14)*$L136+OFFSET('Trans Factors'!$B$13,$K136-1,X$14)*$H136</f>
        <v>29.511844823517578</v>
      </c>
      <c r="Y136" s="9"/>
      <c r="Z136" s="22">
        <f ca="1">OFFSET('Trans Factors'!$B$13,$O136-1,Z$14)*$L136+OFFSET('Trans Factors'!$B$13,$K136-1,Z$14)*$H136</f>
        <v>1214.6515064892299</v>
      </c>
      <c r="AA136" s="22"/>
      <c r="AB136" s="22">
        <f ca="1">OFFSET('Trans Factors'!$B$13,$O136-1,AB$14)*$L136+OFFSET('Trans Factors'!$B$13,$K136-1,AB$14)*$H136</f>
        <v>0</v>
      </c>
      <c r="AD136" s="22">
        <f t="shared" ca="1" si="100"/>
        <v>2500.134475710754</v>
      </c>
      <c r="AF136" s="35" t="str">
        <f t="shared" ca="1" si="112"/>
        <v/>
      </c>
      <c r="AI136" s="235">
        <f ca="1">Function!AJ136</f>
        <v>1026.9737405468377</v>
      </c>
      <c r="AJ136" s="242">
        <f t="shared" ca="1" si="103"/>
        <v>0.41076740092345759</v>
      </c>
      <c r="AL136" s="199">
        <f t="shared" ca="1" si="104"/>
        <v>258.86016367503356</v>
      </c>
      <c r="AM136" s="199"/>
      <c r="AN136" s="199">
        <f t="shared" ca="1" si="105"/>
        <v>50.961178659103183</v>
      </c>
      <c r="AO136" s="199"/>
      <c r="AP136" s="199">
        <f t="shared" ca="1" si="106"/>
        <v>206.09065206974503</v>
      </c>
      <c r="AQ136" s="199"/>
      <c r="AR136" s="199">
        <f t="shared" ca="1" si="107"/>
        <v>0</v>
      </c>
      <c r="AS136" s="199"/>
      <c r="AT136" s="199">
        <f t="shared" ca="1" si="108"/>
        <v>12.122503794612712</v>
      </c>
      <c r="AU136" s="199"/>
      <c r="AV136" s="199">
        <f t="shared" ca="1" si="109"/>
        <v>498.93924234834321</v>
      </c>
      <c r="AW136" s="199"/>
      <c r="AX136" s="199">
        <f t="shared" ca="1" si="110"/>
        <v>0</v>
      </c>
      <c r="AZ136" s="199">
        <f t="shared" ca="1" si="111"/>
        <v>1026.9737405468377</v>
      </c>
    </row>
    <row r="137" spans="2:52" ht="13" x14ac:dyDescent="0.3">
      <c r="B137" s="28"/>
      <c r="D137" s="97" t="s">
        <v>10</v>
      </c>
      <c r="K137" s="192"/>
      <c r="AF137" s="35" t="str">
        <f t="shared" si="112"/>
        <v/>
      </c>
      <c r="AJ137" s="242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  <c r="AW137" s="199"/>
      <c r="AX137" s="199"/>
      <c r="AZ137" s="199"/>
    </row>
    <row r="138" spans="2:52" ht="13" x14ac:dyDescent="0.3">
      <c r="B138" s="28">
        <f>B136+1</f>
        <v>83</v>
      </c>
      <c r="D138" s="97" t="s">
        <v>243</v>
      </c>
      <c r="K138" s="192"/>
      <c r="AF138" s="35" t="str">
        <f t="shared" si="112"/>
        <v/>
      </c>
      <c r="AI138" s="235">
        <f ca="1">Function!AJ138</f>
        <v>0</v>
      </c>
      <c r="AJ138" s="242">
        <f t="shared" ca="1" si="103"/>
        <v>0</v>
      </c>
      <c r="AL138" s="199">
        <f t="shared" ca="1" si="104"/>
        <v>0</v>
      </c>
      <c r="AM138" s="199"/>
      <c r="AN138" s="199">
        <f t="shared" ca="1" si="105"/>
        <v>0</v>
      </c>
      <c r="AO138" s="199"/>
      <c r="AP138" s="199">
        <f t="shared" ca="1" si="106"/>
        <v>0</v>
      </c>
      <c r="AQ138" s="199"/>
      <c r="AR138" s="199">
        <f t="shared" ca="1" si="107"/>
        <v>0</v>
      </c>
      <c r="AS138" s="199"/>
      <c r="AT138" s="199">
        <f t="shared" ca="1" si="108"/>
        <v>0</v>
      </c>
      <c r="AU138" s="199"/>
      <c r="AV138" s="199">
        <f t="shared" ca="1" si="109"/>
        <v>0</v>
      </c>
      <c r="AW138" s="199"/>
      <c r="AX138" s="199">
        <f t="shared" ca="1" si="110"/>
        <v>0</v>
      </c>
      <c r="AZ138" s="199">
        <f t="shared" ca="1" si="111"/>
        <v>0</v>
      </c>
    </row>
    <row r="139" spans="2:52" ht="13" x14ac:dyDescent="0.3">
      <c r="B139" s="28">
        <f>B138+1</f>
        <v>84</v>
      </c>
      <c r="D139" s="63" t="s">
        <v>229</v>
      </c>
      <c r="F139" s="113">
        <f ca="1">Function!T139</f>
        <v>0</v>
      </c>
      <c r="H139" s="200"/>
      <c r="K139" s="192">
        <f>_xlfn.IFNA(MATCH(J139,'Trans Factors'!$B$13:$B$450,0),0)</f>
        <v>0</v>
      </c>
      <c r="L139" s="113">
        <f t="shared" ca="1" si="99"/>
        <v>0</v>
      </c>
      <c r="O139" s="186">
        <f>_xlfn.IFNA(MATCH(N139,'Trans Factors'!$B$13:$B$450,0),0)</f>
        <v>0</v>
      </c>
      <c r="P139" s="22">
        <f ca="1">OFFSET('Trans Factors'!$B$13,$O139-1,P$14)*$L139+OFFSET('Trans Factors'!$B$13,$K139-1,P$14)*$H139</f>
        <v>0</v>
      </c>
      <c r="Q139" s="24"/>
      <c r="R139" s="22">
        <f ca="1">OFFSET('Trans Factors'!$B$13,$O139-1,R$14)*$L139+OFFSET('Trans Factors'!$B$13,$K139-1,R$14)*$H139</f>
        <v>0</v>
      </c>
      <c r="S139" s="22"/>
      <c r="T139" s="22">
        <f ca="1">OFFSET('Trans Factors'!$B$13,$O139-1,T$14)*$L139+OFFSET('Trans Factors'!$B$13,$K139-1,T$14)*$H139</f>
        <v>0</v>
      </c>
      <c r="U139" s="22"/>
      <c r="V139" s="22">
        <f ca="1">OFFSET('Trans Factors'!$B$13,$O139-1,V$14)*$L139+OFFSET('Trans Factors'!$B$13,$K139-1,V$14)*$H139</f>
        <v>0</v>
      </c>
      <c r="X139" s="22">
        <f ca="1">OFFSET('Trans Factors'!$B$13,$O139-1,X$14)*$L139+OFFSET('Trans Factors'!$B$13,$K139-1,X$14)*$H139</f>
        <v>0</v>
      </c>
      <c r="Y139" s="9"/>
      <c r="Z139" s="22">
        <f ca="1">OFFSET('Trans Factors'!$B$13,$O139-1,Z$14)*$L139+OFFSET('Trans Factors'!$B$13,$K139-1,Z$14)*$H139</f>
        <v>0</v>
      </c>
      <c r="AA139" s="22"/>
      <c r="AB139" s="22">
        <f ca="1">OFFSET('Trans Factors'!$B$13,$O139-1,AB$14)*$L139+OFFSET('Trans Factors'!$B$13,$K139-1,AB$14)*$H139</f>
        <v>0</v>
      </c>
      <c r="AD139" s="22">
        <f t="shared" ca="1" si="100"/>
        <v>0</v>
      </c>
      <c r="AF139" s="35" t="str">
        <f t="shared" ca="1" si="112"/>
        <v/>
      </c>
      <c r="AI139" s="235">
        <f ca="1">Function!AJ139</f>
        <v>0</v>
      </c>
      <c r="AJ139" s="242">
        <f t="shared" ca="1" si="103"/>
        <v>0</v>
      </c>
      <c r="AL139" s="199">
        <f t="shared" ca="1" si="104"/>
        <v>0</v>
      </c>
      <c r="AM139" s="199"/>
      <c r="AN139" s="199">
        <f t="shared" ca="1" si="105"/>
        <v>0</v>
      </c>
      <c r="AO139" s="199"/>
      <c r="AP139" s="199">
        <f t="shared" ca="1" si="106"/>
        <v>0</v>
      </c>
      <c r="AQ139" s="199"/>
      <c r="AR139" s="199">
        <f t="shared" ca="1" si="107"/>
        <v>0</v>
      </c>
      <c r="AS139" s="199"/>
      <c r="AT139" s="199">
        <f t="shared" ca="1" si="108"/>
        <v>0</v>
      </c>
      <c r="AU139" s="199"/>
      <c r="AV139" s="199">
        <f t="shared" ca="1" si="109"/>
        <v>0</v>
      </c>
      <c r="AW139" s="199"/>
      <c r="AX139" s="199">
        <f t="shared" ca="1" si="110"/>
        <v>0</v>
      </c>
      <c r="AZ139" s="199">
        <f t="shared" ca="1" si="111"/>
        <v>0</v>
      </c>
    </row>
    <row r="140" spans="2:52" ht="13" x14ac:dyDescent="0.3">
      <c r="B140" s="28">
        <f t="shared" ref="B140:B143" si="118">B139+1</f>
        <v>85</v>
      </c>
      <c r="D140" s="63" t="s">
        <v>203</v>
      </c>
      <c r="F140" s="113">
        <f ca="1">Function!T140</f>
        <v>0</v>
      </c>
      <c r="H140" s="200"/>
      <c r="K140" s="192">
        <f>_xlfn.IFNA(MATCH(J140,'Trans Factors'!$B$13:$B$450,0),0)</f>
        <v>0</v>
      </c>
      <c r="L140" s="113">
        <f t="shared" ca="1" si="99"/>
        <v>0</v>
      </c>
      <c r="O140" s="186">
        <f>_xlfn.IFNA(MATCH(N140,'Trans Factors'!$B$13:$B$450,0),0)</f>
        <v>0</v>
      </c>
      <c r="P140" s="22">
        <f ca="1">OFFSET('Trans Factors'!$B$13,$O140-1,P$14)*$L140+OFFSET('Trans Factors'!$B$13,$K140-1,P$14)*$H140</f>
        <v>0</v>
      </c>
      <c r="Q140" s="24"/>
      <c r="R140" s="22">
        <f ca="1">OFFSET('Trans Factors'!$B$13,$O140-1,R$14)*$L140+OFFSET('Trans Factors'!$B$13,$K140-1,R$14)*$H140</f>
        <v>0</v>
      </c>
      <c r="S140" s="22"/>
      <c r="T140" s="22">
        <f ca="1">OFFSET('Trans Factors'!$B$13,$O140-1,T$14)*$L140+OFFSET('Trans Factors'!$B$13,$K140-1,T$14)*$H140</f>
        <v>0</v>
      </c>
      <c r="U140" s="22"/>
      <c r="V140" s="22">
        <f ca="1">OFFSET('Trans Factors'!$B$13,$O140-1,V$14)*$L140+OFFSET('Trans Factors'!$B$13,$K140-1,V$14)*$H140</f>
        <v>0</v>
      </c>
      <c r="X140" s="22">
        <f ca="1">OFFSET('Trans Factors'!$B$13,$O140-1,X$14)*$L140+OFFSET('Trans Factors'!$B$13,$K140-1,X$14)*$H140</f>
        <v>0</v>
      </c>
      <c r="Y140" s="9"/>
      <c r="Z140" s="22">
        <f ca="1">OFFSET('Trans Factors'!$B$13,$O140-1,Z$14)*$L140+OFFSET('Trans Factors'!$B$13,$K140-1,Z$14)*$H140</f>
        <v>0</v>
      </c>
      <c r="AA140" s="22"/>
      <c r="AB140" s="22">
        <f ca="1">OFFSET('Trans Factors'!$B$13,$O140-1,AB$14)*$L140+OFFSET('Trans Factors'!$B$13,$K140-1,AB$14)*$H140</f>
        <v>0</v>
      </c>
      <c r="AD140" s="22">
        <f t="shared" ca="1" si="100"/>
        <v>0</v>
      </c>
      <c r="AF140" s="35" t="str">
        <f t="shared" ca="1" si="112"/>
        <v/>
      </c>
      <c r="AI140" s="235">
        <f ca="1">Function!AJ140</f>
        <v>0</v>
      </c>
      <c r="AJ140" s="242">
        <f t="shared" ca="1" si="103"/>
        <v>0</v>
      </c>
      <c r="AL140" s="199">
        <f t="shared" ca="1" si="104"/>
        <v>0</v>
      </c>
      <c r="AM140" s="199"/>
      <c r="AN140" s="199">
        <f t="shared" ca="1" si="105"/>
        <v>0</v>
      </c>
      <c r="AO140" s="199"/>
      <c r="AP140" s="199">
        <f t="shared" ca="1" si="106"/>
        <v>0</v>
      </c>
      <c r="AQ140" s="199"/>
      <c r="AR140" s="199">
        <f t="shared" ca="1" si="107"/>
        <v>0</v>
      </c>
      <c r="AS140" s="199"/>
      <c r="AT140" s="199">
        <f t="shared" ca="1" si="108"/>
        <v>0</v>
      </c>
      <c r="AU140" s="199"/>
      <c r="AV140" s="199">
        <f t="shared" ca="1" si="109"/>
        <v>0</v>
      </c>
      <c r="AW140" s="199"/>
      <c r="AX140" s="199">
        <f t="shared" ca="1" si="110"/>
        <v>0</v>
      </c>
      <c r="AZ140" s="199">
        <f t="shared" ca="1" si="111"/>
        <v>0</v>
      </c>
    </row>
    <row r="141" spans="2:52" ht="13" x14ac:dyDescent="0.3">
      <c r="B141" s="28">
        <f t="shared" si="118"/>
        <v>86</v>
      </c>
      <c r="D141" s="63" t="s">
        <v>230</v>
      </c>
      <c r="F141" s="113">
        <f ca="1">Function!T141</f>
        <v>0</v>
      </c>
      <c r="H141" s="200"/>
      <c r="K141" s="192">
        <f>_xlfn.IFNA(MATCH(J141,'Trans Factors'!$B$13:$B$450,0),0)</f>
        <v>0</v>
      </c>
      <c r="L141" s="113">
        <f t="shared" ca="1" si="99"/>
        <v>0</v>
      </c>
      <c r="O141" s="186">
        <f>_xlfn.IFNA(MATCH(N141,'Trans Factors'!$B$13:$B$450,0),0)</f>
        <v>0</v>
      </c>
      <c r="P141" s="22">
        <f ca="1">OFFSET('Trans Factors'!$B$13,$O141-1,P$14)*$L141+OFFSET('Trans Factors'!$B$13,$K141-1,P$14)*$H141</f>
        <v>0</v>
      </c>
      <c r="Q141" s="24"/>
      <c r="R141" s="22">
        <f ca="1">OFFSET('Trans Factors'!$B$13,$O141-1,R$14)*$L141+OFFSET('Trans Factors'!$B$13,$K141-1,R$14)*$H141</f>
        <v>0</v>
      </c>
      <c r="S141" s="22"/>
      <c r="T141" s="22">
        <f ca="1">OFFSET('Trans Factors'!$B$13,$O141-1,T$14)*$L141+OFFSET('Trans Factors'!$B$13,$K141-1,T$14)*$H141</f>
        <v>0</v>
      </c>
      <c r="U141" s="22"/>
      <c r="V141" s="22">
        <f ca="1">OFFSET('Trans Factors'!$B$13,$O141-1,V$14)*$L141+OFFSET('Trans Factors'!$B$13,$K141-1,V$14)*$H141</f>
        <v>0</v>
      </c>
      <c r="X141" s="22">
        <f ca="1">OFFSET('Trans Factors'!$B$13,$O141-1,X$14)*$L141+OFFSET('Trans Factors'!$B$13,$K141-1,X$14)*$H141</f>
        <v>0</v>
      </c>
      <c r="Y141" s="9"/>
      <c r="Z141" s="22">
        <f ca="1">OFFSET('Trans Factors'!$B$13,$O141-1,Z$14)*$L141+OFFSET('Trans Factors'!$B$13,$K141-1,Z$14)*$H141</f>
        <v>0</v>
      </c>
      <c r="AA141" s="22"/>
      <c r="AB141" s="22">
        <f ca="1">OFFSET('Trans Factors'!$B$13,$O141-1,AB$14)*$L141+OFFSET('Trans Factors'!$B$13,$K141-1,AB$14)*$H141</f>
        <v>0</v>
      </c>
      <c r="AD141" s="22">
        <f t="shared" ca="1" si="100"/>
        <v>0</v>
      </c>
      <c r="AF141" s="35" t="str">
        <f t="shared" ca="1" si="112"/>
        <v/>
      </c>
      <c r="AI141" s="235">
        <f ca="1">Function!AJ141</f>
        <v>0</v>
      </c>
      <c r="AJ141" s="242">
        <f t="shared" ca="1" si="103"/>
        <v>0</v>
      </c>
      <c r="AL141" s="199">
        <f t="shared" ca="1" si="104"/>
        <v>0</v>
      </c>
      <c r="AM141" s="199"/>
      <c r="AN141" s="199">
        <f t="shared" ca="1" si="105"/>
        <v>0</v>
      </c>
      <c r="AO141" s="199"/>
      <c r="AP141" s="199">
        <f t="shared" ca="1" si="106"/>
        <v>0</v>
      </c>
      <c r="AQ141" s="199"/>
      <c r="AR141" s="199">
        <f t="shared" ca="1" si="107"/>
        <v>0</v>
      </c>
      <c r="AS141" s="199"/>
      <c r="AT141" s="199">
        <f t="shared" ca="1" si="108"/>
        <v>0</v>
      </c>
      <c r="AU141" s="199"/>
      <c r="AV141" s="199">
        <f t="shared" ca="1" si="109"/>
        <v>0</v>
      </c>
      <c r="AW141" s="199"/>
      <c r="AX141" s="199">
        <f t="shared" ca="1" si="110"/>
        <v>0</v>
      </c>
      <c r="AZ141" s="199">
        <f t="shared" ca="1" si="111"/>
        <v>0</v>
      </c>
    </row>
    <row r="142" spans="2:52" ht="13" x14ac:dyDescent="0.3">
      <c r="B142" s="28">
        <f t="shared" si="118"/>
        <v>87</v>
      </c>
      <c r="D142" s="63" t="s">
        <v>21</v>
      </c>
      <c r="F142" s="113">
        <f ca="1">Function!T142</f>
        <v>0</v>
      </c>
      <c r="H142" s="200"/>
      <c r="K142" s="192">
        <f>_xlfn.IFNA(MATCH(J142,'Trans Factors'!$B$13:$B$450,0),0)</f>
        <v>0</v>
      </c>
      <c r="L142" s="113">
        <f t="shared" ca="1" si="99"/>
        <v>0</v>
      </c>
      <c r="O142" s="186">
        <f>_xlfn.IFNA(MATCH(N142,'Trans Factors'!$B$13:$B$450,0),0)</f>
        <v>0</v>
      </c>
      <c r="P142" s="22">
        <f ca="1">OFFSET('Trans Factors'!$B$13,$O142-1,P$14)*$L142+OFFSET('Trans Factors'!$B$13,$K142-1,P$14)*$H142</f>
        <v>0</v>
      </c>
      <c r="Q142" s="24"/>
      <c r="R142" s="22">
        <f ca="1">OFFSET('Trans Factors'!$B$13,$O142-1,R$14)*$L142+OFFSET('Trans Factors'!$B$13,$K142-1,R$14)*$H142</f>
        <v>0</v>
      </c>
      <c r="S142" s="22"/>
      <c r="T142" s="22">
        <f ca="1">OFFSET('Trans Factors'!$B$13,$O142-1,T$14)*$L142+OFFSET('Trans Factors'!$B$13,$K142-1,T$14)*$H142</f>
        <v>0</v>
      </c>
      <c r="U142" s="22"/>
      <c r="V142" s="22">
        <f ca="1">OFFSET('Trans Factors'!$B$13,$O142-1,V$14)*$L142+OFFSET('Trans Factors'!$B$13,$K142-1,V$14)*$H142</f>
        <v>0</v>
      </c>
      <c r="X142" s="22">
        <f ca="1">OFFSET('Trans Factors'!$B$13,$O142-1,X$14)*$L142+OFFSET('Trans Factors'!$B$13,$K142-1,X$14)*$H142</f>
        <v>0</v>
      </c>
      <c r="Y142" s="9"/>
      <c r="Z142" s="22">
        <f ca="1">OFFSET('Trans Factors'!$B$13,$O142-1,Z$14)*$L142+OFFSET('Trans Factors'!$B$13,$K142-1,Z$14)*$H142</f>
        <v>0</v>
      </c>
      <c r="AA142" s="22"/>
      <c r="AB142" s="22">
        <f ca="1">OFFSET('Trans Factors'!$B$13,$O142-1,AB$14)*$L142+OFFSET('Trans Factors'!$B$13,$K142-1,AB$14)*$H142</f>
        <v>0</v>
      </c>
      <c r="AD142" s="22">
        <f t="shared" ca="1" si="100"/>
        <v>0</v>
      </c>
      <c r="AF142" s="35" t="str">
        <f t="shared" ca="1" si="112"/>
        <v/>
      </c>
      <c r="AI142" s="235">
        <f ca="1">Function!AJ142</f>
        <v>0</v>
      </c>
      <c r="AJ142" s="242">
        <f t="shared" ca="1" si="103"/>
        <v>0</v>
      </c>
      <c r="AL142" s="199">
        <f t="shared" ca="1" si="104"/>
        <v>0</v>
      </c>
      <c r="AM142" s="199"/>
      <c r="AN142" s="199">
        <f t="shared" ca="1" si="105"/>
        <v>0</v>
      </c>
      <c r="AO142" s="199"/>
      <c r="AP142" s="199">
        <f t="shared" ca="1" si="106"/>
        <v>0</v>
      </c>
      <c r="AQ142" s="199"/>
      <c r="AR142" s="199">
        <f t="shared" ca="1" si="107"/>
        <v>0</v>
      </c>
      <c r="AS142" s="199"/>
      <c r="AT142" s="199">
        <f t="shared" ca="1" si="108"/>
        <v>0</v>
      </c>
      <c r="AU142" s="199"/>
      <c r="AV142" s="199">
        <f t="shared" ca="1" si="109"/>
        <v>0</v>
      </c>
      <c r="AW142" s="199"/>
      <c r="AX142" s="199">
        <f t="shared" ca="1" si="110"/>
        <v>0</v>
      </c>
      <c r="AZ142" s="199">
        <f t="shared" ca="1" si="111"/>
        <v>0</v>
      </c>
    </row>
    <row r="143" spans="2:52" ht="13" x14ac:dyDescent="0.3">
      <c r="B143" s="28">
        <f t="shared" si="118"/>
        <v>88</v>
      </c>
      <c r="D143" s="63" t="s">
        <v>231</v>
      </c>
      <c r="F143" s="113">
        <f ca="1">Function!T143</f>
        <v>0</v>
      </c>
      <c r="H143" s="200"/>
      <c r="K143" s="192">
        <f>_xlfn.IFNA(MATCH(J143,'Trans Factors'!$B$13:$B$450,0),0)</f>
        <v>0</v>
      </c>
      <c r="L143" s="113">
        <f t="shared" ca="1" si="99"/>
        <v>0</v>
      </c>
      <c r="O143" s="186">
        <f>_xlfn.IFNA(MATCH(N143,'Trans Factors'!$B$13:$B$450,0),0)</f>
        <v>0</v>
      </c>
      <c r="P143" s="22">
        <f ca="1">OFFSET('Trans Factors'!$B$13,$O143-1,P$14)*$L143+OFFSET('Trans Factors'!$B$13,$K143-1,P$14)*$H143</f>
        <v>0</v>
      </c>
      <c r="Q143" s="24"/>
      <c r="R143" s="22">
        <f ca="1">OFFSET('Trans Factors'!$B$13,$O143-1,R$14)*$L143+OFFSET('Trans Factors'!$B$13,$K143-1,R$14)*$H143</f>
        <v>0</v>
      </c>
      <c r="S143" s="22"/>
      <c r="T143" s="22">
        <f ca="1">OFFSET('Trans Factors'!$B$13,$O143-1,T$14)*$L143+OFFSET('Trans Factors'!$B$13,$K143-1,T$14)*$H143</f>
        <v>0</v>
      </c>
      <c r="U143" s="22"/>
      <c r="V143" s="22">
        <f ca="1">OFFSET('Trans Factors'!$B$13,$O143-1,V$14)*$L143+OFFSET('Trans Factors'!$B$13,$K143-1,V$14)*$H143</f>
        <v>0</v>
      </c>
      <c r="X143" s="22">
        <f ca="1">OFFSET('Trans Factors'!$B$13,$O143-1,X$14)*$L143+OFFSET('Trans Factors'!$B$13,$K143-1,X$14)*$H143</f>
        <v>0</v>
      </c>
      <c r="Y143" s="9"/>
      <c r="Z143" s="22">
        <f ca="1">OFFSET('Trans Factors'!$B$13,$O143-1,Z$14)*$L143+OFFSET('Trans Factors'!$B$13,$K143-1,Z$14)*$H143</f>
        <v>0</v>
      </c>
      <c r="AA143" s="22"/>
      <c r="AB143" s="22">
        <f ca="1">OFFSET('Trans Factors'!$B$13,$O143-1,AB$14)*$L143+OFFSET('Trans Factors'!$B$13,$K143-1,AB$14)*$H143</f>
        <v>0</v>
      </c>
      <c r="AD143" s="22">
        <f t="shared" ca="1" si="100"/>
        <v>0</v>
      </c>
      <c r="AF143" s="35" t="str">
        <f t="shared" ca="1" si="112"/>
        <v/>
      </c>
      <c r="AI143" s="235">
        <f ca="1">Function!AJ143</f>
        <v>0</v>
      </c>
      <c r="AJ143" s="242">
        <f t="shared" ca="1" si="103"/>
        <v>0</v>
      </c>
      <c r="AL143" s="199">
        <f t="shared" ca="1" si="104"/>
        <v>0</v>
      </c>
      <c r="AM143" s="199"/>
      <c r="AN143" s="199">
        <f t="shared" ca="1" si="105"/>
        <v>0</v>
      </c>
      <c r="AO143" s="199"/>
      <c r="AP143" s="199">
        <f t="shared" ca="1" si="106"/>
        <v>0</v>
      </c>
      <c r="AQ143" s="199"/>
      <c r="AR143" s="199">
        <f t="shared" ca="1" si="107"/>
        <v>0</v>
      </c>
      <c r="AS143" s="199"/>
      <c r="AT143" s="199">
        <f t="shared" ca="1" si="108"/>
        <v>0</v>
      </c>
      <c r="AU143" s="199"/>
      <c r="AV143" s="199">
        <f t="shared" ca="1" si="109"/>
        <v>0</v>
      </c>
      <c r="AW143" s="199"/>
      <c r="AX143" s="199">
        <f t="shared" ca="1" si="110"/>
        <v>0</v>
      </c>
      <c r="AZ143" s="199">
        <f t="shared" ca="1" si="111"/>
        <v>0</v>
      </c>
    </row>
    <row r="144" spans="2:52" ht="13" x14ac:dyDescent="0.3">
      <c r="B144" s="28"/>
      <c r="D144" s="97" t="s">
        <v>232</v>
      </c>
      <c r="K144" s="192"/>
      <c r="O144" s="186"/>
      <c r="AF144" s="35" t="str">
        <f t="shared" si="112"/>
        <v/>
      </c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  <c r="AW144" s="199"/>
      <c r="AX144" s="199"/>
      <c r="AZ144" s="199"/>
    </row>
    <row r="145" spans="2:52" ht="13" x14ac:dyDescent="0.3">
      <c r="B145" s="28">
        <f>B143+1</f>
        <v>89</v>
      </c>
      <c r="D145" s="63" t="s">
        <v>233</v>
      </c>
      <c r="F145" s="113">
        <f ca="1">Function!T145</f>
        <v>17848.649151574664</v>
      </c>
      <c r="H145" s="200"/>
      <c r="K145" s="192">
        <f>_xlfn.IFNA(MATCH(J145,'Trans Factors'!$B$13:$B$450,0),0)</f>
        <v>0</v>
      </c>
      <c r="L145" s="113">
        <f ca="1">F145-H145</f>
        <v>17848.649151574664</v>
      </c>
      <c r="N145" s="28" t="s">
        <v>267</v>
      </c>
      <c r="O145" s="186">
        <f>_xlfn.IFNA(MATCH(N145,'Trans Factors'!$B$13:$B$450,0),0)</f>
        <v>53</v>
      </c>
      <c r="P145" s="22">
        <f ca="1">OFFSET('Trans Factors'!$B$13,$O145-1,P$14)*$L145+OFFSET('Trans Factors'!$B$13,$K145-1,P$14)*$H145</f>
        <v>367.32818732210291</v>
      </c>
      <c r="Q145" s="24"/>
      <c r="R145" s="22">
        <f ca="1">OFFSET('Trans Factors'!$B$13,$O145-1,R$14)*$L145+OFFSET('Trans Factors'!$B$13,$K145-1,R$14)*$H145</f>
        <v>41.76968705127328</v>
      </c>
      <c r="S145" s="22"/>
      <c r="T145" s="22">
        <f ca="1">OFFSET('Trans Factors'!$B$13,$O145-1,T$14)*$L145+OFFSET('Trans Factors'!$B$13,$K145-1,T$14)*$H145</f>
        <v>1956.2081958113176</v>
      </c>
      <c r="U145" s="22"/>
      <c r="V145" s="22">
        <f ca="1">OFFSET('Trans Factors'!$B$13,$O145-1,V$14)*$L145+OFFSET('Trans Factors'!$B$13,$K145-1,V$14)*$H145</f>
        <v>9152.5793405597924</v>
      </c>
      <c r="X145" s="22">
        <f ca="1">OFFSET('Trans Factors'!$B$13,$O145-1,X$14)*$L145+OFFSET('Trans Factors'!$B$13,$K145-1,X$14)*$H145</f>
        <v>2066.4524398129106</v>
      </c>
      <c r="Y145" s="9"/>
      <c r="Z145" s="22">
        <f ca="1">OFFSET('Trans Factors'!$B$13,$O145-1,Z$14)*$L145+OFFSET('Trans Factors'!$B$13,$K145-1,Z$14)*$H145</f>
        <v>4264.3113010172665</v>
      </c>
      <c r="AA145" s="22"/>
      <c r="AB145" s="22">
        <f ca="1">OFFSET('Trans Factors'!$B$13,$O145-1,AB$14)*$L145+OFFSET('Trans Factors'!$B$13,$K145-1,AB$14)*$H145</f>
        <v>0</v>
      </c>
      <c r="AD145" s="22">
        <f t="shared" ca="1" si="100"/>
        <v>17848.649151574664</v>
      </c>
      <c r="AF145" s="35" t="str">
        <f t="shared" ca="1" si="112"/>
        <v/>
      </c>
      <c r="AI145" s="235">
        <f ca="1">Function!AJ145</f>
        <v>7378.4278198031889</v>
      </c>
      <c r="AJ145" s="242">
        <f t="shared" ca="1" si="103"/>
        <v>0.41338858516092469</v>
      </c>
      <c r="AL145" s="199">
        <f t="shared" ca="1" si="104"/>
        <v>151.84927964681123</v>
      </c>
      <c r="AM145" s="199"/>
      <c r="AN145" s="199">
        <f t="shared" ca="1" si="105"/>
        <v>17.267111832740458</v>
      </c>
      <c r="AO145" s="199"/>
      <c r="AP145" s="199">
        <f t="shared" ca="1" si="106"/>
        <v>808.67413834664569</v>
      </c>
      <c r="AQ145" s="199"/>
      <c r="AR145" s="199">
        <f t="shared" ca="1" si="107"/>
        <v>3783.5718241671216</v>
      </c>
      <c r="AS145" s="199"/>
      <c r="AT145" s="199">
        <f t="shared" ca="1" si="108"/>
        <v>854.24785039660003</v>
      </c>
      <c r="AU145" s="199"/>
      <c r="AV145" s="199">
        <f t="shared" ca="1" si="109"/>
        <v>1762.8176154132698</v>
      </c>
      <c r="AW145" s="199"/>
      <c r="AX145" s="199">
        <f t="shared" ca="1" si="110"/>
        <v>0</v>
      </c>
      <c r="AZ145" s="199">
        <f t="shared" ca="1" si="111"/>
        <v>7378.4278198031889</v>
      </c>
    </row>
    <row r="146" spans="2:52" ht="13" x14ac:dyDescent="0.3">
      <c r="B146" s="28"/>
      <c r="D146" s="97" t="s">
        <v>234</v>
      </c>
      <c r="K146" s="192"/>
      <c r="O146" s="186"/>
      <c r="AF146" s="35" t="str">
        <f t="shared" si="112"/>
        <v/>
      </c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  <c r="AW146" s="199"/>
      <c r="AX146" s="199"/>
      <c r="AZ146" s="199"/>
    </row>
    <row r="147" spans="2:52" ht="13" x14ac:dyDescent="0.3">
      <c r="B147" s="28">
        <f>B145+1</f>
        <v>90</v>
      </c>
      <c r="D147" s="63" t="s">
        <v>202</v>
      </c>
      <c r="F147" s="113">
        <f ca="1">Function!T147</f>
        <v>0</v>
      </c>
      <c r="H147" s="200"/>
      <c r="K147" s="192">
        <f>_xlfn.IFNA(MATCH(J147,'Trans Factors'!$B$13:$B$450,0),0)</f>
        <v>0</v>
      </c>
      <c r="L147" s="113">
        <f t="shared" ca="1" si="99"/>
        <v>0</v>
      </c>
      <c r="O147" s="186">
        <f>_xlfn.IFNA(MATCH(N147,'Trans Factors'!$B$13:$B$450,0),0)</f>
        <v>0</v>
      </c>
      <c r="P147" s="22">
        <f ca="1">OFFSET('Trans Factors'!$B$13,$O147-1,P$14)*$L147+OFFSET('Trans Factors'!$B$13,$K147-1,P$14)*$H147</f>
        <v>0</v>
      </c>
      <c r="Q147" s="24"/>
      <c r="R147" s="22">
        <f ca="1">OFFSET('Trans Factors'!$B$13,$O147-1,R$14)*$L147+OFFSET('Trans Factors'!$B$13,$K147-1,R$14)*$H147</f>
        <v>0</v>
      </c>
      <c r="S147" s="22"/>
      <c r="T147" s="22">
        <f ca="1">OFFSET('Trans Factors'!$B$13,$O147-1,T$14)*$L147+OFFSET('Trans Factors'!$B$13,$K147-1,T$14)*$H147</f>
        <v>0</v>
      </c>
      <c r="U147" s="22"/>
      <c r="V147" s="22">
        <f ca="1">OFFSET('Trans Factors'!$B$13,$O147-1,V$14)*$L147+OFFSET('Trans Factors'!$B$13,$K147-1,V$14)*$H147</f>
        <v>0</v>
      </c>
      <c r="X147" s="22">
        <f ca="1">OFFSET('Trans Factors'!$B$13,$O147-1,X$14)*$L147+OFFSET('Trans Factors'!$B$13,$K147-1,X$14)*$H147</f>
        <v>0</v>
      </c>
      <c r="Y147" s="9"/>
      <c r="Z147" s="22">
        <f ca="1">OFFSET('Trans Factors'!$B$13,$O147-1,Z$14)*$L147+OFFSET('Trans Factors'!$B$13,$K147-1,Z$14)*$H147</f>
        <v>0</v>
      </c>
      <c r="AA147" s="22"/>
      <c r="AB147" s="22">
        <f ca="1">OFFSET('Trans Factors'!$B$13,$O147-1,AB$14)*$L147+OFFSET('Trans Factors'!$B$13,$K147-1,AB$14)*$H147</f>
        <v>0</v>
      </c>
      <c r="AD147" s="22">
        <f t="shared" ca="1" si="100"/>
        <v>0</v>
      </c>
      <c r="AF147" s="35" t="str">
        <f t="shared" ca="1" si="112"/>
        <v/>
      </c>
      <c r="AI147" s="235">
        <f ca="1">Function!AJ147</f>
        <v>0</v>
      </c>
      <c r="AJ147" s="242">
        <f t="shared" ca="1" si="103"/>
        <v>0</v>
      </c>
      <c r="AL147" s="199">
        <f t="shared" ca="1" si="104"/>
        <v>0</v>
      </c>
      <c r="AM147" s="199"/>
      <c r="AN147" s="199">
        <f t="shared" ca="1" si="105"/>
        <v>0</v>
      </c>
      <c r="AO147" s="199"/>
      <c r="AP147" s="199">
        <f t="shared" ca="1" si="106"/>
        <v>0</v>
      </c>
      <c r="AQ147" s="199"/>
      <c r="AR147" s="199">
        <f t="shared" ca="1" si="107"/>
        <v>0</v>
      </c>
      <c r="AS147" s="199"/>
      <c r="AT147" s="199">
        <f t="shared" ca="1" si="108"/>
        <v>0</v>
      </c>
      <c r="AU147" s="199"/>
      <c r="AV147" s="199">
        <f t="shared" ca="1" si="109"/>
        <v>0</v>
      </c>
      <c r="AW147" s="199"/>
      <c r="AX147" s="199">
        <f t="shared" ca="1" si="110"/>
        <v>0</v>
      </c>
      <c r="AZ147" s="199">
        <f t="shared" ca="1" si="111"/>
        <v>0</v>
      </c>
    </row>
    <row r="148" spans="2:52" ht="13" x14ac:dyDescent="0.3">
      <c r="B148" s="28">
        <f>B147+1</f>
        <v>91</v>
      </c>
      <c r="D148" s="63" t="s">
        <v>145</v>
      </c>
      <c r="F148" s="113">
        <f ca="1">Function!T148</f>
        <v>0</v>
      </c>
      <c r="H148" s="200"/>
      <c r="K148" s="192">
        <f>_xlfn.IFNA(MATCH(J148,'Trans Factors'!$B$13:$B$450,0),0)</f>
        <v>0</v>
      </c>
      <c r="L148" s="113">
        <f t="shared" ca="1" si="99"/>
        <v>0</v>
      </c>
      <c r="O148" s="186">
        <f>_xlfn.IFNA(MATCH(N148,'Trans Factors'!$B$13:$B$450,0),0)</f>
        <v>0</v>
      </c>
      <c r="P148" s="22">
        <f ca="1">OFFSET('Trans Factors'!$B$13,$O148-1,P$14)*$L148+OFFSET('Trans Factors'!$B$13,$K148-1,P$14)*$H148</f>
        <v>0</v>
      </c>
      <c r="Q148" s="24"/>
      <c r="R148" s="22">
        <f ca="1">OFFSET('Trans Factors'!$B$13,$O148-1,R$14)*$L148+OFFSET('Trans Factors'!$B$13,$K148-1,R$14)*$H148</f>
        <v>0</v>
      </c>
      <c r="S148" s="22"/>
      <c r="T148" s="22">
        <f ca="1">OFFSET('Trans Factors'!$B$13,$O148-1,T$14)*$L148+OFFSET('Trans Factors'!$B$13,$K148-1,T$14)*$H148</f>
        <v>0</v>
      </c>
      <c r="U148" s="22"/>
      <c r="V148" s="22">
        <f ca="1">OFFSET('Trans Factors'!$B$13,$O148-1,V$14)*$L148+OFFSET('Trans Factors'!$B$13,$K148-1,V$14)*$H148</f>
        <v>0</v>
      </c>
      <c r="X148" s="22">
        <f ca="1">OFFSET('Trans Factors'!$B$13,$O148-1,X$14)*$L148+OFFSET('Trans Factors'!$B$13,$K148-1,X$14)*$H148</f>
        <v>0</v>
      </c>
      <c r="Y148" s="9"/>
      <c r="Z148" s="22">
        <f ca="1">OFFSET('Trans Factors'!$B$13,$O148-1,Z$14)*$L148+OFFSET('Trans Factors'!$B$13,$K148-1,Z$14)*$H148</f>
        <v>0</v>
      </c>
      <c r="AA148" s="22"/>
      <c r="AB148" s="22">
        <f ca="1">OFFSET('Trans Factors'!$B$13,$O148-1,AB$14)*$L148+OFFSET('Trans Factors'!$B$13,$K148-1,AB$14)*$H148</f>
        <v>0</v>
      </c>
      <c r="AD148" s="22">
        <f t="shared" ca="1" si="100"/>
        <v>0</v>
      </c>
      <c r="AF148" s="35" t="str">
        <f t="shared" ca="1" si="112"/>
        <v/>
      </c>
      <c r="AI148" s="235">
        <f ca="1">Function!AJ148</f>
        <v>0</v>
      </c>
      <c r="AJ148" s="242">
        <f t="shared" ca="1" si="103"/>
        <v>0</v>
      </c>
      <c r="AL148" s="199">
        <f t="shared" ca="1" si="104"/>
        <v>0</v>
      </c>
      <c r="AM148" s="199"/>
      <c r="AN148" s="199">
        <f t="shared" ca="1" si="105"/>
        <v>0</v>
      </c>
      <c r="AO148" s="199"/>
      <c r="AP148" s="199">
        <f t="shared" ca="1" si="106"/>
        <v>0</v>
      </c>
      <c r="AQ148" s="199"/>
      <c r="AR148" s="199">
        <f t="shared" ca="1" si="107"/>
        <v>0</v>
      </c>
      <c r="AS148" s="199"/>
      <c r="AT148" s="199">
        <f t="shared" ca="1" si="108"/>
        <v>0</v>
      </c>
      <c r="AU148" s="199"/>
      <c r="AV148" s="199">
        <f t="shared" ca="1" si="109"/>
        <v>0</v>
      </c>
      <c r="AW148" s="199"/>
      <c r="AX148" s="199">
        <f t="shared" ca="1" si="110"/>
        <v>0</v>
      </c>
      <c r="AZ148" s="199">
        <f t="shared" ca="1" si="111"/>
        <v>0</v>
      </c>
    </row>
    <row r="149" spans="2:52" ht="13" x14ac:dyDescent="0.3">
      <c r="B149" s="28">
        <f t="shared" ref="B149" si="119">B148+1</f>
        <v>92</v>
      </c>
      <c r="D149" s="63" t="s">
        <v>235</v>
      </c>
      <c r="F149" s="113">
        <f ca="1">Function!T149</f>
        <v>0</v>
      </c>
      <c r="H149" s="200"/>
      <c r="K149" s="192">
        <f>_xlfn.IFNA(MATCH(J149,'Trans Factors'!$B$13:$B$450,0),0)</f>
        <v>0</v>
      </c>
      <c r="L149" s="113">
        <f t="shared" ca="1" si="99"/>
        <v>0</v>
      </c>
      <c r="O149" s="186">
        <f>_xlfn.IFNA(MATCH(N149,'Trans Factors'!$B$13:$B$450,0),0)</f>
        <v>0</v>
      </c>
      <c r="P149" s="22">
        <f ca="1">OFFSET('Trans Factors'!$B$13,$O149-1,P$14)*$L149+OFFSET('Trans Factors'!$B$13,$K149-1,P$14)*$H149</f>
        <v>0</v>
      </c>
      <c r="Q149" s="24"/>
      <c r="R149" s="22">
        <f ca="1">OFFSET('Trans Factors'!$B$13,$O149-1,R$14)*$L149+OFFSET('Trans Factors'!$B$13,$K149-1,R$14)*$H149</f>
        <v>0</v>
      </c>
      <c r="S149" s="22"/>
      <c r="T149" s="22">
        <f ca="1">OFFSET('Trans Factors'!$B$13,$O149-1,T$14)*$L149+OFFSET('Trans Factors'!$B$13,$K149-1,T$14)*$H149</f>
        <v>0</v>
      </c>
      <c r="U149" s="22"/>
      <c r="V149" s="22">
        <f ca="1">OFFSET('Trans Factors'!$B$13,$O149-1,V$14)*$L149+OFFSET('Trans Factors'!$B$13,$K149-1,V$14)*$H149</f>
        <v>0</v>
      </c>
      <c r="X149" s="22">
        <f ca="1">OFFSET('Trans Factors'!$B$13,$O149-1,X$14)*$L149+OFFSET('Trans Factors'!$B$13,$K149-1,X$14)*$H149</f>
        <v>0</v>
      </c>
      <c r="Y149" s="9"/>
      <c r="Z149" s="22">
        <f ca="1">OFFSET('Trans Factors'!$B$13,$O149-1,Z$14)*$L149+OFFSET('Trans Factors'!$B$13,$K149-1,Z$14)*$H149</f>
        <v>0</v>
      </c>
      <c r="AA149" s="22"/>
      <c r="AB149" s="22">
        <f ca="1">OFFSET('Trans Factors'!$B$13,$O149-1,AB$14)*$L149+OFFSET('Trans Factors'!$B$13,$K149-1,AB$14)*$H149</f>
        <v>0</v>
      </c>
      <c r="AD149" s="22">
        <f t="shared" ca="1" si="100"/>
        <v>0</v>
      </c>
      <c r="AF149" s="35" t="str">
        <f t="shared" ca="1" si="112"/>
        <v/>
      </c>
      <c r="AI149" s="235">
        <f ca="1">Function!AJ149</f>
        <v>0</v>
      </c>
      <c r="AJ149" s="242">
        <f t="shared" ca="1" si="103"/>
        <v>0</v>
      </c>
      <c r="AL149" s="199">
        <f t="shared" ca="1" si="104"/>
        <v>0</v>
      </c>
      <c r="AM149" s="199"/>
      <c r="AN149" s="199">
        <f t="shared" ca="1" si="105"/>
        <v>0</v>
      </c>
      <c r="AO149" s="199"/>
      <c r="AP149" s="199">
        <f t="shared" ca="1" si="106"/>
        <v>0</v>
      </c>
      <c r="AQ149" s="199"/>
      <c r="AR149" s="199">
        <f t="shared" ca="1" si="107"/>
        <v>0</v>
      </c>
      <c r="AS149" s="199"/>
      <c r="AT149" s="199">
        <f t="shared" ca="1" si="108"/>
        <v>0</v>
      </c>
      <c r="AU149" s="199"/>
      <c r="AV149" s="199">
        <f t="shared" ca="1" si="109"/>
        <v>0</v>
      </c>
      <c r="AW149" s="199"/>
      <c r="AX149" s="199">
        <f t="shared" ca="1" si="110"/>
        <v>0</v>
      </c>
      <c r="AZ149" s="199">
        <f t="shared" ca="1" si="111"/>
        <v>0</v>
      </c>
    </row>
    <row r="150" spans="2:52" ht="13" x14ac:dyDescent="0.3">
      <c r="B150" s="28"/>
      <c r="D150" s="97" t="s">
        <v>72</v>
      </c>
      <c r="K150" s="192"/>
      <c r="O150" s="186"/>
      <c r="AF150" s="35" t="str">
        <f t="shared" si="112"/>
        <v/>
      </c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  <c r="AW150" s="199"/>
      <c r="AX150" s="199"/>
      <c r="AZ150" s="199"/>
    </row>
    <row r="151" spans="2:52" ht="13" x14ac:dyDescent="0.3">
      <c r="B151" s="28">
        <f>B149+1</f>
        <v>93</v>
      </c>
      <c r="D151" s="63" t="s">
        <v>196</v>
      </c>
      <c r="F151" s="113">
        <f ca="1">Function!T151</f>
        <v>0</v>
      </c>
      <c r="H151" s="200"/>
      <c r="K151" s="192">
        <f>_xlfn.IFNA(MATCH(J151,'Trans Factors'!$B$13:$B$450,0),0)</f>
        <v>0</v>
      </c>
      <c r="L151" s="113">
        <f t="shared" ca="1" si="99"/>
        <v>0</v>
      </c>
      <c r="N151" s="28"/>
      <c r="O151" s="186">
        <f>_xlfn.IFNA(MATCH(N151,'Trans Factors'!$B$13:$B$450,0),0)</f>
        <v>0</v>
      </c>
      <c r="P151" s="22">
        <f ca="1">OFFSET('Trans Factors'!$B$13,$O151-1,P$14)*$L151+OFFSET('Trans Factors'!$B$13,$K151-1,P$14)*$H151</f>
        <v>0</v>
      </c>
      <c r="Q151" s="24"/>
      <c r="R151" s="22">
        <f ca="1">OFFSET('Trans Factors'!$B$13,$O151-1,R$14)*$L151+OFFSET('Trans Factors'!$B$13,$K151-1,R$14)*$H151</f>
        <v>0</v>
      </c>
      <c r="S151" s="22"/>
      <c r="T151" s="22">
        <f ca="1">OFFSET('Trans Factors'!$B$13,$O151-1,T$14)*$L151+OFFSET('Trans Factors'!$B$13,$K151-1,T$14)*$H151</f>
        <v>0</v>
      </c>
      <c r="U151" s="22"/>
      <c r="V151" s="22">
        <f ca="1">OFFSET('Trans Factors'!$B$13,$O151-1,V$14)*$L151+OFFSET('Trans Factors'!$B$13,$K151-1,V$14)*$H151</f>
        <v>0</v>
      </c>
      <c r="X151" s="22">
        <f ca="1">OFFSET('Trans Factors'!$B$13,$O151-1,X$14)*$L151+OFFSET('Trans Factors'!$B$13,$K151-1,X$14)*$H151</f>
        <v>0</v>
      </c>
      <c r="Y151" s="9"/>
      <c r="Z151" s="22">
        <f ca="1">OFFSET('Trans Factors'!$B$13,$O151-1,Z$14)*$L151+OFFSET('Trans Factors'!$B$13,$K151-1,Z$14)*$H151</f>
        <v>0</v>
      </c>
      <c r="AA151" s="22"/>
      <c r="AB151" s="22">
        <f ca="1">OFFSET('Trans Factors'!$B$13,$O151-1,AB$14)*$L151+OFFSET('Trans Factors'!$B$13,$K151-1,AB$14)*$H151</f>
        <v>0</v>
      </c>
      <c r="AD151" s="22">
        <f t="shared" ca="1" si="100"/>
        <v>0</v>
      </c>
      <c r="AF151" s="35" t="str">
        <f t="shared" ca="1" si="112"/>
        <v/>
      </c>
      <c r="AI151" s="235">
        <f ca="1">Function!AJ151</f>
        <v>0</v>
      </c>
      <c r="AJ151" s="242">
        <f t="shared" ca="1" si="103"/>
        <v>0</v>
      </c>
      <c r="AL151" s="199">
        <f t="shared" ca="1" si="104"/>
        <v>0</v>
      </c>
      <c r="AM151" s="199"/>
      <c r="AN151" s="199">
        <f t="shared" ca="1" si="105"/>
        <v>0</v>
      </c>
      <c r="AO151" s="199"/>
      <c r="AP151" s="199">
        <f t="shared" ca="1" si="106"/>
        <v>0</v>
      </c>
      <c r="AQ151" s="199"/>
      <c r="AR151" s="199">
        <f t="shared" ca="1" si="107"/>
        <v>0</v>
      </c>
      <c r="AS151" s="199"/>
      <c r="AT151" s="199">
        <f t="shared" ca="1" si="108"/>
        <v>0</v>
      </c>
      <c r="AU151" s="199"/>
      <c r="AV151" s="199">
        <f t="shared" ca="1" si="109"/>
        <v>0</v>
      </c>
      <c r="AW151" s="199"/>
      <c r="AX151" s="199">
        <f t="shared" ca="1" si="110"/>
        <v>0</v>
      </c>
      <c r="AZ151" s="199">
        <f t="shared" ca="1" si="111"/>
        <v>0</v>
      </c>
    </row>
    <row r="152" spans="2:52" ht="13" x14ac:dyDescent="0.3">
      <c r="B152" s="28">
        <f>B151+1</f>
        <v>94</v>
      </c>
      <c r="D152" s="63" t="s">
        <v>236</v>
      </c>
      <c r="F152" s="113">
        <f ca="1">Function!T152</f>
        <v>0</v>
      </c>
      <c r="H152" s="200"/>
      <c r="K152" s="192">
        <f>_xlfn.IFNA(MATCH(J152,'Trans Factors'!$B$13:$B$450,0),0)</f>
        <v>0</v>
      </c>
      <c r="L152" s="113">
        <f t="shared" ca="1" si="99"/>
        <v>0</v>
      </c>
      <c r="O152" s="186">
        <f>_xlfn.IFNA(MATCH(N152,'Trans Factors'!$B$13:$B$450,0),0)</f>
        <v>0</v>
      </c>
      <c r="P152" s="22">
        <f ca="1">OFFSET('Trans Factors'!$B$13,$O152-1,P$14)*$L152+OFFSET('Trans Factors'!$B$13,$K152-1,P$14)*$H152</f>
        <v>0</v>
      </c>
      <c r="Q152" s="24"/>
      <c r="R152" s="22">
        <f ca="1">OFFSET('Trans Factors'!$B$13,$O152-1,R$14)*$L152+OFFSET('Trans Factors'!$B$13,$K152-1,R$14)*$H152</f>
        <v>0</v>
      </c>
      <c r="S152" s="22"/>
      <c r="T152" s="22">
        <f ca="1">OFFSET('Trans Factors'!$B$13,$O152-1,T$14)*$L152+OFFSET('Trans Factors'!$B$13,$K152-1,T$14)*$H152</f>
        <v>0</v>
      </c>
      <c r="U152" s="22"/>
      <c r="V152" s="22">
        <f ca="1">OFFSET('Trans Factors'!$B$13,$O152-1,V$14)*$L152+OFFSET('Trans Factors'!$B$13,$K152-1,V$14)*$H152</f>
        <v>0</v>
      </c>
      <c r="X152" s="22">
        <f ca="1">OFFSET('Trans Factors'!$B$13,$O152-1,X$14)*$L152+OFFSET('Trans Factors'!$B$13,$K152-1,X$14)*$H152</f>
        <v>0</v>
      </c>
      <c r="Y152" s="9"/>
      <c r="Z152" s="22">
        <f ca="1">OFFSET('Trans Factors'!$B$13,$O152-1,Z$14)*$L152+OFFSET('Trans Factors'!$B$13,$K152-1,Z$14)*$H152</f>
        <v>0</v>
      </c>
      <c r="AA152" s="22"/>
      <c r="AB152" s="22">
        <f ca="1">OFFSET('Trans Factors'!$B$13,$O152-1,AB$14)*$L152+OFFSET('Trans Factors'!$B$13,$K152-1,AB$14)*$H152</f>
        <v>0</v>
      </c>
      <c r="AD152" s="22">
        <f t="shared" ca="1" si="100"/>
        <v>0</v>
      </c>
      <c r="AF152" s="35" t="str">
        <f t="shared" ca="1" si="112"/>
        <v/>
      </c>
      <c r="AI152" s="235">
        <f ca="1">Function!AJ152</f>
        <v>0</v>
      </c>
      <c r="AJ152" s="242">
        <f t="shared" ca="1" si="103"/>
        <v>0</v>
      </c>
      <c r="AL152" s="199">
        <f t="shared" ca="1" si="104"/>
        <v>0</v>
      </c>
      <c r="AM152" s="199"/>
      <c r="AN152" s="199">
        <f t="shared" ca="1" si="105"/>
        <v>0</v>
      </c>
      <c r="AO152" s="199"/>
      <c r="AP152" s="199">
        <f t="shared" ca="1" si="106"/>
        <v>0</v>
      </c>
      <c r="AQ152" s="199"/>
      <c r="AR152" s="199">
        <f t="shared" ca="1" si="107"/>
        <v>0</v>
      </c>
      <c r="AS152" s="199"/>
      <c r="AT152" s="199">
        <f t="shared" ca="1" si="108"/>
        <v>0</v>
      </c>
      <c r="AU152" s="199"/>
      <c r="AV152" s="199">
        <f t="shared" ca="1" si="109"/>
        <v>0</v>
      </c>
      <c r="AW152" s="199"/>
      <c r="AX152" s="199">
        <f t="shared" ca="1" si="110"/>
        <v>0</v>
      </c>
      <c r="AZ152" s="199">
        <f t="shared" ca="1" si="111"/>
        <v>0</v>
      </c>
    </row>
    <row r="153" spans="2:52" ht="13" x14ac:dyDescent="0.3">
      <c r="B153" s="28">
        <f>B152+1</f>
        <v>95</v>
      </c>
      <c r="D153" s="63" t="s">
        <v>197</v>
      </c>
      <c r="F153" s="113">
        <f ca="1">Function!T153</f>
        <v>0</v>
      </c>
      <c r="H153" s="200"/>
      <c r="K153" s="192">
        <f>_xlfn.IFNA(MATCH(J153,'Trans Factors'!$B$13:$B$450,0),0)</f>
        <v>0</v>
      </c>
      <c r="L153" s="113">
        <f t="shared" ca="1" si="99"/>
        <v>0</v>
      </c>
      <c r="O153" s="186">
        <f>_xlfn.IFNA(MATCH(N153,'Trans Factors'!$B$13:$B$450,0),0)</f>
        <v>0</v>
      </c>
      <c r="P153" s="22">
        <f ca="1">OFFSET('Trans Factors'!$B$13,$O153-1,P$14)*$L153+OFFSET('Trans Factors'!$B$13,$K153-1,P$14)*$H153</f>
        <v>0</v>
      </c>
      <c r="Q153" s="24"/>
      <c r="R153" s="22">
        <f ca="1">OFFSET('Trans Factors'!$B$13,$O153-1,R$14)*$L153+OFFSET('Trans Factors'!$B$13,$K153-1,R$14)*$H153</f>
        <v>0</v>
      </c>
      <c r="S153" s="22"/>
      <c r="T153" s="22">
        <f ca="1">OFFSET('Trans Factors'!$B$13,$O153-1,T$14)*$L153+OFFSET('Trans Factors'!$B$13,$K153-1,T$14)*$H153</f>
        <v>0</v>
      </c>
      <c r="U153" s="22"/>
      <c r="V153" s="22">
        <f ca="1">OFFSET('Trans Factors'!$B$13,$O153-1,V$14)*$L153+OFFSET('Trans Factors'!$B$13,$K153-1,V$14)*$H153</f>
        <v>0</v>
      </c>
      <c r="X153" s="22">
        <f ca="1">OFFSET('Trans Factors'!$B$13,$O153-1,X$14)*$L153+OFFSET('Trans Factors'!$B$13,$K153-1,X$14)*$H153</f>
        <v>0</v>
      </c>
      <c r="Y153" s="9"/>
      <c r="Z153" s="22">
        <f ca="1">OFFSET('Trans Factors'!$B$13,$O153-1,Z$14)*$L153+OFFSET('Trans Factors'!$B$13,$K153-1,Z$14)*$H153</f>
        <v>0</v>
      </c>
      <c r="AA153" s="22"/>
      <c r="AB153" s="22">
        <f ca="1">OFFSET('Trans Factors'!$B$13,$O153-1,AB$14)*$L153+OFFSET('Trans Factors'!$B$13,$K153-1,AB$14)*$H153</f>
        <v>0</v>
      </c>
      <c r="AD153" s="22">
        <f t="shared" ca="1" si="100"/>
        <v>0</v>
      </c>
      <c r="AF153" s="35" t="str">
        <f t="shared" ca="1" si="112"/>
        <v/>
      </c>
      <c r="AI153" s="235">
        <f ca="1">Function!AJ153</f>
        <v>0</v>
      </c>
      <c r="AJ153" s="242">
        <f t="shared" ca="1" si="103"/>
        <v>0</v>
      </c>
      <c r="AL153" s="199">
        <f t="shared" ca="1" si="104"/>
        <v>0</v>
      </c>
      <c r="AM153" s="199"/>
      <c r="AN153" s="199">
        <f t="shared" ca="1" si="105"/>
        <v>0</v>
      </c>
      <c r="AO153" s="199"/>
      <c r="AP153" s="199">
        <f t="shared" ca="1" si="106"/>
        <v>0</v>
      </c>
      <c r="AQ153" s="199"/>
      <c r="AR153" s="199">
        <f t="shared" ca="1" si="107"/>
        <v>0</v>
      </c>
      <c r="AS153" s="199"/>
      <c r="AT153" s="199">
        <f t="shared" ca="1" si="108"/>
        <v>0</v>
      </c>
      <c r="AU153" s="199"/>
      <c r="AV153" s="199">
        <f t="shared" ca="1" si="109"/>
        <v>0</v>
      </c>
      <c r="AW153" s="199"/>
      <c r="AX153" s="199">
        <f t="shared" ca="1" si="110"/>
        <v>0</v>
      </c>
      <c r="AZ153" s="199">
        <f t="shared" ca="1" si="111"/>
        <v>0</v>
      </c>
    </row>
    <row r="154" spans="2:52" ht="13" x14ac:dyDescent="0.3">
      <c r="B154" s="28">
        <f t="shared" ref="B154:B157" si="120">B153+1</f>
        <v>96</v>
      </c>
      <c r="D154" s="63" t="s">
        <v>198</v>
      </c>
      <c r="F154" s="113">
        <f ca="1">Function!T154</f>
        <v>0</v>
      </c>
      <c r="H154" s="200"/>
      <c r="K154" s="192">
        <f>_xlfn.IFNA(MATCH(J154,'Trans Factors'!$B$13:$B$450,0),0)</f>
        <v>0</v>
      </c>
      <c r="L154" s="113">
        <f t="shared" ca="1" si="99"/>
        <v>0</v>
      </c>
      <c r="O154" s="186">
        <f>_xlfn.IFNA(MATCH(N154,'Trans Factors'!$B$13:$B$450,0),0)</f>
        <v>0</v>
      </c>
      <c r="P154" s="22">
        <f ca="1">OFFSET('Trans Factors'!$B$13,$O154-1,P$14)*$L154+OFFSET('Trans Factors'!$B$13,$K154-1,P$14)*$H154</f>
        <v>0</v>
      </c>
      <c r="Q154" s="24"/>
      <c r="R154" s="22">
        <f ca="1">OFFSET('Trans Factors'!$B$13,$O154-1,R$14)*$L154+OFFSET('Trans Factors'!$B$13,$K154-1,R$14)*$H154</f>
        <v>0</v>
      </c>
      <c r="S154" s="22"/>
      <c r="T154" s="22">
        <f ca="1">OFFSET('Trans Factors'!$B$13,$O154-1,T$14)*$L154+OFFSET('Trans Factors'!$B$13,$K154-1,T$14)*$H154</f>
        <v>0</v>
      </c>
      <c r="U154" s="22"/>
      <c r="V154" s="22">
        <f ca="1">OFFSET('Trans Factors'!$B$13,$O154-1,V$14)*$L154+OFFSET('Trans Factors'!$B$13,$K154-1,V$14)*$H154</f>
        <v>0</v>
      </c>
      <c r="X154" s="22">
        <f ca="1">OFFSET('Trans Factors'!$B$13,$O154-1,X$14)*$L154+OFFSET('Trans Factors'!$B$13,$K154-1,X$14)*$H154</f>
        <v>0</v>
      </c>
      <c r="Y154" s="9"/>
      <c r="Z154" s="22">
        <f ca="1">OFFSET('Trans Factors'!$B$13,$O154-1,Z$14)*$L154+OFFSET('Trans Factors'!$B$13,$K154-1,Z$14)*$H154</f>
        <v>0</v>
      </c>
      <c r="AA154" s="22"/>
      <c r="AB154" s="22">
        <f ca="1">OFFSET('Trans Factors'!$B$13,$O154-1,AB$14)*$L154+OFFSET('Trans Factors'!$B$13,$K154-1,AB$14)*$H154</f>
        <v>0</v>
      </c>
      <c r="AD154" s="22">
        <f t="shared" ca="1" si="100"/>
        <v>0</v>
      </c>
      <c r="AF154" s="35" t="str">
        <f t="shared" ca="1" si="112"/>
        <v/>
      </c>
      <c r="AI154" s="235">
        <f ca="1">Function!AJ154</f>
        <v>0</v>
      </c>
      <c r="AJ154" s="242">
        <f t="shared" ca="1" si="103"/>
        <v>0</v>
      </c>
      <c r="AL154" s="199">
        <f t="shared" ca="1" si="104"/>
        <v>0</v>
      </c>
      <c r="AM154" s="199"/>
      <c r="AN154" s="199">
        <f t="shared" ca="1" si="105"/>
        <v>0</v>
      </c>
      <c r="AO154" s="199"/>
      <c r="AP154" s="199">
        <f t="shared" ca="1" si="106"/>
        <v>0</v>
      </c>
      <c r="AQ154" s="199"/>
      <c r="AR154" s="199">
        <f t="shared" ca="1" si="107"/>
        <v>0</v>
      </c>
      <c r="AS154" s="199"/>
      <c r="AT154" s="199">
        <f t="shared" ca="1" si="108"/>
        <v>0</v>
      </c>
      <c r="AU154" s="199"/>
      <c r="AV154" s="199">
        <f t="shared" ca="1" si="109"/>
        <v>0</v>
      </c>
      <c r="AW154" s="199"/>
      <c r="AX154" s="199">
        <f t="shared" ca="1" si="110"/>
        <v>0</v>
      </c>
      <c r="AZ154" s="199">
        <f t="shared" ca="1" si="111"/>
        <v>0</v>
      </c>
    </row>
    <row r="155" spans="2:52" ht="13" x14ac:dyDescent="0.3">
      <c r="B155" s="28">
        <f t="shared" si="120"/>
        <v>97</v>
      </c>
      <c r="D155" s="63" t="s">
        <v>199</v>
      </c>
      <c r="F155" s="113">
        <f ca="1">Function!T155</f>
        <v>0</v>
      </c>
      <c r="H155" s="200"/>
      <c r="K155" s="192">
        <f>_xlfn.IFNA(MATCH(J155,'Trans Factors'!$B$13:$B$450,0),0)</f>
        <v>0</v>
      </c>
      <c r="L155" s="113">
        <f t="shared" ca="1" si="99"/>
        <v>0</v>
      </c>
      <c r="O155" s="186">
        <f>_xlfn.IFNA(MATCH(N155,'Trans Factors'!$B$13:$B$450,0),0)</f>
        <v>0</v>
      </c>
      <c r="P155" s="22">
        <f ca="1">OFFSET('Trans Factors'!$B$13,$O155-1,P$14)*$L155+OFFSET('Trans Factors'!$B$13,$K155-1,P$14)*$H155</f>
        <v>0</v>
      </c>
      <c r="Q155" s="24"/>
      <c r="R155" s="22">
        <f ca="1">OFFSET('Trans Factors'!$B$13,$O155-1,R$14)*$L155+OFFSET('Trans Factors'!$B$13,$K155-1,R$14)*$H155</f>
        <v>0</v>
      </c>
      <c r="S155" s="22"/>
      <c r="T155" s="22">
        <f ca="1">OFFSET('Trans Factors'!$B$13,$O155-1,T$14)*$L155+OFFSET('Trans Factors'!$B$13,$K155-1,T$14)*$H155</f>
        <v>0</v>
      </c>
      <c r="U155" s="22"/>
      <c r="V155" s="22">
        <f ca="1">OFFSET('Trans Factors'!$B$13,$O155-1,V$14)*$L155+OFFSET('Trans Factors'!$B$13,$K155-1,V$14)*$H155</f>
        <v>0</v>
      </c>
      <c r="X155" s="22">
        <f ca="1">OFFSET('Trans Factors'!$B$13,$O155-1,X$14)*$L155+OFFSET('Trans Factors'!$B$13,$K155-1,X$14)*$H155</f>
        <v>0</v>
      </c>
      <c r="Y155" s="9"/>
      <c r="Z155" s="22">
        <f ca="1">OFFSET('Trans Factors'!$B$13,$O155-1,Z$14)*$L155+OFFSET('Trans Factors'!$B$13,$K155-1,Z$14)*$H155</f>
        <v>0</v>
      </c>
      <c r="AA155" s="22"/>
      <c r="AB155" s="22">
        <f ca="1">OFFSET('Trans Factors'!$B$13,$O155-1,AB$14)*$L155+OFFSET('Trans Factors'!$B$13,$K155-1,AB$14)*$H155</f>
        <v>0</v>
      </c>
      <c r="AD155" s="22">
        <f t="shared" ca="1" si="100"/>
        <v>0</v>
      </c>
      <c r="AF155" s="35" t="str">
        <f t="shared" ca="1" si="112"/>
        <v/>
      </c>
      <c r="AI155" s="235">
        <f ca="1">Function!AJ155</f>
        <v>0</v>
      </c>
      <c r="AJ155" s="242">
        <f t="shared" ca="1" si="103"/>
        <v>0</v>
      </c>
      <c r="AL155" s="199">
        <f t="shared" ca="1" si="104"/>
        <v>0</v>
      </c>
      <c r="AM155" s="199"/>
      <c r="AN155" s="199">
        <f t="shared" ca="1" si="105"/>
        <v>0</v>
      </c>
      <c r="AO155" s="199"/>
      <c r="AP155" s="199">
        <f t="shared" ca="1" si="106"/>
        <v>0</v>
      </c>
      <c r="AQ155" s="199"/>
      <c r="AR155" s="199">
        <f t="shared" ca="1" si="107"/>
        <v>0</v>
      </c>
      <c r="AS155" s="199"/>
      <c r="AT155" s="199">
        <f t="shared" ca="1" si="108"/>
        <v>0</v>
      </c>
      <c r="AU155" s="199"/>
      <c r="AV155" s="199">
        <f t="shared" ca="1" si="109"/>
        <v>0</v>
      </c>
      <c r="AW155" s="199"/>
      <c r="AX155" s="199">
        <f t="shared" ca="1" si="110"/>
        <v>0</v>
      </c>
      <c r="AZ155" s="199">
        <f t="shared" ca="1" si="111"/>
        <v>0</v>
      </c>
    </row>
    <row r="156" spans="2:52" ht="13" x14ac:dyDescent="0.3">
      <c r="B156" s="28">
        <f t="shared" si="120"/>
        <v>98</v>
      </c>
      <c r="D156" s="63" t="s">
        <v>200</v>
      </c>
      <c r="F156" s="113">
        <f ca="1">Function!T156</f>
        <v>0</v>
      </c>
      <c r="H156" s="200"/>
      <c r="K156" s="192">
        <f>_xlfn.IFNA(MATCH(J156,'Trans Factors'!$B$13:$B$450,0),0)</f>
        <v>0</v>
      </c>
      <c r="L156" s="113">
        <f t="shared" ca="1" si="99"/>
        <v>0</v>
      </c>
      <c r="O156" s="186">
        <f>_xlfn.IFNA(MATCH(N156,'Trans Factors'!$B$13:$B$450,0),0)</f>
        <v>0</v>
      </c>
      <c r="P156" s="22">
        <f ca="1">OFFSET('Trans Factors'!$B$13,$O156-1,P$14)*$L156+OFFSET('Trans Factors'!$B$13,$K156-1,P$14)*$H156</f>
        <v>0</v>
      </c>
      <c r="Q156" s="24"/>
      <c r="R156" s="22">
        <f ca="1">OFFSET('Trans Factors'!$B$13,$O156-1,R$14)*$L156+OFFSET('Trans Factors'!$B$13,$K156-1,R$14)*$H156</f>
        <v>0</v>
      </c>
      <c r="S156" s="22"/>
      <c r="T156" s="22">
        <f ca="1">OFFSET('Trans Factors'!$B$13,$O156-1,T$14)*$L156+OFFSET('Trans Factors'!$B$13,$K156-1,T$14)*$H156</f>
        <v>0</v>
      </c>
      <c r="U156" s="22"/>
      <c r="V156" s="22">
        <f ca="1">OFFSET('Trans Factors'!$B$13,$O156-1,V$14)*$L156+OFFSET('Trans Factors'!$B$13,$K156-1,V$14)*$H156</f>
        <v>0</v>
      </c>
      <c r="X156" s="22">
        <f ca="1">OFFSET('Trans Factors'!$B$13,$O156-1,X$14)*$L156+OFFSET('Trans Factors'!$B$13,$K156-1,X$14)*$H156</f>
        <v>0</v>
      </c>
      <c r="Y156" s="9"/>
      <c r="Z156" s="22">
        <f ca="1">OFFSET('Trans Factors'!$B$13,$O156-1,Z$14)*$L156+OFFSET('Trans Factors'!$B$13,$K156-1,Z$14)*$H156</f>
        <v>0</v>
      </c>
      <c r="AA156" s="22"/>
      <c r="AB156" s="22">
        <f ca="1">OFFSET('Trans Factors'!$B$13,$O156-1,AB$14)*$L156+OFFSET('Trans Factors'!$B$13,$K156-1,AB$14)*$H156</f>
        <v>0</v>
      </c>
      <c r="AD156" s="22">
        <f t="shared" ca="1" si="100"/>
        <v>0</v>
      </c>
      <c r="AF156" s="35" t="str">
        <f t="shared" ca="1" si="112"/>
        <v/>
      </c>
      <c r="AI156" s="235">
        <f ca="1">Function!AJ156</f>
        <v>0</v>
      </c>
      <c r="AJ156" s="242">
        <f t="shared" ca="1" si="103"/>
        <v>0</v>
      </c>
      <c r="AL156" s="199">
        <f t="shared" ca="1" si="104"/>
        <v>0</v>
      </c>
      <c r="AM156" s="199"/>
      <c r="AN156" s="199">
        <f t="shared" ca="1" si="105"/>
        <v>0</v>
      </c>
      <c r="AO156" s="199"/>
      <c r="AP156" s="199">
        <f t="shared" ca="1" si="106"/>
        <v>0</v>
      </c>
      <c r="AQ156" s="199"/>
      <c r="AR156" s="199">
        <f t="shared" ca="1" si="107"/>
        <v>0</v>
      </c>
      <c r="AS156" s="199"/>
      <c r="AT156" s="199">
        <f t="shared" ca="1" si="108"/>
        <v>0</v>
      </c>
      <c r="AU156" s="199"/>
      <c r="AV156" s="199">
        <f t="shared" ca="1" si="109"/>
        <v>0</v>
      </c>
      <c r="AW156" s="199"/>
      <c r="AX156" s="199">
        <f t="shared" ca="1" si="110"/>
        <v>0</v>
      </c>
      <c r="AZ156" s="199">
        <f t="shared" ca="1" si="111"/>
        <v>0</v>
      </c>
    </row>
    <row r="157" spans="2:52" ht="13" x14ac:dyDescent="0.3">
      <c r="B157" s="28">
        <f t="shared" si="120"/>
        <v>99</v>
      </c>
      <c r="D157" s="63" t="s">
        <v>201</v>
      </c>
      <c r="F157" s="113">
        <f ca="1">Function!T157</f>
        <v>0</v>
      </c>
      <c r="H157" s="200"/>
      <c r="K157" s="192">
        <f>_xlfn.IFNA(MATCH(J157,'Trans Factors'!$B$13:$B$450,0),0)</f>
        <v>0</v>
      </c>
      <c r="L157" s="113">
        <f t="shared" ca="1" si="99"/>
        <v>0</v>
      </c>
      <c r="O157" s="186">
        <f>_xlfn.IFNA(MATCH(N157,'Trans Factors'!$B$13:$B$450,0),0)</f>
        <v>0</v>
      </c>
      <c r="P157" s="22">
        <f ca="1">OFFSET('Trans Factors'!$B$13,$O157-1,P$14)*$L157+OFFSET('Trans Factors'!$B$13,$K157-1,P$14)*$H157</f>
        <v>0</v>
      </c>
      <c r="Q157" s="24"/>
      <c r="R157" s="22">
        <f ca="1">OFFSET('Trans Factors'!$B$13,$O157-1,R$14)*$L157+OFFSET('Trans Factors'!$B$13,$K157-1,R$14)*$H157</f>
        <v>0</v>
      </c>
      <c r="S157" s="22"/>
      <c r="T157" s="22">
        <f ca="1">OFFSET('Trans Factors'!$B$13,$O157-1,T$14)*$L157+OFFSET('Trans Factors'!$B$13,$K157-1,T$14)*$H157</f>
        <v>0</v>
      </c>
      <c r="U157" s="22"/>
      <c r="V157" s="22">
        <f ca="1">OFFSET('Trans Factors'!$B$13,$O157-1,V$14)*$L157+OFFSET('Trans Factors'!$B$13,$K157-1,V$14)*$H157</f>
        <v>0</v>
      </c>
      <c r="X157" s="22">
        <f ca="1">OFFSET('Trans Factors'!$B$13,$O157-1,X$14)*$L157+OFFSET('Trans Factors'!$B$13,$K157-1,X$14)*$H157</f>
        <v>0</v>
      </c>
      <c r="Y157" s="9"/>
      <c r="Z157" s="22">
        <f ca="1">OFFSET('Trans Factors'!$B$13,$O157-1,Z$14)*$L157+OFFSET('Trans Factors'!$B$13,$K157-1,Z$14)*$H157</f>
        <v>0</v>
      </c>
      <c r="AA157" s="22"/>
      <c r="AB157" s="22">
        <f ca="1">OFFSET('Trans Factors'!$B$13,$O157-1,AB$14)*$L157+OFFSET('Trans Factors'!$B$13,$K157-1,AB$14)*$H157</f>
        <v>0</v>
      </c>
      <c r="AD157" s="22">
        <f t="shared" ca="1" si="100"/>
        <v>0</v>
      </c>
      <c r="AF157" s="35" t="str">
        <f t="shared" ca="1" si="112"/>
        <v/>
      </c>
      <c r="AI157" s="235">
        <f ca="1">Function!AJ157</f>
        <v>0</v>
      </c>
      <c r="AJ157" s="242">
        <f t="shared" ca="1" si="103"/>
        <v>0</v>
      </c>
      <c r="AL157" s="199">
        <f t="shared" ca="1" si="104"/>
        <v>0</v>
      </c>
      <c r="AM157" s="199"/>
      <c r="AN157" s="199">
        <f t="shared" ca="1" si="105"/>
        <v>0</v>
      </c>
      <c r="AO157" s="199"/>
      <c r="AP157" s="199">
        <f t="shared" ca="1" si="106"/>
        <v>0</v>
      </c>
      <c r="AQ157" s="199"/>
      <c r="AR157" s="199">
        <f t="shared" ca="1" si="107"/>
        <v>0</v>
      </c>
      <c r="AS157" s="199"/>
      <c r="AT157" s="199">
        <f t="shared" ca="1" si="108"/>
        <v>0</v>
      </c>
      <c r="AU157" s="199"/>
      <c r="AV157" s="199">
        <f t="shared" ca="1" si="109"/>
        <v>0</v>
      </c>
      <c r="AW157" s="199"/>
      <c r="AX157" s="199">
        <f t="shared" ca="1" si="110"/>
        <v>0</v>
      </c>
      <c r="AZ157" s="199">
        <f t="shared" ca="1" si="111"/>
        <v>0</v>
      </c>
    </row>
    <row r="158" spans="2:52" ht="13" x14ac:dyDescent="0.3">
      <c r="B158" s="28"/>
      <c r="D158" s="97" t="s">
        <v>237</v>
      </c>
      <c r="K158" s="192"/>
      <c r="O158" s="186"/>
      <c r="AF158" s="35" t="str">
        <f t="shared" si="112"/>
        <v/>
      </c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  <c r="AW158" s="199"/>
      <c r="AX158" s="199"/>
      <c r="AZ158" s="199"/>
    </row>
    <row r="159" spans="2:52" ht="13" x14ac:dyDescent="0.3">
      <c r="B159" s="28">
        <f>B157+1</f>
        <v>100</v>
      </c>
      <c r="D159" s="63" t="s">
        <v>110</v>
      </c>
      <c r="F159" s="113">
        <f ca="1">Function!T159</f>
        <v>12474.169804940382</v>
      </c>
      <c r="H159" s="200"/>
      <c r="K159" s="192">
        <f>_xlfn.IFNA(MATCH(J159,'Trans Factors'!$B$13:$B$450,0),0)</f>
        <v>0</v>
      </c>
      <c r="L159" s="113">
        <f t="shared" ca="1" si="99"/>
        <v>12474.169804940382</v>
      </c>
      <c r="N159" s="28" t="s">
        <v>258</v>
      </c>
      <c r="O159" s="186">
        <f>_xlfn.IFNA(MATCH(N159,'Trans Factors'!$B$13:$B$450,0),0)</f>
        <v>26</v>
      </c>
      <c r="P159" s="22">
        <f ca="1">OFFSET('Trans Factors'!$B$13,$O159-1,P$14)*$L159+OFFSET('Trans Factors'!$B$13,$K159-1,P$14)*$H159</f>
        <v>510.24061113533196</v>
      </c>
      <c r="Q159" s="24"/>
      <c r="R159" s="22">
        <f ca="1">OFFSET('Trans Factors'!$B$13,$O159-1,R$14)*$L159+OFFSET('Trans Factors'!$B$13,$K159-1,R$14)*$H159</f>
        <v>88.577528552596746</v>
      </c>
      <c r="S159" s="22"/>
      <c r="T159" s="22">
        <f ca="1">OFFSET('Trans Factors'!$B$13,$O159-1,T$14)*$L159+OFFSET('Trans Factors'!$B$13,$K159-1,T$14)*$H159</f>
        <v>1563.2092114418654</v>
      </c>
      <c r="U159" s="22"/>
      <c r="V159" s="22">
        <f ca="1">OFFSET('Trans Factors'!$B$13,$O159-1,V$14)*$L159+OFFSET('Trans Factors'!$B$13,$K159-1,V$14)*$H159</f>
        <v>6773.0710293983811</v>
      </c>
      <c r="X159" s="22">
        <f ca="1">OFFSET('Trans Factors'!$B$13,$O159-1,X$14)*$L159+OFFSET('Trans Factors'!$B$13,$K159-1,X$14)*$H159</f>
        <v>843.80487344907965</v>
      </c>
      <c r="Y159" s="9"/>
      <c r="Z159" s="22">
        <f ca="1">OFFSET('Trans Factors'!$B$13,$O159-1,Z$14)*$L159+OFFSET('Trans Factors'!$B$13,$K159-1,Z$14)*$H159</f>
        <v>2695.2665509631352</v>
      </c>
      <c r="AA159" s="22"/>
      <c r="AB159" s="22">
        <f ca="1">OFFSET('Trans Factors'!$B$13,$O159-1,AB$14)*$L159+OFFSET('Trans Factors'!$B$13,$K159-1,AB$14)*$H159</f>
        <v>0</v>
      </c>
      <c r="AD159" s="22">
        <f t="shared" ca="1" si="100"/>
        <v>12474.169804940391</v>
      </c>
      <c r="AF159" s="35" t="str">
        <f ca="1">IF(ROUND(F159,4)=ROUND(AD159,4), "", "check")</f>
        <v/>
      </c>
      <c r="AI159" s="235"/>
      <c r="AJ159" s="242"/>
      <c r="AL159" s="199"/>
      <c r="AM159" s="199"/>
      <c r="AN159" s="199"/>
      <c r="AO159" s="199"/>
      <c r="AP159" s="199"/>
      <c r="AQ159" s="199"/>
      <c r="AR159" s="199"/>
      <c r="AS159" s="199"/>
      <c r="AT159" s="199"/>
      <c r="AU159" s="199"/>
      <c r="AV159" s="199"/>
      <c r="AW159" s="199"/>
      <c r="AX159" s="199"/>
      <c r="AZ159" s="199"/>
    </row>
    <row r="160" spans="2:52" ht="13" x14ac:dyDescent="0.3">
      <c r="B160" s="28">
        <f>B159+1</f>
        <v>101</v>
      </c>
      <c r="D160" s="63" t="s">
        <v>238</v>
      </c>
      <c r="F160" s="105">
        <f ca="1">Function!T160</f>
        <v>15476.124813604742</v>
      </c>
      <c r="G160" s="170"/>
      <c r="H160" s="66"/>
      <c r="I160" s="170"/>
      <c r="J160" s="170"/>
      <c r="K160" s="191">
        <f>_xlfn.IFNA(MATCH(J160,'Trans Factors'!$B$13:$B$450,0),0)</f>
        <v>0</v>
      </c>
      <c r="L160" s="105">
        <f t="shared" ca="1" si="99"/>
        <v>15476.124813604742</v>
      </c>
      <c r="M160" s="84"/>
      <c r="N160" s="41" t="s">
        <v>303</v>
      </c>
      <c r="O160" s="189">
        <f>_xlfn.IFNA(MATCH(N160,'Trans Factors'!$B$13:$B$450,0),0)</f>
        <v>56</v>
      </c>
      <c r="P160" s="30">
        <f ca="1">OFFSET('Trans Factors'!$B$13,$O160-1,P$14)*$L160+OFFSET('Trans Factors'!$B$13,$K160-1,P$14)*$H160</f>
        <v>582.11532530254431</v>
      </c>
      <c r="Q160" s="109"/>
      <c r="R160" s="30">
        <f ca="1">OFFSET('Trans Factors'!$B$13,$O160-1,R$14)*$L160+OFFSET('Trans Factors'!$B$13,$K160-1,R$14)*$H160</f>
        <v>100.82409390113544</v>
      </c>
      <c r="S160" s="30"/>
      <c r="T160" s="30">
        <f ca="1">OFFSET('Trans Factors'!$B$13,$O160-1,T$14)*$L160+OFFSET('Trans Factors'!$B$13,$K160-1,T$14)*$H160</f>
        <v>1979.3136209585878</v>
      </c>
      <c r="U160" s="30"/>
      <c r="V160" s="30">
        <f ca="1">OFFSET('Trans Factors'!$B$13,$O160-1,V$14)*$L160+OFFSET('Trans Factors'!$B$13,$K160-1,V$14)*$H160</f>
        <v>8684.9503439852651</v>
      </c>
      <c r="W160" s="84"/>
      <c r="X160" s="30">
        <f ca="1">OFFSET('Trans Factors'!$B$13,$O160-1,X$14)*$L160+OFFSET('Trans Factors'!$B$13,$K160-1,X$14)*$H160</f>
        <v>973.15258209015315</v>
      </c>
      <c r="Y160" s="9"/>
      <c r="Z160" s="30">
        <f ca="1">OFFSET('Trans Factors'!$B$13,$O160-1,Z$14)*$L160+OFFSET('Trans Factors'!$B$13,$K160-1,Z$14)*$H160</f>
        <v>3155.7688473670496</v>
      </c>
      <c r="AA160" s="22"/>
      <c r="AB160" s="30">
        <f ca="1">OFFSET('Trans Factors'!$B$13,$O160-1,AB$14)*$L160+OFFSET('Trans Factors'!$B$13,$K160-1,AB$14)*$H160</f>
        <v>0</v>
      </c>
      <c r="AD160" s="30">
        <f t="shared" ca="1" si="100"/>
        <v>15476.124813604736</v>
      </c>
      <c r="AF160" s="35" t="str">
        <f t="shared" ca="1" si="112"/>
        <v/>
      </c>
      <c r="AI160" s="235">
        <f ca="1">Function!AJ160</f>
        <v>8657.6367849663402</v>
      </c>
      <c r="AJ160" s="242">
        <f t="shared" ref="AJ160" ca="1" si="121">IFERROR(AI160/F160,0)</f>
        <v>0.55941890423083118</v>
      </c>
      <c r="AL160" s="199">
        <f t="shared" ca="1" si="104"/>
        <v>325.64631741672315</v>
      </c>
      <c r="AM160" s="199"/>
      <c r="AN160" s="199">
        <f t="shared" ca="1" si="105"/>
        <v>56.402904130239619</v>
      </c>
      <c r="AO160" s="199"/>
      <c r="AP160" s="199">
        <f t="shared" ca="1" si="106"/>
        <v>1107.2654569658118</v>
      </c>
      <c r="AQ160" s="199"/>
      <c r="AR160" s="199">
        <f t="shared" ca="1" si="107"/>
        <v>4858.5254047314174</v>
      </c>
      <c r="AS160" s="199"/>
      <c r="AT160" s="199">
        <f t="shared" ca="1" si="108"/>
        <v>544.39995112227746</v>
      </c>
      <c r="AU160" s="199"/>
      <c r="AV160" s="199">
        <f t="shared" ca="1" si="109"/>
        <v>1765.396750599868</v>
      </c>
      <c r="AW160" s="199"/>
      <c r="AX160" s="199">
        <f t="shared" ca="1" si="110"/>
        <v>0</v>
      </c>
      <c r="AZ160" s="199">
        <f t="shared" ca="1" si="111"/>
        <v>8657.6367849663366</v>
      </c>
    </row>
    <row r="161" spans="2:52" ht="13" x14ac:dyDescent="0.3">
      <c r="B161" s="28"/>
      <c r="F161" s="170"/>
      <c r="H161" s="170"/>
      <c r="L161" s="170"/>
      <c r="P161" s="84"/>
      <c r="Q161" s="24"/>
      <c r="R161" s="84"/>
      <c r="S161" s="22"/>
      <c r="T161" s="84"/>
      <c r="U161" s="22"/>
      <c r="V161" s="84"/>
      <c r="X161" s="84"/>
      <c r="Z161" s="84"/>
      <c r="AB161" s="84"/>
      <c r="AD161" s="84"/>
      <c r="AF161" s="35" t="str">
        <f t="shared" si="112"/>
        <v/>
      </c>
    </row>
    <row r="162" spans="2:52" ht="13" x14ac:dyDescent="0.3">
      <c r="B162" s="28">
        <f>B160+1</f>
        <v>102</v>
      </c>
      <c r="D162" s="97" t="s">
        <v>482</v>
      </c>
      <c r="F162" s="204">
        <f ca="1">SUM(F115:F160)</f>
        <v>127245.80105802165</v>
      </c>
      <c r="H162" s="204">
        <f>SUM(H115:H160)</f>
        <v>0</v>
      </c>
      <c r="L162" s="204">
        <f ca="1">SUM(L115:L160)</f>
        <v>127245.80105802165</v>
      </c>
      <c r="P162" s="11">
        <f ca="1">SUM(P115:P160)</f>
        <v>2373.9714936597857</v>
      </c>
      <c r="Q162" s="24"/>
      <c r="R162" s="11">
        <f ca="1">SUM(R115:R160)</f>
        <v>411.17887537314562</v>
      </c>
      <c r="S162" s="22"/>
      <c r="T162" s="11">
        <f ca="1">SUM(T115:T160)</f>
        <v>8071.9986382871466</v>
      </c>
      <c r="U162" s="22"/>
      <c r="V162" s="11">
        <f ca="1">SUM(V115:V160)</f>
        <v>53031.071769151553</v>
      </c>
      <c r="X162" s="11">
        <f ca="1">SUM(X115:X160)</f>
        <v>3968.6920932080484</v>
      </c>
      <c r="Z162" s="11">
        <f ca="1">SUM(Z115:Z160)</f>
        <v>14155.202695789942</v>
      </c>
      <c r="AB162" s="11">
        <f ca="1">SUM(AB115:AB160)</f>
        <v>45233.68549255206</v>
      </c>
      <c r="AD162" s="11">
        <f ca="1">SUM(AD115:AD160)</f>
        <v>127245.80105802167</v>
      </c>
      <c r="AF162" s="35" t="str">
        <f t="shared" ca="1" si="112"/>
        <v/>
      </c>
      <c r="AI162" s="236">
        <f ca="1">SUM(AI116:AI161)</f>
        <v>21354.704399968527</v>
      </c>
      <c r="AL162" s="236">
        <f ca="1">SUM(AL116:AL161)</f>
        <v>873.48798309118183</v>
      </c>
      <c r="AN162" s="236">
        <f ca="1">SUM(AN116:AN161)</f>
        <v>151.63710036810056</v>
      </c>
      <c r="AP162" s="236">
        <f ca="1">SUM(AP116:AP161)</f>
        <v>2676.0795425783008</v>
      </c>
      <c r="AR162" s="236">
        <f ca="1">SUM(AR116:AR161)</f>
        <v>11594.914288845865</v>
      </c>
      <c r="AT162" s="236">
        <f ca="1">SUM(AT116:AT161)</f>
        <v>1444.5212728001702</v>
      </c>
      <c r="AV162" s="236">
        <f ca="1">SUM(AV116:AV161)</f>
        <v>4614.0642122849067</v>
      </c>
      <c r="AX162" s="236">
        <f ca="1">SUM(AX116:AX161)</f>
        <v>0</v>
      </c>
      <c r="AZ162" s="236">
        <f ca="1">SUM(AZ116:AZ161)</f>
        <v>21354.704399968527</v>
      </c>
    </row>
    <row r="163" spans="2:52" ht="13" x14ac:dyDescent="0.3">
      <c r="B163" s="28"/>
      <c r="Q163" s="24"/>
      <c r="S163" s="22"/>
      <c r="U163" s="22"/>
      <c r="Z163" s="99"/>
      <c r="AB163" s="99"/>
      <c r="AD163" s="99"/>
      <c r="AF163" s="35" t="str">
        <f t="shared" si="112"/>
        <v/>
      </c>
      <c r="AI163" s="244"/>
      <c r="AL163" s="244"/>
      <c r="AN163" s="244"/>
      <c r="AP163" s="244"/>
      <c r="AR163" s="244"/>
      <c r="AT163" s="244"/>
      <c r="AV163" s="244"/>
      <c r="AX163" s="244"/>
      <c r="AZ163" s="244"/>
    </row>
    <row r="164" spans="2:52" ht="13.5" thickBot="1" x14ac:dyDescent="0.35">
      <c r="B164" s="28">
        <f>B162+1</f>
        <v>103</v>
      </c>
      <c r="D164" s="97" t="s">
        <v>483</v>
      </c>
      <c r="F164" s="207">
        <f ca="1">F162+F104+F109+F108+F97</f>
        <v>470426.6214762858</v>
      </c>
      <c r="H164" s="207">
        <f>H162+H104+H109+H108+H97</f>
        <v>0</v>
      </c>
      <c r="L164" s="207">
        <f ca="1">L162+L104+L109+L108+L97</f>
        <v>470426.6214762858</v>
      </c>
      <c r="P164" s="60">
        <f ca="1">P162+P104+P109+P108+P97</f>
        <v>12523.671291923149</v>
      </c>
      <c r="Q164" s="24"/>
      <c r="R164" s="60">
        <f ca="1">R162+R104+R109+R108+R97</f>
        <v>1452.0154432174706</v>
      </c>
      <c r="S164" s="22"/>
      <c r="T164" s="60">
        <f ca="1">T162+T104+T109+T108+T97</f>
        <v>47264.710948384934</v>
      </c>
      <c r="U164" s="22"/>
      <c r="V164" s="60">
        <f ca="1">V162+V104+V109+V108+V97</f>
        <v>243137.02190119354</v>
      </c>
      <c r="X164" s="60">
        <f ca="1">X162+X104+X109+X108+X97</f>
        <v>36183.519639537146</v>
      </c>
      <c r="Z164" s="60">
        <f ca="1">Z162+Z104+Z109+Z108+Z97</f>
        <v>84631.996759477537</v>
      </c>
      <c r="AB164" s="60">
        <f ca="1">AB162+AB104+AB109+AB108+AB97</f>
        <v>45233.68549255206</v>
      </c>
      <c r="AD164" s="60">
        <f ca="1">AD162+AD104+AD109+AD108+AD97</f>
        <v>470426.62147628586</v>
      </c>
      <c r="AF164" s="35" t="str">
        <f t="shared" ca="1" si="112"/>
        <v/>
      </c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  <c r="AW164" s="156"/>
      <c r="AX164" s="156"/>
      <c r="AY164" s="156"/>
      <c r="AZ164" s="156"/>
    </row>
    <row r="165" spans="2:52" ht="13.5" thickTop="1" x14ac:dyDescent="0.3">
      <c r="B165" s="28"/>
      <c r="F165" s="105"/>
      <c r="H165" s="105"/>
      <c r="L165" s="105"/>
      <c r="P165" s="26"/>
      <c r="Q165" s="24"/>
      <c r="R165" s="26"/>
      <c r="S165" s="22"/>
      <c r="T165" s="26"/>
      <c r="U165" s="22"/>
      <c r="V165" s="26"/>
      <c r="X165" s="26"/>
      <c r="Z165" s="26"/>
      <c r="AB165" s="26"/>
      <c r="AD165" s="26"/>
      <c r="AF165" s="35" t="str">
        <f t="shared" si="112"/>
        <v/>
      </c>
    </row>
    <row r="166" spans="2:52" ht="13" x14ac:dyDescent="0.3">
      <c r="B166" s="28"/>
      <c r="F166" s="105"/>
      <c r="H166" s="105"/>
      <c r="L166" s="105"/>
      <c r="Q166" s="24"/>
      <c r="S166" s="22"/>
      <c r="U166" s="22"/>
      <c r="Z166" s="99"/>
      <c r="AB166" s="99"/>
      <c r="AD166" s="99"/>
      <c r="AF166" s="35" t="str">
        <f t="shared" si="112"/>
        <v/>
      </c>
    </row>
    <row r="167" spans="2:52" ht="13" x14ac:dyDescent="0.3">
      <c r="B167" s="28"/>
      <c r="F167" s="105"/>
      <c r="H167" s="105"/>
      <c r="L167" s="105"/>
      <c r="Q167" s="24"/>
      <c r="S167" s="22"/>
      <c r="U167" s="22"/>
      <c r="Z167" s="99"/>
      <c r="AB167" s="99"/>
      <c r="AD167" s="99"/>
      <c r="AF167" s="35" t="str">
        <f t="shared" si="112"/>
        <v/>
      </c>
    </row>
    <row r="168" spans="2:52" ht="13" x14ac:dyDescent="0.3">
      <c r="B168" s="28"/>
      <c r="D168" s="6" t="s">
        <v>132</v>
      </c>
      <c r="Q168" s="24"/>
      <c r="S168" s="22"/>
      <c r="U168" s="22"/>
      <c r="Z168" s="99"/>
      <c r="AB168" s="99"/>
      <c r="AD168" s="99"/>
      <c r="AF168" s="35" t="str">
        <f t="shared" si="112"/>
        <v/>
      </c>
    </row>
    <row r="169" spans="2:52" ht="13" x14ac:dyDescent="0.3">
      <c r="B169" s="28"/>
      <c r="D169" s="6"/>
      <c r="F169" s="113"/>
      <c r="H169" s="200"/>
      <c r="K169" s="192"/>
      <c r="L169" s="113"/>
      <c r="M169" s="97"/>
      <c r="N169" s="97"/>
      <c r="O169" s="192"/>
      <c r="P169" s="22"/>
      <c r="Q169" s="97"/>
      <c r="R169" s="22"/>
      <c r="S169" s="22"/>
      <c r="T169" s="22"/>
      <c r="U169" s="22"/>
      <c r="V169" s="22"/>
      <c r="W169" s="97"/>
      <c r="X169" s="22"/>
      <c r="Y169" s="22"/>
      <c r="Z169" s="22"/>
      <c r="AA169" s="22"/>
      <c r="AB169" s="22"/>
      <c r="AC169" s="97"/>
      <c r="AD169" s="22"/>
      <c r="AF169" s="35" t="str">
        <f t="shared" si="112"/>
        <v/>
      </c>
    </row>
    <row r="170" spans="2:52" ht="13" x14ac:dyDescent="0.3">
      <c r="B170" s="28">
        <f>B164+1</f>
        <v>104</v>
      </c>
      <c r="D170" s="99" t="s">
        <v>146</v>
      </c>
      <c r="F170" s="113">
        <f ca="1">Function!T170</f>
        <v>0</v>
      </c>
      <c r="H170" s="200"/>
      <c r="K170" s="192">
        <f>_xlfn.IFNA(MATCH(J170,'Trans Factors'!$B$70:$B$520,0),0)</f>
        <v>0</v>
      </c>
      <c r="L170" s="113">
        <f t="shared" ref="L170:L176" ca="1" si="122">F170-H170</f>
        <v>0</v>
      </c>
      <c r="O170" s="186">
        <f>_xlfn.IFNA(MATCH(N170,'Trans Factors'!$B$13:$B$450,0),0)</f>
        <v>0</v>
      </c>
      <c r="P170" s="22">
        <f ca="1">OFFSET('Trans Factors'!$B$13,$O170-1,P$14)*$L170+OFFSET('Trans Factors'!$B$13,$K170-1,P$14)*$H170</f>
        <v>0</v>
      </c>
      <c r="Q170" s="24"/>
      <c r="R170" s="22">
        <f ca="1">OFFSET('Trans Factors'!$B$13,$O170-1,R$14)*$L170+OFFSET('Trans Factors'!$B$13,$K170-1,R$14)*$H170</f>
        <v>0</v>
      </c>
      <c r="S170" s="22"/>
      <c r="T170" s="22">
        <f ca="1">OFFSET('Trans Factors'!$B$13,$O170-1,T$14)*$L170+OFFSET('Trans Factors'!$B$13,$K170-1,T$14)*$H170</f>
        <v>0</v>
      </c>
      <c r="U170" s="22"/>
      <c r="V170" s="22">
        <f ca="1">OFFSET('Trans Factors'!$B$13,$O170-1,V$14)*$L170+OFFSET('Trans Factors'!$B$13,$K170-1,V$14)*$H170</f>
        <v>0</v>
      </c>
      <c r="X170" s="22">
        <f ca="1">OFFSET('Trans Factors'!$B$13,$O170-1,X$14)*$L170+OFFSET('Trans Factors'!$B$13,$K170-1,X$14)*$H170</f>
        <v>0</v>
      </c>
      <c r="Y170" s="9"/>
      <c r="Z170" s="22">
        <f ca="1">OFFSET('Trans Factors'!$B$13,$O170-1,Z$14)*$L170+OFFSET('Trans Factors'!$B$13,$K170-1,Z$14)*$H170</f>
        <v>0</v>
      </c>
      <c r="AA170" s="22"/>
      <c r="AB170" s="22">
        <f ca="1">OFFSET('Trans Factors'!$B$13,$O170-1,AB$14)*$L170+OFFSET('Trans Factors'!$B$13,$K170-1,AB$14)*$H170</f>
        <v>0</v>
      </c>
      <c r="AD170" s="22">
        <f t="shared" ref="AD170:AD176" ca="1" si="123">P170+R170+T170+V170+X170+Z170+AB170</f>
        <v>0</v>
      </c>
      <c r="AF170" s="35" t="str">
        <f t="shared" ca="1" si="112"/>
        <v/>
      </c>
    </row>
    <row r="171" spans="2:52" ht="13" x14ac:dyDescent="0.3">
      <c r="B171" s="28">
        <f t="shared" ref="B171:B176" si="124">B170+1</f>
        <v>105</v>
      </c>
      <c r="D171" s="99" t="s">
        <v>157</v>
      </c>
      <c r="F171" s="113">
        <f ca="1">Function!T171</f>
        <v>0</v>
      </c>
      <c r="H171" s="200"/>
      <c r="J171" s="91"/>
      <c r="K171" s="192">
        <f>_xlfn.IFNA(MATCH(J171,'Trans Factors'!$B$70:$B$520,0),0)</f>
        <v>0</v>
      </c>
      <c r="L171" s="113">
        <f t="shared" ca="1" si="122"/>
        <v>0</v>
      </c>
      <c r="O171" s="186">
        <f>_xlfn.IFNA(MATCH(N171,'Trans Factors'!$B$13:$B$450,0),0)</f>
        <v>0</v>
      </c>
      <c r="P171" s="22">
        <f ca="1">OFFSET('Trans Factors'!$B$13,$O171-1,P$14)*$L171+OFFSET('Trans Factors'!$B$13,$K171-1,P$14)*$H171</f>
        <v>0</v>
      </c>
      <c r="Q171" s="24"/>
      <c r="R171" s="22">
        <f ca="1">OFFSET('Trans Factors'!$B$13,$O171-1,R$14)*$L171+OFFSET('Trans Factors'!$B$13,$K171-1,R$14)*$H171</f>
        <v>0</v>
      </c>
      <c r="S171" s="22"/>
      <c r="T171" s="22">
        <f ca="1">OFFSET('Trans Factors'!$B$13,$O171-1,T$14)*$L171+OFFSET('Trans Factors'!$B$13,$K171-1,T$14)*$H171</f>
        <v>0</v>
      </c>
      <c r="U171" s="22"/>
      <c r="V171" s="22">
        <f ca="1">OFFSET('Trans Factors'!$B$13,$O171-1,V$14)*$L171+OFFSET('Trans Factors'!$B$13,$K171-1,V$14)*$H171</f>
        <v>0</v>
      </c>
      <c r="X171" s="22">
        <f ca="1">OFFSET('Trans Factors'!$B$13,$O171-1,X$14)*$L171+OFFSET('Trans Factors'!$B$13,$K171-1,X$14)*$H171</f>
        <v>0</v>
      </c>
      <c r="Y171" s="9"/>
      <c r="Z171" s="22">
        <f ca="1">OFFSET('Trans Factors'!$B$13,$O171-1,Z$14)*$L171+OFFSET('Trans Factors'!$B$13,$K171-1,Z$14)*$H171</f>
        <v>0</v>
      </c>
      <c r="AA171" s="22"/>
      <c r="AB171" s="22">
        <f ca="1">OFFSET('Trans Factors'!$B$13,$O171-1,AB$14)*$L171+OFFSET('Trans Factors'!$B$13,$K171-1,AB$14)*$H171</f>
        <v>0</v>
      </c>
      <c r="AD171" s="22">
        <f t="shared" ca="1" si="123"/>
        <v>0</v>
      </c>
      <c r="AF171" s="35" t="str">
        <f t="shared" ca="1" si="112"/>
        <v/>
      </c>
    </row>
    <row r="172" spans="2:52" ht="13" x14ac:dyDescent="0.3">
      <c r="B172" s="28">
        <f t="shared" si="124"/>
        <v>106</v>
      </c>
      <c r="D172" s="99" t="s">
        <v>133</v>
      </c>
      <c r="F172" s="113">
        <f ca="1">Function!T172</f>
        <v>0</v>
      </c>
      <c r="H172" s="200"/>
      <c r="J172" s="91"/>
      <c r="K172" s="192">
        <f>_xlfn.IFNA(MATCH(J172,'Trans Factors'!$B$70:$B$520,0),0)</f>
        <v>0</v>
      </c>
      <c r="L172" s="113">
        <f t="shared" ca="1" si="122"/>
        <v>0</v>
      </c>
      <c r="O172" s="186">
        <f>_xlfn.IFNA(MATCH(N172,'Trans Factors'!$B$13:$B$450,0),0)</f>
        <v>0</v>
      </c>
      <c r="P172" s="22">
        <f ca="1">OFFSET('Trans Factors'!$B$13,$O172-1,P$14)*$L172+OFFSET('Trans Factors'!$B$13,$K172-1,P$14)*$H172</f>
        <v>0</v>
      </c>
      <c r="Q172" s="24"/>
      <c r="R172" s="22">
        <f ca="1">OFFSET('Trans Factors'!$B$13,$O172-1,R$14)*$L172+OFFSET('Trans Factors'!$B$13,$K172-1,R$14)*$H172</f>
        <v>0</v>
      </c>
      <c r="S172" s="22"/>
      <c r="T172" s="22">
        <f ca="1">OFFSET('Trans Factors'!$B$13,$O172-1,T$14)*$L172+OFFSET('Trans Factors'!$B$13,$K172-1,T$14)*$H172</f>
        <v>0</v>
      </c>
      <c r="U172" s="22"/>
      <c r="V172" s="22">
        <f ca="1">OFFSET('Trans Factors'!$B$13,$O172-1,V$14)*$L172+OFFSET('Trans Factors'!$B$13,$K172-1,V$14)*$H172</f>
        <v>0</v>
      </c>
      <c r="X172" s="22">
        <f ca="1">OFFSET('Trans Factors'!$B$13,$O172-1,X$14)*$L172+OFFSET('Trans Factors'!$B$13,$K172-1,X$14)*$H172</f>
        <v>0</v>
      </c>
      <c r="Y172" s="9"/>
      <c r="Z172" s="22">
        <f ca="1">OFFSET('Trans Factors'!$B$13,$O172-1,Z$14)*$L172+OFFSET('Trans Factors'!$B$13,$K172-1,Z$14)*$H172</f>
        <v>0</v>
      </c>
      <c r="AA172" s="22"/>
      <c r="AB172" s="22">
        <f ca="1">OFFSET('Trans Factors'!$B$13,$O172-1,AB$14)*$L172+OFFSET('Trans Factors'!$B$13,$K172-1,AB$14)*$H172</f>
        <v>0</v>
      </c>
      <c r="AD172" s="22">
        <f t="shared" ca="1" si="123"/>
        <v>0</v>
      </c>
      <c r="AF172" s="35" t="str">
        <f t="shared" ca="1" si="112"/>
        <v/>
      </c>
    </row>
    <row r="173" spans="2:52" ht="13" x14ac:dyDescent="0.3">
      <c r="B173" s="28">
        <f t="shared" si="124"/>
        <v>107</v>
      </c>
      <c r="D173" s="99" t="s">
        <v>148</v>
      </c>
      <c r="F173" s="113">
        <f ca="1">Function!T173</f>
        <v>0</v>
      </c>
      <c r="H173" s="200"/>
      <c r="J173" s="91"/>
      <c r="K173" s="192">
        <f>_xlfn.IFNA(MATCH(J173,'Trans Factors'!$B$70:$B$520,0),0)</f>
        <v>0</v>
      </c>
      <c r="L173" s="113">
        <f t="shared" ca="1" si="122"/>
        <v>0</v>
      </c>
      <c r="O173" s="186">
        <f>_xlfn.IFNA(MATCH(N173,'Trans Factors'!$B$13:$B$450,0),0)</f>
        <v>0</v>
      </c>
      <c r="P173" s="22">
        <f ca="1">OFFSET('Trans Factors'!$B$13,$O173-1,P$14)*$L173+OFFSET('Trans Factors'!$B$13,$K173-1,P$14)*$H173</f>
        <v>0</v>
      </c>
      <c r="Q173" s="24"/>
      <c r="R173" s="22">
        <f ca="1">OFFSET('Trans Factors'!$B$13,$O173-1,R$14)*$L173+OFFSET('Trans Factors'!$B$13,$K173-1,R$14)*$H173</f>
        <v>0</v>
      </c>
      <c r="S173" s="22"/>
      <c r="T173" s="22">
        <f ca="1">OFFSET('Trans Factors'!$B$13,$O173-1,T$14)*$L173+OFFSET('Trans Factors'!$B$13,$K173-1,T$14)*$H173</f>
        <v>0</v>
      </c>
      <c r="U173" s="22"/>
      <c r="V173" s="22">
        <f ca="1">OFFSET('Trans Factors'!$B$13,$O173-1,V$14)*$L173+OFFSET('Trans Factors'!$B$13,$K173-1,V$14)*$H173</f>
        <v>0</v>
      </c>
      <c r="X173" s="22">
        <f ca="1">OFFSET('Trans Factors'!$B$13,$O173-1,X$14)*$L173+OFFSET('Trans Factors'!$B$13,$K173-1,X$14)*$H173</f>
        <v>0</v>
      </c>
      <c r="Y173" s="9"/>
      <c r="Z173" s="22">
        <f ca="1">OFFSET('Trans Factors'!$B$13,$O173-1,Z$14)*$L173+OFFSET('Trans Factors'!$B$13,$K173-1,Z$14)*$H173</f>
        <v>0</v>
      </c>
      <c r="AA173" s="22"/>
      <c r="AB173" s="22">
        <f ca="1">OFFSET('Trans Factors'!$B$13,$O173-1,AB$14)*$L173+OFFSET('Trans Factors'!$B$13,$K173-1,AB$14)*$H173</f>
        <v>0</v>
      </c>
      <c r="AD173" s="22">
        <f t="shared" ca="1" si="123"/>
        <v>0</v>
      </c>
      <c r="AF173" s="35" t="str">
        <f t="shared" ca="1" si="112"/>
        <v/>
      </c>
    </row>
    <row r="174" spans="2:52" ht="13" x14ac:dyDescent="0.3">
      <c r="B174" s="28">
        <f t="shared" si="124"/>
        <v>108</v>
      </c>
      <c r="D174" s="99" t="s">
        <v>149</v>
      </c>
      <c r="F174" s="113">
        <f ca="1">Function!T174</f>
        <v>0</v>
      </c>
      <c r="H174" s="200"/>
      <c r="J174" s="91"/>
      <c r="K174" s="192">
        <f>_xlfn.IFNA(MATCH(J174,'Trans Factors'!$B$70:$B$520,0),0)</f>
        <v>0</v>
      </c>
      <c r="L174" s="113">
        <f t="shared" ca="1" si="122"/>
        <v>0</v>
      </c>
      <c r="O174" s="186">
        <f>_xlfn.IFNA(MATCH(N174,'Trans Factors'!$B$13:$B$450,0),0)</f>
        <v>0</v>
      </c>
      <c r="P174" s="22">
        <f ca="1">OFFSET('Trans Factors'!$B$13,$O174-1,P$14)*$L174+OFFSET('Trans Factors'!$B$13,$K174-1,P$14)*$H174</f>
        <v>0</v>
      </c>
      <c r="Q174" s="24"/>
      <c r="R174" s="22">
        <f ca="1">OFFSET('Trans Factors'!$B$13,$O174-1,R$14)*$L174+OFFSET('Trans Factors'!$B$13,$K174-1,R$14)*$H174</f>
        <v>0</v>
      </c>
      <c r="S174" s="22"/>
      <c r="T174" s="22">
        <f ca="1">OFFSET('Trans Factors'!$B$13,$O174-1,T$14)*$L174+OFFSET('Trans Factors'!$B$13,$K174-1,T$14)*$H174</f>
        <v>0</v>
      </c>
      <c r="U174" s="22"/>
      <c r="V174" s="22">
        <f ca="1">OFFSET('Trans Factors'!$B$13,$O174-1,V$14)*$L174+OFFSET('Trans Factors'!$B$13,$K174-1,V$14)*$H174</f>
        <v>0</v>
      </c>
      <c r="X174" s="22">
        <f ca="1">OFFSET('Trans Factors'!$B$13,$O174-1,X$14)*$L174+OFFSET('Trans Factors'!$B$13,$K174-1,X$14)*$H174</f>
        <v>0</v>
      </c>
      <c r="Y174" s="9"/>
      <c r="Z174" s="22">
        <f ca="1">OFFSET('Trans Factors'!$B$13,$O174-1,Z$14)*$L174+OFFSET('Trans Factors'!$B$13,$K174-1,Z$14)*$H174</f>
        <v>0</v>
      </c>
      <c r="AA174" s="22"/>
      <c r="AB174" s="22">
        <f ca="1">OFFSET('Trans Factors'!$B$13,$O174-1,AB$14)*$L174+OFFSET('Trans Factors'!$B$13,$K174-1,AB$14)*$H174</f>
        <v>0</v>
      </c>
      <c r="AD174" s="22">
        <f t="shared" ca="1" si="123"/>
        <v>0</v>
      </c>
      <c r="AF174" s="35" t="str">
        <f t="shared" ca="1" si="112"/>
        <v/>
      </c>
    </row>
    <row r="175" spans="2:52" ht="13" x14ac:dyDescent="0.3">
      <c r="B175" s="28">
        <f t="shared" si="124"/>
        <v>109</v>
      </c>
      <c r="D175" s="99" t="s">
        <v>150</v>
      </c>
      <c r="F175" s="113">
        <f ca="1">Function!T175</f>
        <v>0</v>
      </c>
      <c r="H175" s="200"/>
      <c r="J175" s="91"/>
      <c r="K175" s="192">
        <f>_xlfn.IFNA(MATCH(J175,'Trans Factors'!$B$70:$B$520,0),0)</f>
        <v>0</v>
      </c>
      <c r="L175" s="113">
        <f t="shared" ca="1" si="122"/>
        <v>0</v>
      </c>
      <c r="O175" s="186">
        <f>_xlfn.IFNA(MATCH(N175,'Trans Factors'!$B$13:$B$450,0),0)</f>
        <v>0</v>
      </c>
      <c r="P175" s="22">
        <f ca="1">OFFSET('Trans Factors'!$B$13,$O175-1,P$14)*$L175+OFFSET('Trans Factors'!$B$13,$K175-1,P$14)*$H175</f>
        <v>0</v>
      </c>
      <c r="Q175" s="24"/>
      <c r="R175" s="22">
        <f ca="1">OFFSET('Trans Factors'!$B$13,$O175-1,R$14)*$L175+OFFSET('Trans Factors'!$B$13,$K175-1,R$14)*$H175</f>
        <v>0</v>
      </c>
      <c r="S175" s="22"/>
      <c r="T175" s="22">
        <f ca="1">OFFSET('Trans Factors'!$B$13,$O175-1,T$14)*$L175+OFFSET('Trans Factors'!$B$13,$K175-1,T$14)*$H175</f>
        <v>0</v>
      </c>
      <c r="U175" s="22"/>
      <c r="V175" s="22">
        <f ca="1">OFFSET('Trans Factors'!$B$13,$O175-1,V$14)*$L175+OFFSET('Trans Factors'!$B$13,$K175-1,V$14)*$H175</f>
        <v>0</v>
      </c>
      <c r="X175" s="22">
        <f ca="1">OFFSET('Trans Factors'!$B$13,$O175-1,X$14)*$L175+OFFSET('Trans Factors'!$B$13,$K175-1,X$14)*$H175</f>
        <v>0</v>
      </c>
      <c r="Y175" s="9"/>
      <c r="Z175" s="22">
        <f ca="1">OFFSET('Trans Factors'!$B$13,$O175-1,Z$14)*$L175+OFFSET('Trans Factors'!$B$13,$K175-1,Z$14)*$H175</f>
        <v>0</v>
      </c>
      <c r="AA175" s="22"/>
      <c r="AB175" s="22">
        <f ca="1">OFFSET('Trans Factors'!$B$13,$O175-1,AB$14)*$L175+OFFSET('Trans Factors'!$B$13,$K175-1,AB$14)*$H175</f>
        <v>0</v>
      </c>
      <c r="AD175" s="22">
        <f t="shared" ca="1" si="123"/>
        <v>0</v>
      </c>
      <c r="AF175" s="35" t="str">
        <f t="shared" ca="1" si="112"/>
        <v/>
      </c>
    </row>
    <row r="176" spans="2:52" ht="13" x14ac:dyDescent="0.3">
      <c r="B176" s="28">
        <f t="shared" si="124"/>
        <v>110</v>
      </c>
      <c r="D176" s="99" t="s">
        <v>465</v>
      </c>
      <c r="F176" s="113">
        <f ca="1">Function!T176</f>
        <v>0</v>
      </c>
      <c r="H176" s="200"/>
      <c r="J176" s="91"/>
      <c r="K176" s="192">
        <f>_xlfn.IFNA(MATCH(J176,'Trans Factors'!$B$70:$B$520,0),0)</f>
        <v>0</v>
      </c>
      <c r="L176" s="113">
        <f t="shared" ca="1" si="122"/>
        <v>0</v>
      </c>
      <c r="O176" s="186">
        <f>_xlfn.IFNA(MATCH(N176,'Trans Factors'!$B$13:$B$450,0),0)</f>
        <v>0</v>
      </c>
      <c r="P176" s="22">
        <f ca="1">OFFSET('Trans Factors'!$B$13,$O176-1,P$14)*$L176+OFFSET('Trans Factors'!$B$13,$K176-1,P$14)*$H176</f>
        <v>0</v>
      </c>
      <c r="Q176" s="24"/>
      <c r="R176" s="22">
        <f ca="1">OFFSET('Trans Factors'!$B$13,$O176-1,R$14)*$L176+OFFSET('Trans Factors'!$B$13,$K176-1,R$14)*$H176</f>
        <v>0</v>
      </c>
      <c r="S176" s="22"/>
      <c r="T176" s="22">
        <f ca="1">OFFSET('Trans Factors'!$B$13,$O176-1,T$14)*$L176+OFFSET('Trans Factors'!$B$13,$K176-1,T$14)*$H176</f>
        <v>0</v>
      </c>
      <c r="U176" s="22"/>
      <c r="V176" s="22">
        <f ca="1">OFFSET('Trans Factors'!$B$13,$O176-1,V$14)*$L176+OFFSET('Trans Factors'!$B$13,$K176-1,V$14)*$H176</f>
        <v>0</v>
      </c>
      <c r="X176" s="22">
        <f ca="1">OFFSET('Trans Factors'!$B$13,$O176-1,X$14)*$L176+OFFSET('Trans Factors'!$B$13,$K176-1,X$14)*$H176</f>
        <v>0</v>
      </c>
      <c r="Y176" s="9"/>
      <c r="Z176" s="22">
        <f ca="1">OFFSET('Trans Factors'!$B$13,$O176-1,Z$14)*$L176+OFFSET('Trans Factors'!$B$13,$K176-1,Z$14)*$H176</f>
        <v>0</v>
      </c>
      <c r="AA176" s="22"/>
      <c r="AB176" s="22">
        <f ca="1">OFFSET('Trans Factors'!$B$13,$O176-1,AB$14)*$L176+OFFSET('Trans Factors'!$B$13,$K176-1,AB$14)*$H176</f>
        <v>0</v>
      </c>
      <c r="AD176" s="22">
        <f t="shared" ca="1" si="123"/>
        <v>0</v>
      </c>
      <c r="AF176" s="35" t="str">
        <f t="shared" ca="1" si="112"/>
        <v/>
      </c>
    </row>
    <row r="177" spans="2:32" ht="13" x14ac:dyDescent="0.3">
      <c r="B177" s="28"/>
      <c r="O177" s="186"/>
      <c r="Q177" s="24"/>
      <c r="S177" s="22"/>
      <c r="U177" s="22"/>
      <c r="Z177" s="99"/>
      <c r="AB177" s="99"/>
      <c r="AD177" s="99"/>
      <c r="AF177" s="35" t="str">
        <f t="shared" si="112"/>
        <v/>
      </c>
    </row>
    <row r="178" spans="2:32" ht="13" x14ac:dyDescent="0.3">
      <c r="B178" s="28">
        <f>B176+1</f>
        <v>111</v>
      </c>
      <c r="D178" s="99" t="s">
        <v>484</v>
      </c>
      <c r="F178" s="79">
        <f ca="1">SUM(F170:F176)</f>
        <v>0</v>
      </c>
      <c r="H178" s="79">
        <f>SUM(H170:H176)</f>
        <v>0</v>
      </c>
      <c r="J178" s="91"/>
      <c r="L178" s="79">
        <f ca="1">SUM(L170:L176)</f>
        <v>0</v>
      </c>
      <c r="O178" s="186"/>
      <c r="P178" s="10">
        <f ca="1">SUM(P170:P176)</f>
        <v>0</v>
      </c>
      <c r="Q178" s="24"/>
      <c r="R178" s="10">
        <f ca="1">SUM(R170:R176)</f>
        <v>0</v>
      </c>
      <c r="S178" s="22"/>
      <c r="T178" s="10">
        <f ca="1">SUM(T170:T176)</f>
        <v>0</v>
      </c>
      <c r="U178" s="22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35" t="str">
        <f t="shared" ca="1" si="112"/>
        <v/>
      </c>
    </row>
    <row r="179" spans="2:32" ht="13" x14ac:dyDescent="0.3">
      <c r="B179" s="28"/>
      <c r="Q179" s="24"/>
      <c r="S179" s="22"/>
      <c r="U179" s="22"/>
      <c r="Z179" s="99"/>
      <c r="AB179" s="99"/>
      <c r="AD179" s="99"/>
      <c r="AF179" s="35" t="str">
        <f t="shared" si="112"/>
        <v/>
      </c>
    </row>
    <row r="180" spans="2:32" ht="13.5" thickBot="1" x14ac:dyDescent="0.35">
      <c r="B180" s="28">
        <f>B178+1</f>
        <v>112</v>
      </c>
      <c r="D180" s="99" t="s">
        <v>172</v>
      </c>
      <c r="F180" s="207">
        <f ca="1">F164-F178</f>
        <v>470426.6214762858</v>
      </c>
      <c r="H180" s="207">
        <f>H164-H178</f>
        <v>0</v>
      </c>
      <c r="L180" s="207">
        <f ca="1">L164-L178</f>
        <v>470426.6214762858</v>
      </c>
      <c r="P180" s="60">
        <f ca="1">P164-P178</f>
        <v>12523.671291923149</v>
      </c>
      <c r="Q180" s="24"/>
      <c r="R180" s="60">
        <f ca="1">R164-R178</f>
        <v>1452.0154432174706</v>
      </c>
      <c r="S180" s="22"/>
      <c r="T180" s="60">
        <f ca="1">T164-T178</f>
        <v>47264.710948384934</v>
      </c>
      <c r="U180" s="22"/>
      <c r="V180" s="60">
        <f ca="1">V164-V178</f>
        <v>243137.02190119354</v>
      </c>
      <c r="X180" s="60">
        <f ca="1">X164-X178</f>
        <v>36183.519639537146</v>
      </c>
      <c r="Z180" s="60">
        <f ca="1">Z164-Z178</f>
        <v>84631.996759477537</v>
      </c>
      <c r="AB180" s="60">
        <f ca="1">AB164-AB178</f>
        <v>45233.68549255206</v>
      </c>
      <c r="AD180" s="60">
        <f ca="1">AD164-AD178</f>
        <v>470426.62147628586</v>
      </c>
      <c r="AF180" s="35" t="str">
        <f t="shared" ca="1" si="112"/>
        <v/>
      </c>
    </row>
    <row r="181" spans="2:32" ht="13" thickTop="1" x14ac:dyDescent="0.25">
      <c r="D181" s="99" t="s">
        <v>487</v>
      </c>
      <c r="Z181" s="99"/>
      <c r="AB181" s="99"/>
      <c r="AD181" s="99"/>
    </row>
  </sheetData>
  <mergeCells count="4">
    <mergeCell ref="B5:AD5"/>
    <mergeCell ref="B6:AD6"/>
    <mergeCell ref="B7:AD7"/>
    <mergeCell ref="P10:AA10"/>
  </mergeCells>
  <phoneticPr fontId="13" type="noConversion"/>
  <pageMargins left="0.7" right="0.7" top="0.75" bottom="0.75" header="0.3" footer="0.3"/>
  <pageSetup scale="55" fitToHeight="4" orientation="landscape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dimension ref="A4:BE158"/>
  <sheetViews>
    <sheetView view="pageLayout" zoomScaleNormal="80" workbookViewId="0">
      <selection activeCell="B4" sqref="B4"/>
    </sheetView>
  </sheetViews>
  <sheetFormatPr defaultColWidth="9.1796875" defaultRowHeight="12.5" x14ac:dyDescent="0.25"/>
  <cols>
    <col min="1" max="1" width="6.453125" style="1" customWidth="1"/>
    <col min="2" max="2" width="30.7265625" style="1" customWidth="1"/>
    <col min="3" max="3" width="8.26953125" style="136" customWidth="1"/>
    <col min="4" max="4" width="15.7265625" style="1" customWidth="1"/>
    <col min="5" max="5" width="1.7265625" style="1" customWidth="1"/>
    <col min="6" max="6" width="15.7265625" style="1" customWidth="1"/>
    <col min="7" max="7" width="1.7265625" style="1" customWidth="1"/>
    <col min="8" max="8" width="15.7265625" style="1" customWidth="1"/>
    <col min="9" max="9" width="1.7265625" style="1" customWidth="1"/>
    <col min="10" max="10" width="15.7265625" style="1" customWidth="1"/>
    <col min="11" max="11" width="1.7265625" style="1" customWidth="1"/>
    <col min="12" max="12" width="15.7265625" style="1" customWidth="1"/>
    <col min="13" max="13" width="1.7265625" style="1" customWidth="1"/>
    <col min="14" max="14" width="15.7265625" style="1" customWidth="1"/>
    <col min="15" max="15" width="1.7265625" style="1" customWidth="1"/>
    <col min="16" max="16" width="15.7265625" style="1" customWidth="1"/>
    <col min="17" max="17" width="1.7265625" style="1" customWidth="1"/>
    <col min="18" max="18" width="15.7265625" style="1" customWidth="1"/>
    <col min="19" max="20" width="9.1796875" style="1"/>
    <col min="21" max="21" width="9.1796875" style="97" customWidth="1"/>
    <col min="22" max="22" width="28" style="97" bestFit="1" customWidth="1"/>
    <col min="23" max="23" width="1.7265625" style="97" customWidth="1"/>
    <col min="24" max="24" width="11" style="97" customWidth="1"/>
    <col min="25" max="25" width="1.7265625" style="97" customWidth="1"/>
    <col min="26" max="26" width="11" style="97" customWidth="1"/>
    <col min="27" max="27" width="1.7265625" style="97" customWidth="1"/>
    <col min="28" max="28" width="11" style="97" customWidth="1"/>
    <col min="29" max="29" width="1.7265625" style="97" customWidth="1"/>
    <col min="30" max="30" width="11" style="97" customWidth="1"/>
    <col min="31" max="31" width="1.7265625" style="97" customWidth="1"/>
    <col min="32" max="32" width="11" style="97" customWidth="1"/>
    <col min="33" max="33" width="1.7265625" style="97" customWidth="1"/>
    <col min="34" max="34" width="11" style="97" customWidth="1"/>
    <col min="35" max="35" width="1.7265625" style="97" customWidth="1"/>
    <col min="36" max="36" width="11.1796875" style="97" customWidth="1"/>
    <col min="37" max="37" width="9.1796875" style="109"/>
    <col min="38" max="39" width="9.1796875" style="84" customWidth="1"/>
    <col min="40" max="40" width="9.1796875" style="84"/>
    <col min="41" max="42" width="9.1796875" style="84" customWidth="1"/>
    <col min="43" max="57" width="9.1796875" style="84"/>
    <col min="58" max="16384" width="9.1796875" style="1"/>
  </cols>
  <sheetData>
    <row r="4" spans="1:57" x14ac:dyDescent="0.25">
      <c r="P4" s="88"/>
      <c r="Q4" s="88"/>
      <c r="R4" s="88"/>
    </row>
    <row r="5" spans="1:57" s="99" customFormat="1" x14ac:dyDescent="0.25">
      <c r="C5" s="163"/>
      <c r="P5" s="88"/>
      <c r="Q5" s="88"/>
      <c r="R5" s="88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109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</row>
    <row r="6" spans="1:57" s="99" customFormat="1" x14ac:dyDescent="0.25">
      <c r="B6" s="263" t="s">
        <v>412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109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</row>
    <row r="7" spans="1:57" s="99" customFormat="1" x14ac:dyDescent="0.25">
      <c r="B7" s="263" t="s">
        <v>473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109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</row>
    <row r="8" spans="1:57" s="99" customFormat="1" x14ac:dyDescent="0.25">
      <c r="C8" s="163"/>
      <c r="P8" s="88"/>
      <c r="Q8" s="88"/>
      <c r="R8" s="88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109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</row>
    <row r="9" spans="1:57" x14ac:dyDescent="0.25">
      <c r="A9" s="128" t="s">
        <v>2</v>
      </c>
      <c r="B9" s="128" t="s">
        <v>9</v>
      </c>
      <c r="D9" s="99"/>
      <c r="E9" s="99"/>
      <c r="F9" s="128" t="s">
        <v>52</v>
      </c>
      <c r="G9" s="99"/>
      <c r="H9" s="128" t="s">
        <v>54</v>
      </c>
      <c r="I9" s="99"/>
      <c r="J9" s="128" t="s">
        <v>55</v>
      </c>
      <c r="K9" s="99"/>
      <c r="L9" s="128" t="s">
        <v>52</v>
      </c>
      <c r="M9" s="99"/>
      <c r="N9" s="128"/>
      <c r="O9" s="99"/>
      <c r="P9" s="128" t="s">
        <v>60</v>
      </c>
      <c r="Q9" s="99"/>
      <c r="R9" s="128" t="s">
        <v>9</v>
      </c>
      <c r="AK9" s="41"/>
      <c r="AM9" s="19"/>
      <c r="AR9" s="19"/>
      <c r="AT9" s="19"/>
      <c r="AV9" s="19"/>
      <c r="AX9" s="19"/>
      <c r="AZ9" s="19"/>
      <c r="BB9" s="19"/>
      <c r="BD9" s="19"/>
    </row>
    <row r="10" spans="1:57" x14ac:dyDescent="0.25">
      <c r="A10" s="129" t="s">
        <v>4</v>
      </c>
      <c r="B10" s="129" t="s">
        <v>354</v>
      </c>
      <c r="C10" s="137"/>
      <c r="D10" s="129" t="s">
        <v>11</v>
      </c>
      <c r="E10" s="99"/>
      <c r="F10" s="129" t="s">
        <v>53</v>
      </c>
      <c r="G10" s="99"/>
      <c r="H10" s="16" t="s">
        <v>53</v>
      </c>
      <c r="I10" s="99"/>
      <c r="J10" s="129" t="s">
        <v>53</v>
      </c>
      <c r="K10" s="99"/>
      <c r="L10" s="129" t="s">
        <v>55</v>
      </c>
      <c r="M10" s="99"/>
      <c r="N10" s="129" t="s">
        <v>58</v>
      </c>
      <c r="O10" s="99"/>
      <c r="P10" s="129" t="s">
        <v>104</v>
      </c>
      <c r="Q10" s="99"/>
      <c r="R10" s="129" t="s">
        <v>49</v>
      </c>
      <c r="AK10" s="41"/>
      <c r="AM10" s="19"/>
      <c r="AN10" s="19"/>
      <c r="AP10" s="19"/>
      <c r="AR10" s="19"/>
      <c r="AT10" s="152"/>
      <c r="AV10" s="19"/>
      <c r="AX10" s="19"/>
      <c r="AZ10" s="19"/>
      <c r="BB10" s="19"/>
      <c r="BD10" s="19"/>
    </row>
    <row r="11" spans="1:57" x14ac:dyDescent="0.25">
      <c r="A11" s="19"/>
      <c r="B11" s="19"/>
      <c r="C11" s="19"/>
      <c r="D11" s="128" t="s">
        <v>12</v>
      </c>
      <c r="E11" s="128"/>
      <c r="F11" s="130" t="s">
        <v>13</v>
      </c>
      <c r="G11" s="128"/>
      <c r="H11" s="130" t="s">
        <v>14</v>
      </c>
      <c r="I11" s="128"/>
      <c r="J11" s="130" t="s">
        <v>415</v>
      </c>
      <c r="K11" s="128"/>
      <c r="L11" s="130" t="s">
        <v>15</v>
      </c>
      <c r="M11" s="99"/>
      <c r="N11" s="130" t="s">
        <v>16</v>
      </c>
      <c r="O11" s="128"/>
      <c r="P11" s="130" t="s">
        <v>59</v>
      </c>
      <c r="Q11" s="99"/>
      <c r="R11" s="130" t="s">
        <v>61</v>
      </c>
      <c r="AK11" s="41"/>
      <c r="AN11" s="156"/>
      <c r="AP11" s="19"/>
      <c r="AQ11" s="19"/>
      <c r="AR11" s="154"/>
      <c r="AS11" s="19"/>
      <c r="AT11" s="154"/>
      <c r="AU11" s="19"/>
      <c r="AV11" s="154"/>
      <c r="AW11" s="19"/>
      <c r="AX11" s="154"/>
      <c r="AZ11" s="154"/>
      <c r="BA11" s="19"/>
      <c r="BB11" s="154"/>
      <c r="BD11" s="154"/>
    </row>
    <row r="12" spans="1:57" x14ac:dyDescent="0.25">
      <c r="A12" s="84"/>
      <c r="B12" s="84"/>
      <c r="C12" s="19"/>
      <c r="AK12" s="41"/>
      <c r="AN12" s="156"/>
    </row>
    <row r="13" spans="1:57" s="99" customFormat="1" x14ac:dyDescent="0.25">
      <c r="A13" s="128">
        <v>1</v>
      </c>
      <c r="B13" s="128"/>
      <c r="C13" s="2" t="s">
        <v>416</v>
      </c>
      <c r="D13" s="160">
        <f>SUM(F13:R13)</f>
        <v>1</v>
      </c>
      <c r="E13" s="14"/>
      <c r="F13" s="160">
        <v>0</v>
      </c>
      <c r="G13" s="160"/>
      <c r="H13" s="160">
        <v>0</v>
      </c>
      <c r="I13" s="160"/>
      <c r="J13" s="160">
        <v>0</v>
      </c>
      <c r="K13" s="160"/>
      <c r="L13" s="160">
        <v>0.84299834963035125</v>
      </c>
      <c r="M13" s="160"/>
      <c r="N13" s="160">
        <v>0</v>
      </c>
      <c r="O13" s="160"/>
      <c r="P13" s="160">
        <v>0.15700165036964872</v>
      </c>
      <c r="Q13" s="160"/>
      <c r="R13" s="160">
        <v>0</v>
      </c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41"/>
      <c r="AL13" s="84"/>
      <c r="AM13" s="19"/>
      <c r="AN13" s="155"/>
      <c r="AO13" s="84"/>
      <c r="AP13" s="160"/>
      <c r="AQ13" s="158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84"/>
    </row>
    <row r="14" spans="1:57" s="99" customFormat="1" x14ac:dyDescent="0.25">
      <c r="A14" s="128">
        <v>2</v>
      </c>
      <c r="B14" s="128" t="s">
        <v>410</v>
      </c>
      <c r="C14" s="2"/>
      <c r="D14" s="83">
        <f>SUM(F14:R14)</f>
        <v>1</v>
      </c>
      <c r="F14" s="34">
        <f>IFERROR(F13/$D13,0)</f>
        <v>0</v>
      </c>
      <c r="H14" s="34">
        <f>IFERROR(H13/$D13,0)</f>
        <v>0</v>
      </c>
      <c r="J14" s="34">
        <f>IFERROR(J13/$D13,0)</f>
        <v>0</v>
      </c>
      <c r="L14" s="34">
        <f>IFERROR(L13/$D13,0)</f>
        <v>0.84299834963035125</v>
      </c>
      <c r="N14" s="34">
        <f>IFERROR(N13/$D13,0)</f>
        <v>0</v>
      </c>
      <c r="P14" s="34">
        <f>IFERROR(P13/$D13,0)</f>
        <v>0.15700165036964872</v>
      </c>
      <c r="R14" s="34">
        <f>IFERROR(R13/$D13,0)</f>
        <v>0</v>
      </c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41"/>
      <c r="AL14" s="84"/>
      <c r="AM14" s="19"/>
      <c r="AN14" s="155"/>
      <c r="AO14" s="84"/>
      <c r="AP14" s="83"/>
      <c r="AQ14" s="84"/>
      <c r="AR14" s="144"/>
      <c r="AS14" s="84"/>
      <c r="AT14" s="144"/>
      <c r="AU14" s="84"/>
      <c r="AV14" s="144"/>
      <c r="AW14" s="84"/>
      <c r="AX14" s="144"/>
      <c r="AY14" s="84"/>
      <c r="AZ14" s="144"/>
      <c r="BA14" s="84"/>
      <c r="BB14" s="144"/>
      <c r="BC14" s="84"/>
      <c r="BD14" s="144"/>
      <c r="BE14" s="84"/>
    </row>
    <row r="15" spans="1:57" s="99" customFormat="1" x14ac:dyDescent="0.25">
      <c r="A15" s="128"/>
      <c r="C15" s="2"/>
      <c r="D15" s="83"/>
      <c r="F15" s="34"/>
      <c r="H15" s="34"/>
      <c r="J15" s="34"/>
      <c r="L15" s="34"/>
      <c r="N15" s="34"/>
      <c r="P15" s="34"/>
      <c r="R15" s="34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41"/>
      <c r="AL15" s="84"/>
      <c r="AM15" s="84"/>
      <c r="AN15" s="156"/>
      <c r="AO15" s="84"/>
      <c r="AP15" s="83"/>
      <c r="AQ15" s="84"/>
      <c r="AR15" s="144"/>
      <c r="AS15" s="84"/>
      <c r="AT15" s="144"/>
      <c r="AU15" s="84"/>
      <c r="AV15" s="144"/>
      <c r="AW15" s="84"/>
      <c r="AX15" s="144"/>
      <c r="AY15" s="84"/>
      <c r="AZ15" s="144"/>
      <c r="BA15" s="84"/>
      <c r="BB15" s="144"/>
      <c r="BC15" s="84"/>
      <c r="BD15" s="144"/>
      <c r="BE15" s="84"/>
    </row>
    <row r="16" spans="1:57" s="99" customFormat="1" x14ac:dyDescent="0.25">
      <c r="A16" s="128">
        <v>3</v>
      </c>
      <c r="B16" s="128"/>
      <c r="C16" s="2" t="s">
        <v>417</v>
      </c>
      <c r="D16" s="66">
        <f>SUM(F16:R16)</f>
        <v>1</v>
      </c>
      <c r="E16" s="8"/>
      <c r="F16" s="66">
        <v>0</v>
      </c>
      <c r="G16" s="66"/>
      <c r="H16" s="66">
        <v>0</v>
      </c>
      <c r="I16" s="66"/>
      <c r="J16" s="66">
        <v>0</v>
      </c>
      <c r="K16" s="66"/>
      <c r="L16" s="66">
        <v>1</v>
      </c>
      <c r="M16" s="160"/>
      <c r="N16" s="160">
        <v>0</v>
      </c>
      <c r="O16" s="160"/>
      <c r="P16" s="160">
        <v>0</v>
      </c>
      <c r="Q16" s="160"/>
      <c r="R16" s="160">
        <v>0</v>
      </c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41"/>
      <c r="AL16" s="84"/>
      <c r="AM16" s="19"/>
      <c r="AN16" s="156"/>
      <c r="AO16" s="84"/>
      <c r="AP16" s="66"/>
      <c r="AQ16" s="61"/>
      <c r="AR16" s="66"/>
      <c r="AS16" s="66"/>
      <c r="AT16" s="66"/>
      <c r="AU16" s="66"/>
      <c r="AV16" s="66"/>
      <c r="AW16" s="66"/>
      <c r="AX16" s="66"/>
      <c r="AY16" s="160"/>
      <c r="AZ16" s="160"/>
      <c r="BA16" s="160"/>
      <c r="BB16" s="160"/>
      <c r="BC16" s="160"/>
      <c r="BD16" s="160"/>
      <c r="BE16" s="84"/>
    </row>
    <row r="17" spans="1:57" s="99" customFormat="1" x14ac:dyDescent="0.25">
      <c r="A17" s="128">
        <v>4</v>
      </c>
      <c r="B17" s="128" t="s">
        <v>389</v>
      </c>
      <c r="C17" s="2"/>
      <c r="D17" s="83">
        <f>SUM(F17:R17)</f>
        <v>1</v>
      </c>
      <c r="F17" s="34">
        <f>IFERROR(F16/$D16,0)</f>
        <v>0</v>
      </c>
      <c r="H17" s="34">
        <f>IFERROR(H16/$D16,0)</f>
        <v>0</v>
      </c>
      <c r="J17" s="34">
        <f>IFERROR(J16/$D16,0)</f>
        <v>0</v>
      </c>
      <c r="L17" s="34">
        <f>IFERROR(L16/$D16,0)</f>
        <v>1</v>
      </c>
      <c r="N17" s="34">
        <f>IFERROR(N16/$D16,0)</f>
        <v>0</v>
      </c>
      <c r="P17" s="34">
        <f>IFERROR(P16/$D16,0)</f>
        <v>0</v>
      </c>
      <c r="R17" s="34">
        <f>IFERROR(R16/$D16,0)</f>
        <v>0</v>
      </c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41"/>
      <c r="AL17" s="84"/>
      <c r="AM17" s="19"/>
      <c r="AN17" s="156"/>
      <c r="AO17" s="84"/>
      <c r="AP17" s="83"/>
      <c r="AQ17" s="84"/>
      <c r="AR17" s="144"/>
      <c r="AS17" s="84"/>
      <c r="AT17" s="144"/>
      <c r="AU17" s="84"/>
      <c r="AV17" s="144"/>
      <c r="AW17" s="84"/>
      <c r="AX17" s="144"/>
      <c r="AY17" s="84"/>
      <c r="AZ17" s="144"/>
      <c r="BA17" s="84"/>
      <c r="BB17" s="144"/>
      <c r="BC17" s="84"/>
      <c r="BD17" s="144"/>
      <c r="BE17" s="84"/>
    </row>
    <row r="18" spans="1:57" s="99" customFormat="1" x14ac:dyDescent="0.25">
      <c r="A18" s="128"/>
      <c r="C18" s="2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41"/>
      <c r="AL18" s="84"/>
      <c r="AM18" s="84"/>
      <c r="AN18" s="156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</row>
    <row r="19" spans="1:57" s="99" customFormat="1" x14ac:dyDescent="0.25">
      <c r="A19" s="128">
        <v>5</v>
      </c>
      <c r="B19" s="128"/>
      <c r="C19" s="2" t="s">
        <v>417</v>
      </c>
      <c r="D19" s="66">
        <f>SUM(F19:R19)</f>
        <v>1</v>
      </c>
      <c r="E19" s="8"/>
      <c r="F19" s="66">
        <v>0</v>
      </c>
      <c r="G19" s="66"/>
      <c r="H19" s="66">
        <v>0</v>
      </c>
      <c r="I19" s="66"/>
      <c r="J19" s="66">
        <v>0</v>
      </c>
      <c r="K19" s="66"/>
      <c r="L19" s="66">
        <v>0</v>
      </c>
      <c r="M19" s="66"/>
      <c r="N19" s="66">
        <v>0</v>
      </c>
      <c r="O19" s="66"/>
      <c r="P19" s="66">
        <v>1</v>
      </c>
      <c r="Q19" s="160"/>
      <c r="R19" s="160">
        <v>0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41"/>
      <c r="AL19" s="84"/>
      <c r="AM19" s="19"/>
      <c r="AN19" s="156"/>
      <c r="AO19" s="84"/>
      <c r="AP19" s="66"/>
      <c r="AQ19" s="61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160"/>
      <c r="BD19" s="160"/>
      <c r="BE19" s="84"/>
    </row>
    <row r="20" spans="1:57" s="99" customFormat="1" x14ac:dyDescent="0.25">
      <c r="A20" s="128">
        <v>6</v>
      </c>
      <c r="B20" s="128" t="s">
        <v>260</v>
      </c>
      <c r="C20" s="2"/>
      <c r="D20" s="83">
        <f>SUM(F20:R20)</f>
        <v>1</v>
      </c>
      <c r="F20" s="34">
        <f>IFERROR(F19/$D19,0)</f>
        <v>0</v>
      </c>
      <c r="H20" s="34">
        <f>IFERROR(H19/$D19,0)</f>
        <v>0</v>
      </c>
      <c r="J20" s="34">
        <f>IFERROR(J19/$D19,0)</f>
        <v>0</v>
      </c>
      <c r="L20" s="34">
        <f>IFERROR(L19/$D19,0)</f>
        <v>0</v>
      </c>
      <c r="N20" s="34">
        <f>IFERROR(N19/$D19,0)</f>
        <v>0</v>
      </c>
      <c r="P20" s="34">
        <f>IFERROR(P19/$D19,0)</f>
        <v>1</v>
      </c>
      <c r="R20" s="34">
        <f>IFERROR(R19/$D19,0)</f>
        <v>0</v>
      </c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41"/>
      <c r="AL20" s="84"/>
      <c r="AM20" s="19"/>
      <c r="AN20" s="156"/>
      <c r="AO20" s="84"/>
      <c r="AP20" s="83"/>
      <c r="AQ20" s="84"/>
      <c r="AR20" s="144"/>
      <c r="AS20" s="84"/>
      <c r="AT20" s="144"/>
      <c r="AU20" s="84"/>
      <c r="AV20" s="144"/>
      <c r="AW20" s="84"/>
      <c r="AX20" s="144"/>
      <c r="AY20" s="84"/>
      <c r="AZ20" s="144"/>
      <c r="BA20" s="84"/>
      <c r="BB20" s="144"/>
      <c r="BC20" s="84"/>
      <c r="BD20" s="144"/>
      <c r="BE20" s="84"/>
    </row>
    <row r="21" spans="1:57" s="99" customFormat="1" x14ac:dyDescent="0.25">
      <c r="A21" s="128"/>
      <c r="B21" s="128"/>
      <c r="C21" s="2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41"/>
      <c r="AL21" s="84"/>
      <c r="AM21" s="19"/>
      <c r="AN21" s="156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</row>
    <row r="22" spans="1:57" s="99" customFormat="1" x14ac:dyDescent="0.25">
      <c r="A22" s="128">
        <v>7</v>
      </c>
      <c r="B22" s="128"/>
      <c r="C22" s="2" t="s">
        <v>417</v>
      </c>
      <c r="D22" s="66">
        <f>SUM(F22:R22)</f>
        <v>1</v>
      </c>
      <c r="E22" s="8"/>
      <c r="F22" s="66">
        <v>0</v>
      </c>
      <c r="G22" s="66"/>
      <c r="H22" s="66">
        <v>0</v>
      </c>
      <c r="I22" s="66"/>
      <c r="J22" s="66">
        <v>0</v>
      </c>
      <c r="K22" s="66"/>
      <c r="L22" s="66">
        <v>0</v>
      </c>
      <c r="M22" s="66"/>
      <c r="N22" s="66">
        <v>0</v>
      </c>
      <c r="O22" s="66"/>
      <c r="P22" s="66">
        <v>0</v>
      </c>
      <c r="Q22" s="66"/>
      <c r="R22" s="66">
        <v>1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41"/>
      <c r="AL22" s="84"/>
      <c r="AM22" s="19"/>
      <c r="AN22" s="156"/>
      <c r="AO22" s="84"/>
      <c r="AP22" s="66"/>
      <c r="AQ22" s="61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84"/>
    </row>
    <row r="23" spans="1:57" s="99" customFormat="1" x14ac:dyDescent="0.25">
      <c r="A23" s="128">
        <v>8</v>
      </c>
      <c r="B23" s="128" t="s">
        <v>283</v>
      </c>
      <c r="C23" s="2"/>
      <c r="D23" s="83">
        <f>SUM(F23:R23)</f>
        <v>1</v>
      </c>
      <c r="F23" s="34">
        <f>IFERROR(F22/$D22,0)</f>
        <v>0</v>
      </c>
      <c r="H23" s="34">
        <f>IFERROR(H22/$D22,0)</f>
        <v>0</v>
      </c>
      <c r="J23" s="34">
        <f>IFERROR(J22/$D22,0)</f>
        <v>0</v>
      </c>
      <c r="L23" s="34">
        <f>IFERROR(L22/$D22,0)</f>
        <v>0</v>
      </c>
      <c r="N23" s="34">
        <f>IFERROR(N22/$D22,0)</f>
        <v>0</v>
      </c>
      <c r="P23" s="34">
        <f>IFERROR(P22/$D22,0)</f>
        <v>0</v>
      </c>
      <c r="R23" s="34">
        <f>IFERROR(R22/$D22,0)</f>
        <v>1</v>
      </c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41"/>
      <c r="AL23" s="84"/>
      <c r="AM23" s="19"/>
      <c r="AN23" s="156"/>
      <c r="AO23" s="84"/>
      <c r="AP23" s="83"/>
      <c r="AQ23" s="84"/>
      <c r="AR23" s="144"/>
      <c r="AS23" s="84"/>
      <c r="AT23" s="144"/>
      <c r="AU23" s="84"/>
      <c r="AV23" s="144"/>
      <c r="AW23" s="84"/>
      <c r="AX23" s="144"/>
      <c r="AY23" s="84"/>
      <c r="AZ23" s="144"/>
      <c r="BA23" s="84"/>
      <c r="BB23" s="144"/>
      <c r="BC23" s="84"/>
      <c r="BD23" s="144"/>
      <c r="BE23" s="84"/>
    </row>
    <row r="24" spans="1:57" s="99" customFormat="1" x14ac:dyDescent="0.25">
      <c r="A24" s="128"/>
      <c r="B24" s="128"/>
      <c r="C24" s="2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41"/>
      <c r="AL24" s="84"/>
      <c r="AM24" s="19"/>
      <c r="AN24" s="156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</row>
    <row r="25" spans="1:57" s="99" customFormat="1" x14ac:dyDescent="0.25">
      <c r="A25" s="128">
        <v>9</v>
      </c>
      <c r="B25" s="128"/>
      <c r="C25" s="2" t="s">
        <v>416</v>
      </c>
      <c r="D25" s="66">
        <f>SUM(F25:R25)</f>
        <v>1361920.8223768368</v>
      </c>
      <c r="E25" s="51"/>
      <c r="F25" s="66">
        <v>0</v>
      </c>
      <c r="G25" s="66"/>
      <c r="H25" s="66">
        <v>0</v>
      </c>
      <c r="I25" s="66"/>
      <c r="J25" s="66">
        <v>308461.25900932599</v>
      </c>
      <c r="K25" s="66"/>
      <c r="L25" s="66">
        <v>1038455.0934274063</v>
      </c>
      <c r="M25" s="66"/>
      <c r="N25" s="66">
        <v>0</v>
      </c>
      <c r="O25" s="66"/>
      <c r="P25" s="66">
        <v>15004.469940104416</v>
      </c>
      <c r="Q25" s="66"/>
      <c r="R25" s="66">
        <v>0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41"/>
      <c r="AL25" s="84"/>
      <c r="AM25" s="19"/>
      <c r="AN25" s="155"/>
      <c r="AO25" s="84"/>
      <c r="AP25" s="66"/>
      <c r="AQ25" s="51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84"/>
    </row>
    <row r="26" spans="1:57" s="99" customFormat="1" x14ac:dyDescent="0.25">
      <c r="A26" s="128">
        <v>10</v>
      </c>
      <c r="B26" s="128" t="s">
        <v>312</v>
      </c>
      <c r="C26" s="2"/>
      <c r="D26" s="83">
        <f>SUM(F26:R26)</f>
        <v>0.99999999999999989</v>
      </c>
      <c r="F26" s="34">
        <f>IFERROR(F25/$D25,0)</f>
        <v>0</v>
      </c>
      <c r="H26" s="34">
        <f>IFERROR(H25/$D25,0)</f>
        <v>0</v>
      </c>
      <c r="J26" s="34">
        <f>IFERROR(J25/$D25,0)</f>
        <v>0.22648986192236678</v>
      </c>
      <c r="L26" s="34">
        <f>IFERROR(L25/$D25,0)</f>
        <v>0.76249299986109687</v>
      </c>
      <c r="N26" s="34">
        <f>IFERROR(N25/$D25,0)</f>
        <v>0</v>
      </c>
      <c r="P26" s="34">
        <f>IFERROR(P25/$D25,0)</f>
        <v>1.1017138216536316E-2</v>
      </c>
      <c r="R26" s="34">
        <f>IFERROR(R25/$D25,0)</f>
        <v>0</v>
      </c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41"/>
      <c r="AL26" s="84"/>
      <c r="AM26" s="19"/>
      <c r="AN26" s="155"/>
      <c r="AO26" s="84"/>
      <c r="AP26" s="83"/>
      <c r="AQ26" s="84"/>
      <c r="AR26" s="144"/>
      <c r="AS26" s="84"/>
      <c r="AT26" s="144"/>
      <c r="AU26" s="84"/>
      <c r="AV26" s="144"/>
      <c r="AW26" s="84"/>
      <c r="AX26" s="144"/>
      <c r="AY26" s="84"/>
      <c r="AZ26" s="144"/>
      <c r="BA26" s="84"/>
      <c r="BB26" s="144"/>
      <c r="BC26" s="84"/>
      <c r="BD26" s="144"/>
      <c r="BE26" s="84"/>
    </row>
    <row r="27" spans="1:57" s="99" customFormat="1" x14ac:dyDescent="0.25">
      <c r="A27" s="128"/>
      <c r="C27" s="2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41"/>
      <c r="AL27" s="84"/>
      <c r="AM27" s="84"/>
      <c r="AN27" s="156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</row>
    <row r="28" spans="1:57" s="99" customFormat="1" x14ac:dyDescent="0.25">
      <c r="A28" s="128">
        <v>11</v>
      </c>
      <c r="B28" s="128"/>
      <c r="C28" s="2" t="s">
        <v>416</v>
      </c>
      <c r="D28" s="66">
        <f>SUM(F28:R28)</f>
        <v>-530200.06314518396</v>
      </c>
      <c r="F28" s="66">
        <v>0</v>
      </c>
      <c r="G28" s="66"/>
      <c r="H28" s="66">
        <v>0</v>
      </c>
      <c r="I28" s="66"/>
      <c r="J28" s="66">
        <v>-125107.14607215668</v>
      </c>
      <c r="K28" s="66"/>
      <c r="L28" s="66">
        <v>-395914.42592852411</v>
      </c>
      <c r="M28" s="66"/>
      <c r="N28" s="66">
        <v>0</v>
      </c>
      <c r="O28" s="66"/>
      <c r="P28" s="66">
        <v>-9178.491144503143</v>
      </c>
      <c r="Q28" s="66"/>
      <c r="R28" s="66">
        <v>0</v>
      </c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41"/>
      <c r="AL28" s="84"/>
      <c r="AM28" s="19"/>
      <c r="AN28" s="155"/>
      <c r="AO28" s="84"/>
      <c r="AP28" s="66"/>
      <c r="AQ28" s="84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84"/>
    </row>
    <row r="29" spans="1:57" s="99" customFormat="1" x14ac:dyDescent="0.25">
      <c r="A29" s="128">
        <v>12</v>
      </c>
      <c r="B29" s="128" t="s">
        <v>351</v>
      </c>
      <c r="C29" s="2"/>
      <c r="D29" s="83">
        <f>SUM(F29:R29)</f>
        <v>1</v>
      </c>
      <c r="F29" s="34">
        <f>IFERROR(F28/$D28,0)</f>
        <v>0</v>
      </c>
      <c r="H29" s="34">
        <f>IFERROR(H28/$D28,0)</f>
        <v>0</v>
      </c>
      <c r="J29" s="34">
        <f>IFERROR(J28/$D28,0)</f>
        <v>0.23596214857088535</v>
      </c>
      <c r="L29" s="34">
        <f>IFERROR(L28/$D28,0)</f>
        <v>0.74672647826545313</v>
      </c>
      <c r="N29" s="34">
        <f>IFERROR(N28/$D28,0)</f>
        <v>0</v>
      </c>
      <c r="P29" s="34">
        <f>IFERROR(P28/$D28,0)</f>
        <v>1.7311373163661447E-2</v>
      </c>
      <c r="R29" s="34">
        <f>IFERROR(R28/$D28,0)</f>
        <v>0</v>
      </c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41"/>
      <c r="AL29" s="84"/>
      <c r="AM29" s="19"/>
      <c r="AN29" s="155"/>
      <c r="AO29" s="84"/>
      <c r="AP29" s="83"/>
      <c r="AQ29" s="84"/>
      <c r="AR29" s="144"/>
      <c r="AS29" s="84"/>
      <c r="AT29" s="144"/>
      <c r="AU29" s="84"/>
      <c r="AV29" s="144"/>
      <c r="AW29" s="84"/>
      <c r="AX29" s="144"/>
      <c r="AY29" s="84"/>
      <c r="AZ29" s="144"/>
      <c r="BA29" s="84"/>
      <c r="BB29" s="144"/>
      <c r="BC29" s="84"/>
      <c r="BD29" s="144"/>
      <c r="BE29" s="84"/>
    </row>
    <row r="30" spans="1:57" s="99" customFormat="1" x14ac:dyDescent="0.25">
      <c r="A30" s="128"/>
      <c r="C30" s="2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41"/>
      <c r="AL30" s="84"/>
      <c r="AM30" s="84"/>
      <c r="AN30" s="156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</row>
    <row r="31" spans="1:57" s="99" customFormat="1" x14ac:dyDescent="0.25">
      <c r="A31" s="128">
        <v>13</v>
      </c>
      <c r="B31" s="128"/>
      <c r="C31" s="2" t="s">
        <v>416</v>
      </c>
      <c r="D31" s="66">
        <f>SUM(F31:R31)</f>
        <v>103657.95343097684</v>
      </c>
      <c r="E31" s="51"/>
      <c r="F31" s="66">
        <v>3096.2193133729857</v>
      </c>
      <c r="G31" s="66"/>
      <c r="H31" s="66">
        <v>484.93518532480044</v>
      </c>
      <c r="I31" s="66"/>
      <c r="J31" s="66">
        <v>14596.01348068241</v>
      </c>
      <c r="K31" s="66"/>
      <c r="L31" s="66">
        <v>62111.890612789823</v>
      </c>
      <c r="M31" s="66"/>
      <c r="N31" s="66">
        <v>6966.9001113654285</v>
      </c>
      <c r="O31" s="66"/>
      <c r="P31" s="66">
        <v>16401.994727441408</v>
      </c>
      <c r="Q31" s="66"/>
      <c r="R31" s="66">
        <v>0</v>
      </c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41"/>
      <c r="AL31" s="84"/>
      <c r="AM31" s="19"/>
      <c r="AN31" s="155"/>
      <c r="AO31" s="84"/>
      <c r="AP31" s="66"/>
      <c r="AQ31" s="51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84"/>
    </row>
    <row r="32" spans="1:57" s="99" customFormat="1" x14ac:dyDescent="0.25">
      <c r="A32" s="128">
        <v>14</v>
      </c>
      <c r="B32" s="128" t="s">
        <v>277</v>
      </c>
      <c r="C32" s="2"/>
      <c r="D32" s="83">
        <f>SUM(F32:R32)</f>
        <v>1.0000000000000002</v>
      </c>
      <c r="F32" s="34">
        <f>IFERROR(F31/$D31,0)</f>
        <v>2.9869577884678946E-2</v>
      </c>
      <c r="H32" s="34">
        <f>IFERROR(H31/$D31,0)</f>
        <v>4.6782245768310126E-3</v>
      </c>
      <c r="J32" s="34">
        <f>IFERROR(J31/$D31,0)</f>
        <v>0.14080939279204968</v>
      </c>
      <c r="L32" s="34">
        <f>IFERROR(L31/$D31,0)</f>
        <v>0.59920043331888206</v>
      </c>
      <c r="N32" s="34">
        <f>IFERROR(N31/$D31,0)</f>
        <v>6.7210473299615242E-2</v>
      </c>
      <c r="P32" s="34">
        <f>IFERROR(P31/$D31,0)</f>
        <v>0.15823189812794322</v>
      </c>
      <c r="R32" s="34">
        <f>IFERROR(R31/$D31,0)</f>
        <v>0</v>
      </c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41"/>
      <c r="AL32" s="84"/>
      <c r="AM32" s="19"/>
      <c r="AN32" s="155"/>
      <c r="AO32" s="84"/>
      <c r="AP32" s="83"/>
      <c r="AQ32" s="84"/>
      <c r="AR32" s="144"/>
      <c r="AS32" s="84"/>
      <c r="AT32" s="144"/>
      <c r="AU32" s="84"/>
      <c r="AV32" s="144"/>
      <c r="AW32" s="84"/>
      <c r="AX32" s="144"/>
      <c r="AY32" s="84"/>
      <c r="AZ32" s="144"/>
      <c r="BA32" s="84"/>
      <c r="BB32" s="144"/>
      <c r="BC32" s="84"/>
      <c r="BD32" s="144"/>
      <c r="BE32" s="84"/>
    </row>
    <row r="33" spans="1:57" s="99" customFormat="1" x14ac:dyDescent="0.25">
      <c r="A33" s="128"/>
      <c r="C33" s="2"/>
      <c r="D33" s="83"/>
      <c r="F33" s="34"/>
      <c r="H33" s="34"/>
      <c r="J33" s="34"/>
      <c r="L33" s="34"/>
      <c r="N33" s="34"/>
      <c r="P33" s="34"/>
      <c r="R33" s="34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41"/>
      <c r="AL33" s="84"/>
      <c r="AM33" s="84"/>
      <c r="AN33" s="156"/>
      <c r="AO33" s="84"/>
      <c r="AP33" s="83"/>
      <c r="AQ33" s="84"/>
      <c r="AR33" s="144"/>
      <c r="AS33" s="84"/>
      <c r="AT33" s="144"/>
      <c r="AU33" s="84"/>
      <c r="AV33" s="144"/>
      <c r="AW33" s="84"/>
      <c r="AX33" s="144"/>
      <c r="AY33" s="84"/>
      <c r="AZ33" s="144"/>
      <c r="BA33" s="84"/>
      <c r="BB33" s="144"/>
      <c r="BC33" s="84"/>
      <c r="BD33" s="144"/>
      <c r="BE33" s="84"/>
    </row>
    <row r="34" spans="1:57" s="99" customFormat="1" x14ac:dyDescent="0.25">
      <c r="A34" s="128">
        <v>15</v>
      </c>
      <c r="B34" s="128"/>
      <c r="C34" s="2" t="s">
        <v>417</v>
      </c>
      <c r="D34" s="160">
        <f ca="1">SUM(F34:R34)</f>
        <v>100.00000000000001</v>
      </c>
      <c r="E34" s="161"/>
      <c r="F34" s="160">
        <f ca="1">+X44*100</f>
        <v>2.8990180919397042</v>
      </c>
      <c r="G34" s="160"/>
      <c r="H34" s="160">
        <f ca="1">+Z44*100</f>
        <v>0.44013444220031611</v>
      </c>
      <c r="I34" s="160"/>
      <c r="J34" s="160">
        <f ca="1">+AB44*100</f>
        <v>11.863252928300527</v>
      </c>
      <c r="K34" s="160"/>
      <c r="L34" s="160">
        <f ca="1">+AD44*100</f>
        <v>53.668267268955653</v>
      </c>
      <c r="M34" s="160"/>
      <c r="N34" s="160">
        <f ca="1">+AF44*100</f>
        <v>8.9660257715721468</v>
      </c>
      <c r="O34" s="160"/>
      <c r="P34" s="160">
        <f ca="1">+AH44*100</f>
        <v>22.16330149703165</v>
      </c>
      <c r="Q34" s="160"/>
      <c r="R34" s="160">
        <f ca="1">+AJ44*100</f>
        <v>0</v>
      </c>
      <c r="U34" s="97"/>
      <c r="V34" s="219" t="s">
        <v>266</v>
      </c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41"/>
      <c r="AL34" s="84"/>
      <c r="AM34" s="19"/>
      <c r="AN34" s="156"/>
      <c r="AO34" s="84"/>
      <c r="AP34" s="160"/>
      <c r="AQ34" s="161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84"/>
    </row>
    <row r="35" spans="1:57" s="99" customFormat="1" x14ac:dyDescent="0.25">
      <c r="A35" s="128">
        <v>16</v>
      </c>
      <c r="B35" s="128" t="s">
        <v>266</v>
      </c>
      <c r="C35" s="2"/>
      <c r="D35" s="83">
        <f ca="1">SUM(F35:R35)</f>
        <v>1</v>
      </c>
      <c r="F35" s="34">
        <f ca="1">IFERROR(F34/$D34,0)</f>
        <v>2.8990180919397038E-2</v>
      </c>
      <c r="H35" s="34">
        <f ca="1">IFERROR(H34/$D34,0)</f>
        <v>4.4013444220031605E-3</v>
      </c>
      <c r="J35" s="34">
        <f ca="1">IFERROR(J34/$D34,0)</f>
        <v>0.11863252928300526</v>
      </c>
      <c r="L35" s="34">
        <f ca="1">IFERROR(L34/$D34,0)</f>
        <v>0.53668267268955649</v>
      </c>
      <c r="N35" s="34">
        <f ca="1">IFERROR(N34/$D34,0)</f>
        <v>8.9660257715721461E-2</v>
      </c>
      <c r="P35" s="34">
        <f ca="1">IFERROR(P34/$D34,0)</f>
        <v>0.22163301497031648</v>
      </c>
      <c r="R35" s="34">
        <f ca="1">IFERROR(R34/$D34,0)</f>
        <v>0</v>
      </c>
      <c r="U35" s="97"/>
      <c r="V35" s="97"/>
      <c r="W35" s="97"/>
      <c r="X35" s="163" t="s">
        <v>52</v>
      </c>
      <c r="Z35" s="163" t="s">
        <v>54</v>
      </c>
      <c r="AB35" s="163" t="s">
        <v>55</v>
      </c>
      <c r="AD35" s="163" t="s">
        <v>52</v>
      </c>
      <c r="AF35" s="163"/>
      <c r="AH35" s="163" t="s">
        <v>60</v>
      </c>
      <c r="AJ35" s="163" t="s">
        <v>9</v>
      </c>
      <c r="AK35" s="41"/>
      <c r="AL35" s="84"/>
      <c r="AM35" s="19"/>
      <c r="AN35" s="156"/>
      <c r="AO35" s="84"/>
      <c r="AP35" s="83"/>
      <c r="AQ35" s="84"/>
      <c r="AR35" s="144"/>
      <c r="AS35" s="84"/>
      <c r="AT35" s="144"/>
      <c r="AU35" s="84"/>
      <c r="AV35" s="144"/>
      <c r="AW35" s="84"/>
      <c r="AX35" s="144"/>
      <c r="AY35" s="84"/>
      <c r="AZ35" s="144"/>
      <c r="BA35" s="84"/>
      <c r="BB35" s="144"/>
      <c r="BC35" s="84"/>
      <c r="BD35" s="144"/>
      <c r="BE35" s="84"/>
    </row>
    <row r="36" spans="1:57" s="99" customFormat="1" x14ac:dyDescent="0.25">
      <c r="A36" s="128"/>
      <c r="B36" s="128"/>
      <c r="C36" s="2"/>
      <c r="U36" s="97"/>
      <c r="V36" s="97"/>
      <c r="W36" s="97"/>
      <c r="X36" s="164" t="s">
        <v>53</v>
      </c>
      <c r="Z36" s="16" t="s">
        <v>53</v>
      </c>
      <c r="AB36" s="164" t="s">
        <v>53</v>
      </c>
      <c r="AD36" s="164" t="s">
        <v>55</v>
      </c>
      <c r="AF36" s="164" t="s">
        <v>58</v>
      </c>
      <c r="AH36" s="164" t="s">
        <v>104</v>
      </c>
      <c r="AJ36" s="164" t="s">
        <v>49</v>
      </c>
      <c r="AK36" s="41"/>
      <c r="AL36" s="84"/>
      <c r="AM36" s="19"/>
      <c r="AN36" s="156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</row>
    <row r="37" spans="1:57" s="99" customFormat="1" x14ac:dyDescent="0.25">
      <c r="A37" s="128">
        <v>17</v>
      </c>
      <c r="B37" s="128"/>
      <c r="C37" s="2" t="s">
        <v>417</v>
      </c>
      <c r="D37" s="66">
        <f ca="1">SUM(F37:R37)</f>
        <v>21354.704399968523</v>
      </c>
      <c r="E37" s="51"/>
      <c r="F37" s="66">
        <f ca="1">+'Transmission Class'!AL162</f>
        <v>873.48798309118229</v>
      </c>
      <c r="G37" s="66"/>
      <c r="H37" s="66">
        <f ca="1">+'Transmission Class'!AN162</f>
        <v>151.63710036810065</v>
      </c>
      <c r="I37" s="66"/>
      <c r="J37" s="66">
        <f ca="1">+'Transmission Class'!AP162</f>
        <v>2676.0795425783022</v>
      </c>
      <c r="K37" s="66"/>
      <c r="L37" s="66">
        <f ca="1">+'Transmission Class'!AR162</f>
        <v>11594.91428884587</v>
      </c>
      <c r="M37" s="66"/>
      <c r="N37" s="66">
        <f ca="1">+'Transmission Class'!AT162</f>
        <v>1444.5212728001711</v>
      </c>
      <c r="O37" s="66"/>
      <c r="P37" s="66">
        <f ca="1">+'Transmission Class'!AV162</f>
        <v>4614.0642122849094</v>
      </c>
      <c r="Q37" s="66"/>
      <c r="R37" s="66">
        <f ca="1">+'Transmission Class'!AX162</f>
        <v>0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41"/>
      <c r="AL37" s="84"/>
      <c r="AM37" s="19"/>
      <c r="AN37" s="156"/>
      <c r="AO37" s="84"/>
      <c r="AP37" s="66"/>
      <c r="AQ37" s="51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84"/>
    </row>
    <row r="38" spans="1:57" s="99" customFormat="1" x14ac:dyDescent="0.25">
      <c r="A38" s="128">
        <v>18</v>
      </c>
      <c r="B38" s="128" t="s">
        <v>258</v>
      </c>
      <c r="C38" s="2"/>
      <c r="D38" s="83">
        <f ca="1">SUM(F38:R38)</f>
        <v>0.99999999999999933</v>
      </c>
      <c r="F38" s="34">
        <f ca="1">IFERROR(F37/$D37,0)</f>
        <v>4.0903773085825053E-2</v>
      </c>
      <c r="H38" s="34">
        <f ca="1">IFERROR(H37/$D37,0)</f>
        <v>7.1008756444469519E-3</v>
      </c>
      <c r="J38" s="34">
        <f ca="1">IFERROR(J37/$D37,0)</f>
        <v>0.12531569121519878</v>
      </c>
      <c r="L38" s="34">
        <f ca="1">IFERROR(L37/$D37,0)</f>
        <v>0.54296767923713152</v>
      </c>
      <c r="N38" s="34">
        <f ca="1">IFERROR(N37/$D37,0)</f>
        <v>6.7644170846134513E-2</v>
      </c>
      <c r="P38" s="34">
        <f ca="1">IFERROR(P37/$D37,0)</f>
        <v>0.21606780997126379</v>
      </c>
      <c r="R38" s="34">
        <f ca="1">IFERROR(R37/$D37,0)</f>
        <v>0</v>
      </c>
      <c r="U38" s="97"/>
      <c r="V38" s="97" t="s">
        <v>405</v>
      </c>
      <c r="W38" s="97"/>
      <c r="X38" s="89">
        <f ca="1">'Transmission Class'!P75-'Transmission Class'!P74-'Transmission Class'!P70</f>
        <v>58874.668042314879</v>
      </c>
      <c r="Y38" s="22"/>
      <c r="Z38" s="89">
        <f ca="1">'Transmission Class'!R75-'Transmission Class'!R74-'Transmission Class'!R70</f>
        <v>6613.6626106231515</v>
      </c>
      <c r="AA38" s="22"/>
      <c r="AB38" s="89">
        <f ca="1">'Transmission Class'!T75-'Transmission Class'!T74-'Transmission Class'!T70</f>
        <v>316162.11642530514</v>
      </c>
      <c r="AC38" s="22"/>
      <c r="AD38" s="89">
        <f ca="1">'Transmission Class'!V75-'Transmission Class'!V74-'Transmission Class'!V70</f>
        <v>1480587.0488095491</v>
      </c>
      <c r="AE38" s="22"/>
      <c r="AF38" s="89">
        <f ca="1">'Transmission Class'!X75-'Transmission Class'!X74-'Transmission Class'!X70</f>
        <v>336597.42563002306</v>
      </c>
      <c r="AG38" s="22"/>
      <c r="AH38" s="89">
        <f ca="1">'Transmission Class'!Z75-'Transmission Class'!Z74-'Transmission Class'!Z70</f>
        <v>691911.58627077611</v>
      </c>
      <c r="AI38" s="22"/>
      <c r="AJ38" s="89">
        <f ca="1">'Transmission Class'!AB75-'Transmission Class'!AB74-'Transmission Class'!AB70</f>
        <v>0</v>
      </c>
      <c r="AK38" s="41"/>
      <c r="AL38" s="84"/>
      <c r="AM38" s="19"/>
      <c r="AN38" s="156"/>
      <c r="AO38" s="84"/>
      <c r="AP38" s="83"/>
      <c r="AQ38" s="84"/>
      <c r="AR38" s="144"/>
      <c r="AS38" s="84"/>
      <c r="AT38" s="144"/>
      <c r="AU38" s="84"/>
      <c r="AV38" s="144"/>
      <c r="AW38" s="84"/>
      <c r="AX38" s="144"/>
      <c r="AY38" s="84"/>
      <c r="AZ38" s="144"/>
      <c r="BA38" s="84"/>
      <c r="BB38" s="144"/>
      <c r="BC38" s="84"/>
      <c r="BD38" s="144"/>
      <c r="BE38" s="84"/>
    </row>
    <row r="39" spans="1:57" s="99" customFormat="1" x14ac:dyDescent="0.25">
      <c r="A39" s="128"/>
      <c r="C39" s="2"/>
      <c r="U39" s="97"/>
      <c r="V39" s="97"/>
      <c r="W39" s="97"/>
      <c r="X39" s="34">
        <f ca="1">X38/SUM($X$38:$AJ$38)</f>
        <v>2.0366596615679643E-2</v>
      </c>
      <c r="Y39" s="34"/>
      <c r="Z39" s="34">
        <f ca="1">Z38/SUM($X$38:$AJ$38)</f>
        <v>2.2878735969424639E-3</v>
      </c>
      <c r="AA39" s="34"/>
      <c r="AB39" s="34">
        <f ca="1">AB38/SUM($X$38:$AJ$38)</f>
        <v>0.10937040504017344</v>
      </c>
      <c r="AC39" s="34"/>
      <c r="AD39" s="34">
        <f ca="1">AD38/SUM($X$38:$AJ$38)</f>
        <v>0.51218155753898731</v>
      </c>
      <c r="AE39" s="33"/>
      <c r="AF39" s="34">
        <f ca="1">AF38/SUM($X$38:$AJ$38)</f>
        <v>0.11643962025833896</v>
      </c>
      <c r="AG39" s="33"/>
      <c r="AH39" s="34">
        <f ca="1">AH38/SUM($X$38:$AJ$38)</f>
        <v>0.23935394694987816</v>
      </c>
      <c r="AI39" s="33"/>
      <c r="AJ39" s="34">
        <f ca="1">AJ38/SUM($X$38:$AJ$38)</f>
        <v>0</v>
      </c>
      <c r="AK39" s="41"/>
      <c r="AL39" s="84"/>
      <c r="AM39" s="84"/>
      <c r="AN39" s="156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</row>
    <row r="40" spans="1:57" s="99" customFormat="1" ht="14.5" x14ac:dyDescent="0.35">
      <c r="A40" s="128">
        <v>19</v>
      </c>
      <c r="B40" s="128"/>
      <c r="C40" s="2" t="s">
        <v>416</v>
      </c>
      <c r="D40" s="66">
        <f>SUM(F40:R40)</f>
        <v>81031.114909682234</v>
      </c>
      <c r="E40" s="51"/>
      <c r="F40" s="66">
        <v>4168.0006204362617</v>
      </c>
      <c r="G40" s="66"/>
      <c r="H40" s="66">
        <v>0</v>
      </c>
      <c r="I40" s="66"/>
      <c r="J40" s="66">
        <v>30938.217399999998</v>
      </c>
      <c r="K40" s="66"/>
      <c r="L40" s="66">
        <v>40450.501670000012</v>
      </c>
      <c r="M40" s="66"/>
      <c r="N40" s="66">
        <v>42.9775025</v>
      </c>
      <c r="O40" s="66"/>
      <c r="P40" s="66">
        <v>5431.4177167459693</v>
      </c>
      <c r="Q40" s="66"/>
      <c r="R40" s="66">
        <v>0</v>
      </c>
      <c r="U40" s="97"/>
      <c r="V40" s="255"/>
      <c r="W40" s="255"/>
      <c r="X40" s="255"/>
      <c r="Y40" s="255"/>
      <c r="Z40" s="255"/>
      <c r="AA40" s="255"/>
      <c r="AB40" s="255"/>
      <c r="AC40" s="255"/>
      <c r="AD40" s="255"/>
      <c r="AE40" s="97"/>
      <c r="AF40" s="97"/>
      <c r="AG40" s="97"/>
      <c r="AH40" s="97"/>
      <c r="AI40" s="97"/>
      <c r="AJ40" s="97"/>
      <c r="AK40" s="41"/>
      <c r="AL40" s="84"/>
      <c r="AM40" s="19"/>
      <c r="AN40" s="155"/>
      <c r="AO40" s="84"/>
      <c r="AP40" s="66"/>
      <c r="AQ40" s="51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84"/>
    </row>
    <row r="41" spans="1:57" s="99" customFormat="1" x14ac:dyDescent="0.25">
      <c r="A41" s="128">
        <v>20</v>
      </c>
      <c r="B41" s="128" t="s">
        <v>307</v>
      </c>
      <c r="C41" s="2"/>
      <c r="D41" s="83">
        <f>SUM(F41:R41)</f>
        <v>1.0000000000000002</v>
      </c>
      <c r="F41" s="34">
        <f>IFERROR(F40/$D40,0)</f>
        <v>5.1437039032252489E-2</v>
      </c>
      <c r="H41" s="34">
        <f>IFERROR(H40/$D40,0)</f>
        <v>0</v>
      </c>
      <c r="J41" s="34">
        <f>IFERROR(J40/$D40,0)</f>
        <v>0.38180663606176368</v>
      </c>
      <c r="L41" s="34">
        <f>IFERROR(L40/$D40,0)</f>
        <v>0.49919715056477237</v>
      </c>
      <c r="N41" s="34">
        <f>IFERROR(N40/$D40,0)</f>
        <v>5.303827122199044E-4</v>
      </c>
      <c r="P41" s="34">
        <f>IFERROR(P40/$D40,0)</f>
        <v>6.7028791628991655E-2</v>
      </c>
      <c r="R41" s="34">
        <f>IFERROR(R40/$D40,0)</f>
        <v>0</v>
      </c>
      <c r="U41" s="97"/>
      <c r="V41" s="97" t="s">
        <v>37</v>
      </c>
      <c r="W41" s="97"/>
      <c r="X41" s="90">
        <f ca="1">+'Transmission Class'!P162-'Transmission Class'!P148-SUM('Transmission Class'!P116:P122)</f>
        <v>2373.9714936597852</v>
      </c>
      <c r="Y41" s="23"/>
      <c r="Z41" s="90">
        <f ca="1">+'Transmission Class'!R162-'Transmission Class'!R148-SUM('Transmission Class'!R116:R122)</f>
        <v>411.17887537314562</v>
      </c>
      <c r="AA41" s="23"/>
      <c r="AB41" s="90">
        <f ca="1">+'Transmission Class'!T162-'Transmission Class'!T148-SUM('Transmission Class'!T116:T122)</f>
        <v>8071.9986382871457</v>
      </c>
      <c r="AC41" s="23"/>
      <c r="AD41" s="90">
        <f ca="1">+'Transmission Class'!V162-'Transmission Class'!V148-SUM('Transmission Class'!V116:V122)</f>
        <v>35418.797005139844</v>
      </c>
      <c r="AE41" s="97"/>
      <c r="AF41" s="90">
        <f ca="1">+'Transmission Class'!X162-'Transmission Class'!X148-SUM('Transmission Class'!X116:X122)</f>
        <v>3968.6920932080475</v>
      </c>
      <c r="AG41" s="97"/>
      <c r="AH41" s="90">
        <f ca="1">+'Transmission Class'!Z162-'Transmission Class'!Z148-SUM('Transmission Class'!Z116:Z122)</f>
        <v>12869.795654899295</v>
      </c>
      <c r="AI41" s="97"/>
      <c r="AJ41" s="90">
        <f ca="1">+'Transmission Class'!AB162-'Transmission Class'!AB148-SUM('Transmission Class'!AB116:AB122)</f>
        <v>0</v>
      </c>
      <c r="AK41" s="41"/>
      <c r="AL41" s="84"/>
      <c r="AM41" s="19"/>
      <c r="AN41" s="155"/>
      <c r="AO41" s="84"/>
      <c r="AP41" s="83"/>
      <c r="AQ41" s="84"/>
      <c r="AR41" s="144"/>
      <c r="AS41" s="84"/>
      <c r="AT41" s="144"/>
      <c r="AU41" s="84"/>
      <c r="AV41" s="144"/>
      <c r="AW41" s="84"/>
      <c r="AX41" s="144"/>
      <c r="AY41" s="84"/>
      <c r="AZ41" s="144"/>
      <c r="BA41" s="84"/>
      <c r="BB41" s="144"/>
      <c r="BC41" s="84"/>
      <c r="BD41" s="144"/>
      <c r="BE41" s="84"/>
    </row>
    <row r="42" spans="1:57" s="99" customFormat="1" x14ac:dyDescent="0.25">
      <c r="A42" s="128"/>
      <c r="C42" s="2"/>
      <c r="U42" s="97"/>
      <c r="V42" s="97"/>
      <c r="W42" s="97"/>
      <c r="X42" s="34">
        <f ca="1">X41/SUM($X$41:$AJ$41)</f>
        <v>3.7613765223114444E-2</v>
      </c>
      <c r="Y42" s="34"/>
      <c r="Z42" s="34">
        <f ca="1">Z41/SUM($X$41:$AJ$41)</f>
        <v>6.51481524706386E-3</v>
      </c>
      <c r="AA42" s="34"/>
      <c r="AB42" s="34">
        <f ca="1">AB41/SUM($X$41:$AJ$41)</f>
        <v>0.12789465352583709</v>
      </c>
      <c r="AC42" s="34"/>
      <c r="AD42" s="34">
        <f ca="1">AD41/SUM($X$41:$AJ$41)</f>
        <v>0.56118378784012568</v>
      </c>
      <c r="AE42" s="33"/>
      <c r="AF42" s="34">
        <f ca="1">AF41/SUM($X$41:$AJ$41)</f>
        <v>6.2880895173104023E-2</v>
      </c>
      <c r="AG42" s="33"/>
      <c r="AH42" s="34">
        <f ca="1">AH41/SUM($X$41:$AJ$41)</f>
        <v>0.20391208299075492</v>
      </c>
      <c r="AI42" s="33"/>
      <c r="AJ42" s="34">
        <f ca="1">AJ41/SUM($X$41:$AJ$41)</f>
        <v>0</v>
      </c>
      <c r="AK42" s="41"/>
      <c r="AL42" s="84"/>
      <c r="AM42" s="84"/>
      <c r="AN42" s="156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</row>
    <row r="43" spans="1:57" s="99" customFormat="1" x14ac:dyDescent="0.25">
      <c r="A43" s="128">
        <v>21</v>
      </c>
      <c r="B43" s="128"/>
      <c r="C43" s="2" t="s">
        <v>416</v>
      </c>
      <c r="D43" s="66">
        <f>SUM(F43:R43)</f>
        <v>64690.372259999989</v>
      </c>
      <c r="E43" s="51"/>
      <c r="F43" s="66">
        <v>0</v>
      </c>
      <c r="G43" s="66"/>
      <c r="H43" s="66">
        <v>0</v>
      </c>
      <c r="I43" s="66"/>
      <c r="J43" s="66">
        <v>427.95</v>
      </c>
      <c r="K43" s="66"/>
      <c r="L43" s="66">
        <v>34298.746129999992</v>
      </c>
      <c r="M43" s="66"/>
      <c r="N43" s="66">
        <v>19861.049589999999</v>
      </c>
      <c r="O43" s="66"/>
      <c r="P43" s="66">
        <v>10102.626539999999</v>
      </c>
      <c r="Q43" s="66"/>
      <c r="R43" s="66">
        <v>0</v>
      </c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41"/>
      <c r="AL43" s="84"/>
      <c r="AM43" s="19"/>
      <c r="AN43" s="155"/>
      <c r="AO43" s="84"/>
      <c r="AP43" s="66"/>
      <c r="AQ43" s="51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84"/>
    </row>
    <row r="44" spans="1:57" s="99" customFormat="1" ht="13" x14ac:dyDescent="0.3">
      <c r="A44" s="128">
        <v>22</v>
      </c>
      <c r="B44" s="128" t="s">
        <v>308</v>
      </c>
      <c r="C44" s="2"/>
      <c r="D44" s="83">
        <f>SUM(F44:R44)</f>
        <v>1</v>
      </c>
      <c r="F44" s="34">
        <f>IFERROR(F43/$D43,0)</f>
        <v>0</v>
      </c>
      <c r="H44" s="34">
        <f>IFERROR(H43/$D43,0)</f>
        <v>0</v>
      </c>
      <c r="J44" s="34">
        <f>IFERROR(J43/$D43,0)</f>
        <v>6.6153584381924233E-3</v>
      </c>
      <c r="L44" s="34">
        <f>IFERROR(L43/$D43,0)</f>
        <v>0.53019862047088484</v>
      </c>
      <c r="N44" s="34">
        <f>IFERROR(N43/$D43,0)</f>
        <v>0.30701708610016276</v>
      </c>
      <c r="P44" s="34">
        <f>IFERROR(P43/$D43,0)</f>
        <v>0.15616893499075996</v>
      </c>
      <c r="R44" s="34">
        <f>IFERROR(R43/$D43,0)</f>
        <v>0</v>
      </c>
      <c r="U44" s="97"/>
      <c r="V44" s="94" t="s">
        <v>406</v>
      </c>
      <c r="W44" s="256"/>
      <c r="X44" s="259">
        <f ca="1">0.5*X39+0.5*X42</f>
        <v>2.8990180919397042E-2</v>
      </c>
      <c r="Y44" s="258"/>
      <c r="Z44" s="259">
        <f ca="1">0.5*Z39+0.5*Z42</f>
        <v>4.4013444220031622E-3</v>
      </c>
      <c r="AA44" s="257"/>
      <c r="AB44" s="259">
        <f ca="1">0.5*AB39+0.5*AB42</f>
        <v>0.11863252928300527</v>
      </c>
      <c r="AC44" s="257"/>
      <c r="AD44" s="259">
        <f ca="1">0.5*AD39+0.5*AD42</f>
        <v>0.53668267268955649</v>
      </c>
      <c r="AE44" s="256"/>
      <c r="AF44" s="259">
        <f ca="1">0.5*AF39+0.5*AF42</f>
        <v>8.9660257715721489E-2</v>
      </c>
      <c r="AG44" s="256"/>
      <c r="AH44" s="259">
        <f ca="1">0.5*AH39+0.5*AH42</f>
        <v>0.22163301497031654</v>
      </c>
      <c r="AI44" s="256"/>
      <c r="AJ44" s="259">
        <f ca="1">0.5*AJ39+0.5*AJ42</f>
        <v>0</v>
      </c>
      <c r="AK44" s="41"/>
      <c r="AL44" s="84"/>
      <c r="AM44" s="19"/>
      <c r="AN44" s="155"/>
      <c r="AO44" s="84"/>
      <c r="AP44" s="83"/>
      <c r="AQ44" s="84"/>
      <c r="AR44" s="144"/>
      <c r="AS44" s="84"/>
      <c r="AT44" s="144"/>
      <c r="AU44" s="84"/>
      <c r="AV44" s="144"/>
      <c r="AW44" s="84"/>
      <c r="AX44" s="144"/>
      <c r="AY44" s="84"/>
      <c r="AZ44" s="144"/>
      <c r="BA44" s="84"/>
      <c r="BB44" s="144"/>
      <c r="BC44" s="84"/>
      <c r="BD44" s="144"/>
      <c r="BE44" s="84"/>
    </row>
    <row r="45" spans="1:57" s="99" customFormat="1" x14ac:dyDescent="0.25">
      <c r="A45" s="128"/>
      <c r="C45" s="2"/>
      <c r="U45" s="97"/>
      <c r="AK45" s="41"/>
      <c r="AL45" s="84"/>
      <c r="AM45" s="84"/>
      <c r="AN45" s="156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</row>
    <row r="46" spans="1:57" s="99" customFormat="1" x14ac:dyDescent="0.25">
      <c r="A46" s="128">
        <v>23</v>
      </c>
      <c r="B46" s="128"/>
      <c r="C46" s="2" t="s">
        <v>416</v>
      </c>
      <c r="D46" s="66">
        <f>SUM(F46:R46)</f>
        <v>-17442.616532928576</v>
      </c>
      <c r="F46" s="66">
        <v>0</v>
      </c>
      <c r="G46" s="66"/>
      <c r="H46" s="66">
        <v>0</v>
      </c>
      <c r="I46" s="66"/>
      <c r="J46" s="66">
        <v>-80.899080273626311</v>
      </c>
      <c r="K46" s="66"/>
      <c r="L46" s="66">
        <v>-14091.221591030917</v>
      </c>
      <c r="M46" s="66"/>
      <c r="N46" s="66">
        <v>-1505.0626170375363</v>
      </c>
      <c r="O46" s="66"/>
      <c r="P46" s="66">
        <v>-1765.4332445864979</v>
      </c>
      <c r="Q46" s="66"/>
      <c r="R46" s="66">
        <v>0</v>
      </c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41"/>
      <c r="AL46" s="84"/>
      <c r="AM46" s="19"/>
      <c r="AN46" s="155"/>
      <c r="AO46" s="84"/>
      <c r="AP46" s="66"/>
      <c r="AQ46" s="84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84"/>
    </row>
    <row r="47" spans="1:57" s="99" customFormat="1" x14ac:dyDescent="0.25">
      <c r="A47" s="128">
        <v>24</v>
      </c>
      <c r="B47" s="128" t="s">
        <v>347</v>
      </c>
      <c r="C47" s="2"/>
      <c r="D47" s="83">
        <f>SUM(F47:R47)</f>
        <v>1</v>
      </c>
      <c r="F47" s="34">
        <f>IFERROR(F46/$D46,0)</f>
        <v>0</v>
      </c>
      <c r="H47" s="34">
        <f>IFERROR(H46/$D46,0)</f>
        <v>0</v>
      </c>
      <c r="J47" s="34">
        <f>IFERROR(J46/$D46,0)</f>
        <v>4.6380128876251535E-3</v>
      </c>
      <c r="L47" s="34">
        <f>IFERROR(L46/$D46,0)</f>
        <v>0.80786168545465542</v>
      </c>
      <c r="N47" s="34">
        <f>IFERROR(N46/$D46,0)</f>
        <v>8.6286516371912675E-2</v>
      </c>
      <c r="P47" s="34">
        <f>IFERROR(P46/$D46,0)</f>
        <v>0.10121378528580686</v>
      </c>
      <c r="R47" s="34">
        <f>IFERROR(R46/$D46,0)</f>
        <v>0</v>
      </c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41"/>
      <c r="AL47" s="84"/>
      <c r="AM47" s="19"/>
      <c r="AN47" s="155"/>
      <c r="AO47" s="84"/>
      <c r="AP47" s="83"/>
      <c r="AQ47" s="84"/>
      <c r="AR47" s="144"/>
      <c r="AS47" s="84"/>
      <c r="AT47" s="144"/>
      <c r="AU47" s="84"/>
      <c r="AV47" s="144"/>
      <c r="AW47" s="84"/>
      <c r="AX47" s="144"/>
      <c r="AY47" s="84"/>
      <c r="AZ47" s="144"/>
      <c r="BA47" s="84"/>
      <c r="BB47" s="144"/>
      <c r="BC47" s="84"/>
      <c r="BD47" s="144"/>
      <c r="BE47" s="84"/>
    </row>
    <row r="48" spans="1:57" s="99" customFormat="1" x14ac:dyDescent="0.25">
      <c r="A48" s="128"/>
      <c r="C48" s="2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41"/>
      <c r="AL48" s="84"/>
      <c r="AM48" s="84"/>
      <c r="AN48" s="156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</row>
    <row r="49" spans="1:57" s="99" customFormat="1" x14ac:dyDescent="0.25">
      <c r="A49" s="128">
        <v>25</v>
      </c>
      <c r="B49" s="128"/>
      <c r="C49" s="2" t="s">
        <v>416</v>
      </c>
      <c r="D49" s="66">
        <f>SUM(F49:R49)</f>
        <v>29360.673046399999</v>
      </c>
      <c r="E49" s="66"/>
      <c r="F49" s="66">
        <v>0</v>
      </c>
      <c r="G49" s="66"/>
      <c r="H49" s="66">
        <v>0</v>
      </c>
      <c r="I49" s="66"/>
      <c r="J49" s="66">
        <v>266.28169600000001</v>
      </c>
      <c r="K49" s="66"/>
      <c r="L49" s="66">
        <v>24205.402756159998</v>
      </c>
      <c r="M49" s="66"/>
      <c r="N49" s="66">
        <v>925.89545039999996</v>
      </c>
      <c r="O49" s="66"/>
      <c r="P49" s="66">
        <v>3963.0931438399998</v>
      </c>
      <c r="Q49" s="66"/>
      <c r="R49" s="66">
        <v>0</v>
      </c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41"/>
      <c r="AL49" s="84"/>
      <c r="AM49" s="19"/>
      <c r="AN49" s="155"/>
      <c r="AO49" s="84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84"/>
    </row>
    <row r="50" spans="1:57" s="99" customFormat="1" x14ac:dyDescent="0.25">
      <c r="A50" s="128">
        <v>26</v>
      </c>
      <c r="B50" s="128" t="s">
        <v>313</v>
      </c>
      <c r="C50" s="2"/>
      <c r="D50" s="83">
        <f>SUM(F50:R50)</f>
        <v>0.99999999999999989</v>
      </c>
      <c r="E50" s="67"/>
      <c r="F50" s="34">
        <f>IFERROR(F49/$D49,0)</f>
        <v>0</v>
      </c>
      <c r="H50" s="34">
        <f>IFERROR(H49/$D49,0)</f>
        <v>0</v>
      </c>
      <c r="J50" s="34">
        <f>IFERROR(J49/$D49,0)</f>
        <v>9.069332149817649E-3</v>
      </c>
      <c r="L50" s="34">
        <f>IFERROR(L49/$D49,0)</f>
        <v>0.82441579993439196</v>
      </c>
      <c r="N50" s="34">
        <f>IFERROR(N49/$D49,0)</f>
        <v>3.1535225671998922E-2</v>
      </c>
      <c r="P50" s="34">
        <f>IFERROR(P49/$D49,0)</f>
        <v>0.13497964224379136</v>
      </c>
      <c r="R50" s="34">
        <f>IFERROR(R49/$D49,0)</f>
        <v>0</v>
      </c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41"/>
      <c r="AL50" s="84"/>
      <c r="AM50" s="19"/>
      <c r="AN50" s="155"/>
      <c r="AO50" s="84"/>
      <c r="AP50" s="83"/>
      <c r="AQ50" s="162"/>
      <c r="AR50" s="144"/>
      <c r="AS50" s="84"/>
      <c r="AT50" s="144"/>
      <c r="AU50" s="84"/>
      <c r="AV50" s="144"/>
      <c r="AW50" s="84"/>
      <c r="AX50" s="144"/>
      <c r="AY50" s="84"/>
      <c r="AZ50" s="144"/>
      <c r="BA50" s="84"/>
      <c r="BB50" s="144"/>
      <c r="BC50" s="84"/>
      <c r="BD50" s="144"/>
      <c r="BE50" s="84"/>
    </row>
    <row r="51" spans="1:57" s="99" customFormat="1" x14ac:dyDescent="0.25">
      <c r="A51" s="128"/>
      <c r="B51" s="128"/>
      <c r="C51" s="2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41"/>
      <c r="AL51" s="84"/>
      <c r="AM51" s="19"/>
      <c r="AN51" s="156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</row>
    <row r="52" spans="1:57" s="99" customFormat="1" x14ac:dyDescent="0.25">
      <c r="A52" s="128">
        <v>27</v>
      </c>
      <c r="B52" s="128"/>
      <c r="C52" s="2" t="s">
        <v>416</v>
      </c>
      <c r="D52" s="66">
        <f>SUM(F52:R52)</f>
        <v>2318861.9823705535</v>
      </c>
      <c r="E52" s="51"/>
      <c r="F52" s="66">
        <v>0</v>
      </c>
      <c r="G52" s="66"/>
      <c r="H52" s="66">
        <v>121.5177113019156</v>
      </c>
      <c r="I52" s="66"/>
      <c r="J52" s="66">
        <v>8228.3867942873221</v>
      </c>
      <c r="K52" s="66"/>
      <c r="L52" s="66">
        <v>1300861.0807291402</v>
      </c>
      <c r="M52" s="66"/>
      <c r="N52" s="66">
        <v>368401.49894999998</v>
      </c>
      <c r="O52" s="66"/>
      <c r="P52" s="66">
        <v>641249.49818582437</v>
      </c>
      <c r="Q52" s="66"/>
      <c r="R52" s="66">
        <v>0</v>
      </c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41"/>
      <c r="AL52" s="84"/>
      <c r="AM52" s="19"/>
      <c r="AN52" s="155"/>
      <c r="AO52" s="84"/>
      <c r="AP52" s="66"/>
      <c r="AQ52" s="51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84"/>
    </row>
    <row r="53" spans="1:57" s="99" customFormat="1" x14ac:dyDescent="0.25">
      <c r="A53" s="128">
        <v>28</v>
      </c>
      <c r="B53" s="128" t="s">
        <v>311</v>
      </c>
      <c r="C53" s="2"/>
      <c r="D53" s="83">
        <f>SUM(F53:R53)</f>
        <v>1</v>
      </c>
      <c r="F53" s="34">
        <f>IFERROR(F52/$D52,0)</f>
        <v>0</v>
      </c>
      <c r="H53" s="34">
        <f>IFERROR(H52/$D52,0)</f>
        <v>5.240402931514235E-5</v>
      </c>
      <c r="J53" s="34">
        <f>IFERROR(J52/$D52,0)</f>
        <v>3.5484590531237696E-3</v>
      </c>
      <c r="L53" s="34">
        <f>IFERROR(L52/$D52,0)</f>
        <v>0.56099116317361875</v>
      </c>
      <c r="N53" s="34">
        <f>IFERROR(N52/$D52,0)</f>
        <v>0.15887168005289654</v>
      </c>
      <c r="P53" s="34">
        <f>IFERROR(P52/$D52,0)</f>
        <v>0.27653629369104593</v>
      </c>
      <c r="R53" s="34">
        <f>IFERROR(R52/$D52,0)</f>
        <v>0</v>
      </c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41"/>
      <c r="AL53" s="84"/>
      <c r="AM53" s="19"/>
      <c r="AN53" s="155"/>
      <c r="AO53" s="84"/>
      <c r="AP53" s="83"/>
      <c r="AQ53" s="84"/>
      <c r="AR53" s="144"/>
      <c r="AS53" s="84"/>
      <c r="AT53" s="144"/>
      <c r="AU53" s="84"/>
      <c r="AV53" s="144"/>
      <c r="AW53" s="84"/>
      <c r="AX53" s="144"/>
      <c r="AY53" s="84"/>
      <c r="AZ53" s="144"/>
      <c r="BA53" s="84"/>
      <c r="BB53" s="144"/>
      <c r="BC53" s="84"/>
      <c r="BD53" s="144"/>
      <c r="BE53" s="84"/>
    </row>
    <row r="54" spans="1:57" s="99" customFormat="1" x14ac:dyDescent="0.25">
      <c r="A54" s="128"/>
      <c r="C54" s="2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41"/>
      <c r="AL54" s="84"/>
      <c r="AM54" s="84"/>
      <c r="AN54" s="156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</row>
    <row r="55" spans="1:57" s="99" customFormat="1" x14ac:dyDescent="0.25">
      <c r="A55" s="128">
        <v>29</v>
      </c>
      <c r="B55" s="128"/>
      <c r="C55" s="2" t="s">
        <v>416</v>
      </c>
      <c r="D55" s="66">
        <f>SUM(F55:R55)</f>
        <v>-723064.55407581734</v>
      </c>
      <c r="F55" s="66">
        <v>0</v>
      </c>
      <c r="G55" s="66"/>
      <c r="H55" s="66">
        <v>-6.7890014107161498</v>
      </c>
      <c r="I55" s="66"/>
      <c r="J55" s="66">
        <v>-1785.0868061207786</v>
      </c>
      <c r="K55" s="66"/>
      <c r="L55" s="66">
        <v>-585103.23895990243</v>
      </c>
      <c r="M55" s="66"/>
      <c r="N55" s="66">
        <v>-53209.523789999999</v>
      </c>
      <c r="O55" s="66"/>
      <c r="P55" s="66">
        <v>-82959.915518383423</v>
      </c>
      <c r="Q55" s="66"/>
      <c r="R55" s="66">
        <v>0</v>
      </c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41"/>
      <c r="AL55" s="84"/>
      <c r="AM55" s="19"/>
      <c r="AN55" s="155"/>
      <c r="AO55" s="84"/>
      <c r="AP55" s="66"/>
      <c r="AQ55" s="84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84"/>
    </row>
    <row r="56" spans="1:57" s="99" customFormat="1" x14ac:dyDescent="0.25">
      <c r="A56" s="128">
        <v>30</v>
      </c>
      <c r="B56" s="128" t="s">
        <v>350</v>
      </c>
      <c r="C56" s="2"/>
      <c r="D56" s="83">
        <f>SUM(F56:R56)</f>
        <v>1</v>
      </c>
      <c r="F56" s="34">
        <f>IFERROR(F55/$D55,0)</f>
        <v>0</v>
      </c>
      <c r="H56" s="34">
        <f>IFERROR(H55/$D55,0)</f>
        <v>9.3892051165383015E-6</v>
      </c>
      <c r="J56" s="34">
        <f>IFERROR(J55/$D55,0)</f>
        <v>2.4687793033948149E-3</v>
      </c>
      <c r="L56" s="34">
        <f>IFERROR(L55/$D55,0)</f>
        <v>0.80919917269039732</v>
      </c>
      <c r="N56" s="34">
        <f>IFERROR(N55/$D55,0)</f>
        <v>7.3588898100543157E-2</v>
      </c>
      <c r="P56" s="34">
        <f>IFERROR(P55/$D55,0)</f>
        <v>0.11473376070054821</v>
      </c>
      <c r="R56" s="34">
        <f>IFERROR(R55/$D55,0)</f>
        <v>0</v>
      </c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41"/>
      <c r="AL56" s="84"/>
      <c r="AM56" s="19"/>
      <c r="AN56" s="155"/>
      <c r="AO56" s="84"/>
      <c r="AP56" s="83"/>
      <c r="AQ56" s="84"/>
      <c r="AR56" s="144"/>
      <c r="AS56" s="84"/>
      <c r="AT56" s="144"/>
      <c r="AU56" s="84"/>
      <c r="AV56" s="144"/>
      <c r="AW56" s="84"/>
      <c r="AX56" s="144"/>
      <c r="AY56" s="84"/>
      <c r="AZ56" s="144"/>
      <c r="BA56" s="84"/>
      <c r="BB56" s="144"/>
      <c r="BC56" s="84"/>
      <c r="BD56" s="144"/>
      <c r="BE56" s="84"/>
    </row>
    <row r="57" spans="1:57" s="99" customFormat="1" x14ac:dyDescent="0.25">
      <c r="A57" s="128"/>
      <c r="C57" s="2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41"/>
      <c r="AL57" s="84"/>
      <c r="AM57" s="84"/>
      <c r="AN57" s="156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</row>
    <row r="58" spans="1:57" s="99" customFormat="1" x14ac:dyDescent="0.25">
      <c r="A58" s="128">
        <v>31</v>
      </c>
      <c r="B58" s="128"/>
      <c r="C58" s="2" t="s">
        <v>416</v>
      </c>
      <c r="D58" s="66">
        <f>SUM(F58:R58)</f>
        <v>293466.87206014257</v>
      </c>
      <c r="E58" s="51"/>
      <c r="F58" s="66">
        <v>73971.592004132632</v>
      </c>
      <c r="G58" s="66"/>
      <c r="H58" s="66">
        <v>14562.609643379701</v>
      </c>
      <c r="I58" s="66"/>
      <c r="J58" s="66">
        <v>58892.235152515903</v>
      </c>
      <c r="K58" s="66"/>
      <c r="L58" s="66">
        <v>0</v>
      </c>
      <c r="M58" s="66"/>
      <c r="N58" s="66">
        <v>3464.1131800000003</v>
      </c>
      <c r="O58" s="66"/>
      <c r="P58" s="66">
        <v>142576.32208011433</v>
      </c>
      <c r="Q58" s="66"/>
      <c r="R58" s="66">
        <v>0</v>
      </c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41"/>
      <c r="AL58" s="84"/>
      <c r="AM58" s="19"/>
      <c r="AN58" s="155"/>
      <c r="AO58" s="84"/>
      <c r="AP58" s="66"/>
      <c r="AQ58" s="51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84"/>
    </row>
    <row r="59" spans="1:57" s="99" customFormat="1" x14ac:dyDescent="0.25">
      <c r="A59" s="128">
        <v>32</v>
      </c>
      <c r="B59" s="128" t="s">
        <v>310</v>
      </c>
      <c r="C59" s="2"/>
      <c r="D59" s="83">
        <f>SUM(F59:R59)</f>
        <v>1</v>
      </c>
      <c r="F59" s="34">
        <f>IFERROR(F58/$D58,0)</f>
        <v>0.25206113209593561</v>
      </c>
      <c r="H59" s="34">
        <f>IFERROR(H58/$D58,0)</f>
        <v>4.9622669642913786E-2</v>
      </c>
      <c r="J59" s="34">
        <f>IFERROR(J58/$D58,0)</f>
        <v>0.20067762585634072</v>
      </c>
      <c r="L59" s="34">
        <f>IFERROR(L58/$D58,0)</f>
        <v>0</v>
      </c>
      <c r="N59" s="34">
        <f>IFERROR(N58/$D58,0)</f>
        <v>1.1804102983351631E-2</v>
      </c>
      <c r="P59" s="34">
        <f>IFERROR(P58/$D58,0)</f>
        <v>0.48583446942145825</v>
      </c>
      <c r="R59" s="34">
        <f>IFERROR(R58/$D58,0)</f>
        <v>0</v>
      </c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41"/>
      <c r="AL59" s="84"/>
      <c r="AM59" s="19"/>
      <c r="AN59" s="155"/>
      <c r="AO59" s="84"/>
      <c r="AP59" s="83"/>
      <c r="AQ59" s="84"/>
      <c r="AR59" s="144"/>
      <c r="AS59" s="84"/>
      <c r="AT59" s="144"/>
      <c r="AU59" s="84"/>
      <c r="AV59" s="144"/>
      <c r="AW59" s="84"/>
      <c r="AX59" s="144"/>
      <c r="AY59" s="84"/>
      <c r="AZ59" s="144"/>
      <c r="BA59" s="84"/>
      <c r="BB59" s="144"/>
      <c r="BC59" s="84"/>
      <c r="BD59" s="144"/>
      <c r="BE59" s="84"/>
    </row>
    <row r="60" spans="1:57" s="99" customFormat="1" x14ac:dyDescent="0.25">
      <c r="A60" s="128"/>
      <c r="C60" s="2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41"/>
      <c r="AL60" s="84"/>
      <c r="AM60" s="84"/>
      <c r="AN60" s="156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</row>
    <row r="61" spans="1:57" s="99" customFormat="1" x14ac:dyDescent="0.25">
      <c r="A61" s="128">
        <v>33</v>
      </c>
      <c r="B61" s="128"/>
      <c r="C61" s="2" t="s">
        <v>416</v>
      </c>
      <c r="D61" s="66">
        <f>SUM(F61:R61)</f>
        <v>-92652.685535819997</v>
      </c>
      <c r="F61" s="66">
        <v>-33735.564321391314</v>
      </c>
      <c r="G61" s="66"/>
      <c r="H61" s="66">
        <v>-9154.1914444332124</v>
      </c>
      <c r="I61" s="66"/>
      <c r="J61" s="66">
        <v>-18615.739318229174</v>
      </c>
      <c r="K61" s="66"/>
      <c r="L61" s="66">
        <v>0</v>
      </c>
      <c r="M61" s="66"/>
      <c r="N61" s="66">
        <v>-457.62718551629945</v>
      </c>
      <c r="O61" s="66"/>
      <c r="P61" s="66">
        <v>-30689.563266249999</v>
      </c>
      <c r="Q61" s="66"/>
      <c r="R61" s="66">
        <v>0</v>
      </c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41"/>
      <c r="AL61" s="84"/>
      <c r="AM61" s="19"/>
      <c r="AN61" s="155"/>
      <c r="AO61" s="84"/>
      <c r="AP61" s="66"/>
      <c r="AQ61" s="84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84"/>
    </row>
    <row r="62" spans="1:57" s="99" customFormat="1" x14ac:dyDescent="0.25">
      <c r="A62" s="128">
        <v>34</v>
      </c>
      <c r="B62" s="128" t="s">
        <v>349</v>
      </c>
      <c r="C62" s="2"/>
      <c r="D62" s="83">
        <f>SUM(F62:R62)</f>
        <v>1</v>
      </c>
      <c r="F62" s="34">
        <f>IFERROR(F61/$D61,0)</f>
        <v>0.36410778733821991</v>
      </c>
      <c r="H62" s="34">
        <f>IFERROR(H61/$D61,0)</f>
        <v>9.8801145282444686E-2</v>
      </c>
      <c r="J62" s="34">
        <f>IFERROR(J61/$D61,0)</f>
        <v>0.200919587064017</v>
      </c>
      <c r="L62" s="34">
        <f>IFERROR(L61/$D61,0)</f>
        <v>0</v>
      </c>
      <c r="N62" s="34">
        <f>IFERROR(N61/$D61,0)</f>
        <v>4.9391680647980617E-3</v>
      </c>
      <c r="P62" s="34">
        <f>IFERROR(P61/$D61,0)</f>
        <v>0.33123231225052036</v>
      </c>
      <c r="R62" s="34">
        <f>IFERROR(R61/$D61,0)</f>
        <v>0</v>
      </c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41"/>
      <c r="AL62" s="84"/>
      <c r="AM62" s="19"/>
      <c r="AN62" s="155"/>
      <c r="AO62" s="84"/>
      <c r="AP62" s="83"/>
      <c r="AQ62" s="84"/>
      <c r="AR62" s="144"/>
      <c r="AS62" s="84"/>
      <c r="AT62" s="144"/>
      <c r="AU62" s="84"/>
      <c r="AV62" s="144"/>
      <c r="AW62" s="84"/>
      <c r="AX62" s="144"/>
      <c r="AY62" s="84"/>
      <c r="AZ62" s="144"/>
      <c r="BA62" s="84"/>
      <c r="BB62" s="144"/>
      <c r="BC62" s="84"/>
      <c r="BD62" s="144"/>
      <c r="BE62" s="84"/>
    </row>
    <row r="63" spans="1:57" s="99" customFormat="1" x14ac:dyDescent="0.25">
      <c r="A63" s="128"/>
      <c r="C63" s="2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41"/>
      <c r="AL63" s="84"/>
      <c r="AM63" s="84"/>
      <c r="AN63" s="156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</row>
    <row r="64" spans="1:57" s="99" customFormat="1" x14ac:dyDescent="0.25">
      <c r="A64" s="128">
        <v>35</v>
      </c>
      <c r="B64" s="128"/>
      <c r="C64" s="2" t="s">
        <v>417</v>
      </c>
      <c r="D64" s="66">
        <f ca="1">SUM(F64:R64)</f>
        <v>2964156.4950657208</v>
      </c>
      <c r="E64" s="51"/>
      <c r="F64" s="66">
        <f ca="1">'Transmission Class'!P79-'Transmission Class'!P74-'Transmission Class'!P70</f>
        <v>61002.836854769484</v>
      </c>
      <c r="G64" s="66"/>
      <c r="H64" s="66">
        <f ca="1">'Transmission Class'!R79-'Transmission Class'!R74-'Transmission Class'!R70</f>
        <v>6936.7652486446659</v>
      </c>
      <c r="I64" s="66"/>
      <c r="J64" s="66">
        <f ca="1">'Transmission Class'!T79-'Transmission Class'!T74-'Transmission Class'!T70</f>
        <v>324870.9288906242</v>
      </c>
      <c r="K64" s="66"/>
      <c r="L64" s="66">
        <f ca="1">'Transmission Class'!V79-'Transmission Class'!V74-'Transmission Class'!V70</f>
        <v>1519984.9169835451</v>
      </c>
      <c r="M64" s="66"/>
      <c r="N64" s="66">
        <f ca="1">'Transmission Class'!X79-'Transmission Class'!X74-'Transmission Class'!X70</f>
        <v>343179.38400819828</v>
      </c>
      <c r="O64" s="66"/>
      <c r="P64" s="66">
        <f ca="1">'Transmission Class'!Z79-'Transmission Class'!Z74-'Transmission Class'!Z70</f>
        <v>708181.66307993873</v>
      </c>
      <c r="Q64" s="66"/>
      <c r="R64" s="66">
        <f ca="1">'Transmission Class'!AB79-'Transmission Class'!AB74-'Transmission Class'!AB70</f>
        <v>0</v>
      </c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41"/>
      <c r="AL64" s="84"/>
      <c r="AM64" s="19"/>
      <c r="AN64" s="156"/>
      <c r="AO64" s="84"/>
      <c r="AP64" s="66"/>
      <c r="AQ64" s="51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84"/>
    </row>
    <row r="65" spans="1:57" s="99" customFormat="1" x14ac:dyDescent="0.25">
      <c r="A65" s="128">
        <v>36</v>
      </c>
      <c r="B65" s="128" t="s">
        <v>267</v>
      </c>
      <c r="C65" s="2"/>
      <c r="D65" s="83">
        <f ca="1">SUM(F65:R65)</f>
        <v>0.99999999999999978</v>
      </c>
      <c r="F65" s="34">
        <f ca="1">IFERROR(F64/$D64,0)</f>
        <v>2.0580167395452223E-2</v>
      </c>
      <c r="H65" s="34">
        <f ca="1">IFERROR(H64/$D64,0)</f>
        <v>2.3402155925950413E-3</v>
      </c>
      <c r="J65" s="34">
        <f ca="1">IFERROR(J64/$D64,0)</f>
        <v>0.10959978983276361</v>
      </c>
      <c r="L65" s="34">
        <f ca="1">IFERROR(L64/$D64,0)</f>
        <v>0.51278834957391284</v>
      </c>
      <c r="N65" s="34">
        <f ca="1">IFERROR(N64/$D64,0)</f>
        <v>0.11577640538867344</v>
      </c>
      <c r="P65" s="34">
        <f ca="1">IFERROR(P64/$D64,0)</f>
        <v>0.23891507221660274</v>
      </c>
      <c r="R65" s="34">
        <f ca="1">IFERROR(R64/$D64,0)</f>
        <v>0</v>
      </c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41"/>
      <c r="AL65" s="84"/>
      <c r="AM65" s="19"/>
      <c r="AN65" s="156"/>
      <c r="AO65" s="84"/>
      <c r="AP65" s="83"/>
      <c r="AQ65" s="84"/>
      <c r="AR65" s="144"/>
      <c r="AS65" s="84"/>
      <c r="AT65" s="144"/>
      <c r="AU65" s="84"/>
      <c r="AV65" s="144"/>
      <c r="AW65" s="84"/>
      <c r="AX65" s="144"/>
      <c r="AY65" s="84"/>
      <c r="AZ65" s="144"/>
      <c r="BA65" s="84"/>
      <c r="BB65" s="144"/>
      <c r="BC65" s="84"/>
      <c r="BD65" s="144"/>
      <c r="BE65" s="84"/>
    </row>
    <row r="66" spans="1:57" s="99" customFormat="1" x14ac:dyDescent="0.25">
      <c r="A66" s="128"/>
      <c r="C66" s="2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41"/>
      <c r="AL66" s="84"/>
      <c r="AM66" s="84"/>
      <c r="AN66" s="156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</row>
    <row r="67" spans="1:57" s="99" customFormat="1" x14ac:dyDescent="0.25">
      <c r="A67" s="128">
        <v>37</v>
      </c>
      <c r="B67" s="128"/>
      <c r="C67" s="2" t="s">
        <v>417</v>
      </c>
      <c r="D67" s="66">
        <f ca="1">SUM(F67:R67)</f>
        <v>47638.308946962534</v>
      </c>
      <c r="E67" s="51"/>
      <c r="F67" s="66">
        <f ca="1">SUM('Transmission Class'!P124:P147,'Transmission Class'!P149:P156,'Transmission Class'!P159)</f>
        <v>1791.8561683572402</v>
      </c>
      <c r="G67" s="66"/>
      <c r="H67" s="66">
        <f ca="1">SUM('Transmission Class'!R124:R147,'Transmission Class'!R149:R156,'Transmission Class'!R159)</f>
        <v>310.35478147201002</v>
      </c>
      <c r="I67" s="66"/>
      <c r="J67" s="66">
        <f ca="1">SUM('Transmission Class'!T124:T147,'Transmission Class'!T149:T156,'Transmission Class'!T159)</f>
        <v>6092.6850173285557</v>
      </c>
      <c r="K67" s="66"/>
      <c r="L67" s="66">
        <f ca="1">SUM('Transmission Class'!V124:V147,'Transmission Class'!V149:V156,'Transmission Class'!V159)</f>
        <v>26733.846661154574</v>
      </c>
      <c r="M67" s="66"/>
      <c r="N67" s="66">
        <f ca="1">SUM('Transmission Class'!X124:X147,'Transmission Class'!X149:X156,'Transmission Class'!X159)</f>
        <v>2995.5395111178927</v>
      </c>
      <c r="O67" s="66"/>
      <c r="P67" s="66">
        <f ca="1">SUM('Transmission Class'!Z124:Z147,'Transmission Class'!Z149:Z156,'Transmission Class'!Z159)</f>
        <v>9714.0268075322419</v>
      </c>
      <c r="Q67" s="66"/>
      <c r="R67" s="66">
        <f ca="1">SUM('Transmission Class'!AB124:AB147,'Transmission Class'!AB149:AB156,'Transmission Class'!AB159)</f>
        <v>0</v>
      </c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41"/>
      <c r="AL67" s="84"/>
      <c r="AM67" s="19"/>
      <c r="AN67" s="156"/>
      <c r="AO67" s="84"/>
      <c r="AP67" s="66"/>
      <c r="AQ67" s="51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84"/>
    </row>
    <row r="68" spans="1:57" s="99" customFormat="1" x14ac:dyDescent="0.25">
      <c r="A68" s="128">
        <v>38</v>
      </c>
      <c r="B68" s="128" t="s">
        <v>303</v>
      </c>
      <c r="C68" s="125"/>
      <c r="D68" s="83">
        <f ca="1">SUM(F68:R68)</f>
        <v>1.0000000000000004</v>
      </c>
      <c r="F68" s="34">
        <f ca="1">IFERROR(F67/$D67,0)</f>
        <v>3.761376522311443E-2</v>
      </c>
      <c r="H68" s="34">
        <f ca="1">IFERROR(H67/$D67,0)</f>
        <v>6.5148152470638557E-3</v>
      </c>
      <c r="J68" s="34">
        <f ca="1">IFERROR(J67/$D67,0)</f>
        <v>0.12789465352583704</v>
      </c>
      <c r="L68" s="34">
        <f ca="1">IFERROR(L67/$D67,0)</f>
        <v>0.56118378784012546</v>
      </c>
      <c r="N68" s="34">
        <f ca="1">IFERROR(N67/$D67,0)</f>
        <v>6.2880895173103982E-2</v>
      </c>
      <c r="P68" s="34">
        <f ca="1">IFERROR(P67/$D67,0)</f>
        <v>0.20391208299075481</v>
      </c>
      <c r="R68" s="34">
        <f ca="1">IFERROR(R67/$D67,0)</f>
        <v>0</v>
      </c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41"/>
      <c r="AL68" s="84"/>
      <c r="AM68" s="19"/>
      <c r="AN68" s="159"/>
      <c r="AO68" s="84"/>
      <c r="AP68" s="83"/>
      <c r="AQ68" s="84"/>
      <c r="AR68" s="144"/>
      <c r="AS68" s="84"/>
      <c r="AT68" s="144"/>
      <c r="AU68" s="84"/>
      <c r="AV68" s="144"/>
      <c r="AW68" s="84"/>
      <c r="AX68" s="144"/>
      <c r="AY68" s="84"/>
      <c r="AZ68" s="144"/>
      <c r="BA68" s="84"/>
      <c r="BB68" s="144"/>
      <c r="BC68" s="84"/>
      <c r="BD68" s="144"/>
      <c r="BE68" s="84"/>
    </row>
    <row r="69" spans="1:57" s="99" customFormat="1" x14ac:dyDescent="0.25">
      <c r="A69" s="128"/>
      <c r="B69" s="128"/>
      <c r="C69" s="125"/>
      <c r="D69" s="83"/>
      <c r="F69" s="34"/>
      <c r="H69" s="34"/>
      <c r="J69" s="34"/>
      <c r="L69" s="34"/>
      <c r="N69" s="34"/>
      <c r="P69" s="34"/>
      <c r="R69" s="34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41"/>
      <c r="AL69" s="84"/>
      <c r="AM69" s="19"/>
      <c r="AN69" s="159"/>
      <c r="AO69" s="84"/>
      <c r="AP69" s="83"/>
      <c r="AQ69" s="84"/>
      <c r="AR69" s="144"/>
      <c r="AS69" s="84"/>
      <c r="AT69" s="144"/>
      <c r="AU69" s="84"/>
      <c r="AV69" s="144"/>
      <c r="AW69" s="84"/>
      <c r="AX69" s="144"/>
      <c r="AY69" s="84"/>
      <c r="AZ69" s="144"/>
      <c r="BA69" s="84"/>
      <c r="BB69" s="144"/>
      <c r="BC69" s="84"/>
      <c r="BD69" s="144"/>
      <c r="BE69" s="84"/>
    </row>
    <row r="70" spans="1:57" s="99" customFormat="1" x14ac:dyDescent="0.25">
      <c r="A70" s="128">
        <v>39</v>
      </c>
      <c r="B70" s="128"/>
      <c r="C70" s="2" t="s">
        <v>416</v>
      </c>
      <c r="D70" s="66">
        <f>SUM(F70:R70)</f>
        <v>24483.257915889251</v>
      </c>
      <c r="E70" s="51"/>
      <c r="F70" s="66">
        <v>2346.6664252457413</v>
      </c>
      <c r="G70" s="66"/>
      <c r="H70" s="66">
        <v>19.289255075244643</v>
      </c>
      <c r="I70" s="66"/>
      <c r="J70" s="66">
        <v>1020.3124362795184</v>
      </c>
      <c r="K70" s="66"/>
      <c r="L70" s="66">
        <v>16881.87280396025</v>
      </c>
      <c r="M70" s="66"/>
      <c r="N70" s="66">
        <v>981.74718392973955</v>
      </c>
      <c r="O70" s="66"/>
      <c r="P70" s="66">
        <v>3233.3698113987543</v>
      </c>
      <c r="Q70" s="66"/>
      <c r="R70" s="66">
        <v>0</v>
      </c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41"/>
      <c r="AL70" s="84"/>
      <c r="AM70" s="19"/>
      <c r="AN70" s="155"/>
      <c r="AO70" s="84"/>
      <c r="AP70" s="66"/>
      <c r="AQ70" s="51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84"/>
    </row>
    <row r="71" spans="1:57" s="99" customFormat="1" x14ac:dyDescent="0.25">
      <c r="A71" s="128">
        <v>40</v>
      </c>
      <c r="B71" s="128" t="s">
        <v>269</v>
      </c>
      <c r="C71" s="2"/>
      <c r="D71" s="83">
        <f>SUM(F71:R71)</f>
        <v>0.99999999999999978</v>
      </c>
      <c r="F71" s="34">
        <f>IFERROR(F70/$D70,0)</f>
        <v>9.584780070150678E-2</v>
      </c>
      <c r="H71" s="34">
        <f>IFERROR(H70/$D70,0)</f>
        <v>7.8785491463234636E-4</v>
      </c>
      <c r="J71" s="34">
        <f>IFERROR(J70/$D70,0)</f>
        <v>4.1673883426165743E-2</v>
      </c>
      <c r="L71" s="34">
        <f>IFERROR(L70/$D70,0)</f>
        <v>0.68952722149792733</v>
      </c>
      <c r="N71" s="34">
        <f>IFERROR(N70/$D70,0)</f>
        <v>4.0098715101661409E-2</v>
      </c>
      <c r="P71" s="34">
        <f>IFERROR(P70/$D70,0)</f>
        <v>0.13206452435810628</v>
      </c>
      <c r="R71" s="34">
        <f>IFERROR(R70/$D70,0)</f>
        <v>0</v>
      </c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41"/>
      <c r="AL71" s="84"/>
      <c r="AM71" s="19"/>
      <c r="AN71" s="155"/>
      <c r="AO71" s="84"/>
      <c r="AP71" s="83"/>
      <c r="AQ71" s="84"/>
      <c r="AR71" s="144"/>
      <c r="AS71" s="84"/>
      <c r="AT71" s="144"/>
      <c r="AU71" s="84"/>
      <c r="AV71" s="144"/>
      <c r="AW71" s="84"/>
      <c r="AX71" s="144"/>
      <c r="AY71" s="84"/>
      <c r="AZ71" s="144"/>
      <c r="BA71" s="84"/>
      <c r="BB71" s="144"/>
      <c r="BC71" s="84"/>
      <c r="BD71" s="144"/>
      <c r="BE71" s="84"/>
    </row>
    <row r="72" spans="1:57" s="99" customFormat="1" x14ac:dyDescent="0.25">
      <c r="A72" s="128"/>
      <c r="C72" s="2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41"/>
      <c r="AL72" s="84"/>
      <c r="AM72" s="84"/>
      <c r="AN72" s="156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</row>
    <row r="73" spans="1:57" s="99" customFormat="1" x14ac:dyDescent="0.25">
      <c r="A73" s="128">
        <v>41</v>
      </c>
      <c r="B73" s="128"/>
      <c r="C73" s="2" t="s">
        <v>417</v>
      </c>
      <c r="D73" s="66">
        <f ca="1">SUM(F73:R73)</f>
        <v>2951364.3713017288</v>
      </c>
      <c r="E73" s="51"/>
      <c r="F73" s="66">
        <f ca="1">'Transmission Class'!P92</f>
        <v>60646.518241505015</v>
      </c>
      <c r="G73" s="66"/>
      <c r="H73" s="66">
        <f ca="1">'Transmission Class'!R92</f>
        <v>6896.2474842032734</v>
      </c>
      <c r="I73" s="66"/>
      <c r="J73" s="66">
        <f ca="1">'Transmission Class'!T92</f>
        <v>323014.35981436999</v>
      </c>
      <c r="K73" s="66"/>
      <c r="L73" s="66">
        <f ca="1">'Transmission Class'!V92</f>
        <v>1514834.308727721</v>
      </c>
      <c r="M73" s="66"/>
      <c r="N73" s="66">
        <f ca="1">'Transmission Class'!X92</f>
        <v>341317.45593065053</v>
      </c>
      <c r="O73" s="66"/>
      <c r="P73" s="66">
        <f ca="1">'Transmission Class'!Z92</f>
        <v>704655.48110327858</v>
      </c>
      <c r="Q73" s="66"/>
      <c r="R73" s="66">
        <f ca="1">'Transmission Class'!AB92</f>
        <v>0</v>
      </c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41"/>
      <c r="AL73" s="84"/>
      <c r="AM73" s="19"/>
      <c r="AN73" s="156"/>
      <c r="AO73" s="84"/>
      <c r="AP73" s="66"/>
      <c r="AQ73" s="51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84"/>
    </row>
    <row r="74" spans="1:57" s="99" customFormat="1" x14ac:dyDescent="0.25">
      <c r="A74" s="128">
        <v>42</v>
      </c>
      <c r="B74" s="128" t="s">
        <v>268</v>
      </c>
      <c r="C74" s="2"/>
      <c r="D74" s="83">
        <f ca="1">SUM(F74:R74)</f>
        <v>0.99999999999999989</v>
      </c>
      <c r="F74" s="34">
        <f ca="1">IFERROR(F73/$D73,0)</f>
        <v>2.0548638057440619E-2</v>
      </c>
      <c r="H74" s="34">
        <f ca="1">IFERROR(H73/$D73,0)</f>
        <v>2.3366303229992624E-3</v>
      </c>
      <c r="J74" s="34">
        <f ca="1">IFERROR(J73/$D73,0)</f>
        <v>0.10944577462385685</v>
      </c>
      <c r="L74" s="34">
        <f ca="1">IFERROR(L73/$D73,0)</f>
        <v>0.51326577072541812</v>
      </c>
      <c r="N74" s="34">
        <f ca="1">IFERROR(N73/$D73,0)</f>
        <v>0.11564734576642906</v>
      </c>
      <c r="P74" s="34">
        <f ca="1">IFERROR(P73/$D73,0)</f>
        <v>0.23875584050385593</v>
      </c>
      <c r="R74" s="34">
        <f ca="1">IFERROR(R73/$D73,0)</f>
        <v>0</v>
      </c>
      <c r="AJ74" s="97"/>
      <c r="AK74" s="41"/>
      <c r="AL74" s="84"/>
      <c r="AM74" s="19"/>
      <c r="AN74" s="156"/>
      <c r="AO74" s="84"/>
      <c r="AP74" s="83"/>
      <c r="AQ74" s="84"/>
      <c r="AR74" s="144"/>
      <c r="AS74" s="84"/>
      <c r="AT74" s="144"/>
      <c r="AU74" s="84"/>
      <c r="AV74" s="144"/>
      <c r="AW74" s="84"/>
      <c r="AX74" s="144"/>
      <c r="AY74" s="84"/>
      <c r="AZ74" s="144"/>
      <c r="BA74" s="84"/>
      <c r="BB74" s="144"/>
      <c r="BC74" s="84"/>
      <c r="BD74" s="144"/>
      <c r="BE74" s="84"/>
    </row>
    <row r="75" spans="1:57" s="99" customFormat="1" x14ac:dyDescent="0.25">
      <c r="A75" s="128"/>
      <c r="B75" s="128"/>
      <c r="C75" s="2"/>
      <c r="D75" s="83"/>
      <c r="F75" s="34"/>
      <c r="H75" s="34"/>
      <c r="J75" s="34"/>
      <c r="L75" s="34"/>
      <c r="N75" s="34"/>
      <c r="P75" s="34"/>
      <c r="R75" s="34"/>
      <c r="AJ75" s="97"/>
      <c r="AK75" s="41"/>
      <c r="AL75" s="84"/>
      <c r="AM75" s="19"/>
      <c r="AN75" s="156"/>
      <c r="AO75" s="84"/>
      <c r="AP75" s="83"/>
      <c r="AQ75" s="84"/>
      <c r="AR75" s="144"/>
      <c r="AS75" s="84"/>
      <c r="AT75" s="144"/>
      <c r="AU75" s="84"/>
      <c r="AV75" s="144"/>
      <c r="AW75" s="84"/>
      <c r="AX75" s="144"/>
      <c r="AY75" s="84"/>
      <c r="AZ75" s="144"/>
      <c r="BA75" s="84"/>
      <c r="BB75" s="144"/>
      <c r="BC75" s="84"/>
      <c r="BD75" s="144"/>
      <c r="BE75" s="84"/>
    </row>
    <row r="76" spans="1:57" s="99" customFormat="1" x14ac:dyDescent="0.25">
      <c r="A76" s="128">
        <v>43</v>
      </c>
      <c r="B76" s="128"/>
      <c r="C76" s="2" t="s">
        <v>416</v>
      </c>
      <c r="D76" s="66">
        <f>SUM(F76:R76)</f>
        <v>211742.30627404284</v>
      </c>
      <c r="E76" s="51"/>
      <c r="F76" s="66">
        <v>38228.102706980484</v>
      </c>
      <c r="G76" s="66"/>
      <c r="H76" s="66">
        <v>2159.9639478204872</v>
      </c>
      <c r="I76" s="66"/>
      <c r="J76" s="66">
        <v>79366.560994702348</v>
      </c>
      <c r="K76" s="66"/>
      <c r="L76" s="66">
        <v>86945.670952664863</v>
      </c>
      <c r="M76" s="66"/>
      <c r="N76" s="66">
        <v>0</v>
      </c>
      <c r="O76" s="66"/>
      <c r="P76" s="66">
        <v>5042.0076718746495</v>
      </c>
      <c r="Q76" s="66"/>
      <c r="R76" s="66">
        <v>0</v>
      </c>
      <c r="AJ76" s="97"/>
      <c r="AK76" s="41"/>
      <c r="AL76" s="84"/>
      <c r="AM76" s="19"/>
      <c r="AN76" s="155"/>
      <c r="AO76" s="84"/>
      <c r="AP76" s="66"/>
      <c r="AQ76" s="51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84"/>
    </row>
    <row r="77" spans="1:57" s="99" customFormat="1" x14ac:dyDescent="0.25">
      <c r="A77" s="128">
        <v>44</v>
      </c>
      <c r="B77" s="128" t="s">
        <v>309</v>
      </c>
      <c r="C77" s="2"/>
      <c r="D77" s="83">
        <f>SUM(F77:R77)</f>
        <v>0.99999999999999989</v>
      </c>
      <c r="F77" s="34">
        <f>IFERROR(F76/$D76,0)</f>
        <v>0.18054069297566164</v>
      </c>
      <c r="H77" s="34">
        <f>IFERROR(H76/$D76,0)</f>
        <v>1.0200908764189057E-2</v>
      </c>
      <c r="J77" s="34">
        <f>IFERROR(J76/$D76,0)</f>
        <v>0.37482618561821046</v>
      </c>
      <c r="L77" s="34">
        <f>IFERROR(L76/$D76,0)</f>
        <v>0.41062021323285924</v>
      </c>
      <c r="N77" s="34">
        <f>IFERROR(N76/$D76,0)</f>
        <v>0</v>
      </c>
      <c r="P77" s="34">
        <f>IFERROR(P76/$D76,0)</f>
        <v>2.3811999409079552E-2</v>
      </c>
      <c r="R77" s="34">
        <f>IFERROR(R76/$D76,0)</f>
        <v>0</v>
      </c>
      <c r="AJ77" s="97"/>
      <c r="AK77" s="41"/>
      <c r="AL77" s="84"/>
      <c r="AM77" s="19"/>
      <c r="AN77" s="155"/>
      <c r="AO77" s="84"/>
      <c r="AP77" s="83"/>
      <c r="AQ77" s="84"/>
      <c r="AR77" s="144"/>
      <c r="AS77" s="84"/>
      <c r="AT77" s="144"/>
      <c r="AU77" s="84"/>
      <c r="AV77" s="144"/>
      <c r="AW77" s="84"/>
      <c r="AX77" s="144"/>
      <c r="AY77" s="84"/>
      <c r="AZ77" s="144"/>
      <c r="BA77" s="84"/>
      <c r="BB77" s="144"/>
      <c r="BC77" s="84"/>
      <c r="BD77" s="144"/>
      <c r="BE77" s="84"/>
    </row>
    <row r="78" spans="1:57" s="99" customFormat="1" x14ac:dyDescent="0.25">
      <c r="A78" s="128"/>
      <c r="C78" s="2"/>
      <c r="AJ78" s="97"/>
      <c r="AK78" s="41"/>
      <c r="AL78" s="84"/>
      <c r="AM78" s="84"/>
      <c r="AN78" s="156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</row>
    <row r="79" spans="1:57" s="99" customFormat="1" x14ac:dyDescent="0.25">
      <c r="A79" s="128">
        <v>45</v>
      </c>
      <c r="B79" s="128"/>
      <c r="C79" s="2" t="s">
        <v>416</v>
      </c>
      <c r="D79" s="66">
        <f>SUM(F79:R79)</f>
        <v>-77607.043173398997</v>
      </c>
      <c r="F79" s="66">
        <v>-23757.462967843203</v>
      </c>
      <c r="G79" s="66"/>
      <c r="H79" s="66">
        <v>-1069.4482460350521</v>
      </c>
      <c r="I79" s="66"/>
      <c r="J79" s="66">
        <v>-24563.621648747867</v>
      </c>
      <c r="K79" s="66"/>
      <c r="L79" s="66">
        <v>-25315.157620474292</v>
      </c>
      <c r="M79" s="66"/>
      <c r="N79" s="66">
        <v>0</v>
      </c>
      <c r="O79" s="66"/>
      <c r="P79" s="66">
        <v>-2901.352690298585</v>
      </c>
      <c r="Q79" s="66"/>
      <c r="R79" s="66">
        <v>0</v>
      </c>
      <c r="AJ79" s="97"/>
      <c r="AK79" s="41"/>
      <c r="AL79" s="84"/>
      <c r="AM79" s="19"/>
      <c r="AN79" s="155"/>
      <c r="AO79" s="84"/>
      <c r="AP79" s="66"/>
      <c r="AQ79" s="84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84"/>
    </row>
    <row r="80" spans="1:57" s="99" customFormat="1" x14ac:dyDescent="0.25">
      <c r="A80" s="128">
        <v>46</v>
      </c>
      <c r="B80" s="128" t="s">
        <v>348</v>
      </c>
      <c r="C80" s="2"/>
      <c r="D80" s="83">
        <f>SUM(F80:R80)</f>
        <v>1</v>
      </c>
      <c r="F80" s="34">
        <f>IFERROR(F79/$D79,0)</f>
        <v>0.30612508860518522</v>
      </c>
      <c r="H80" s="34">
        <f>IFERROR(H79/$D79,0)</f>
        <v>1.3780298827331458E-2</v>
      </c>
      <c r="J80" s="34">
        <f>IFERROR(J79/$D79,0)</f>
        <v>0.31651278858627391</v>
      </c>
      <c r="L80" s="34">
        <f>IFERROR(L79/$D79,0)</f>
        <v>0.32619665155792782</v>
      </c>
      <c r="N80" s="34">
        <f>IFERROR(N79/$D79,0)</f>
        <v>0</v>
      </c>
      <c r="P80" s="34">
        <f>IFERROR(P79/$D79,0)</f>
        <v>3.7385172423281654E-2</v>
      </c>
      <c r="R80" s="34">
        <f>IFERROR(R79/$D79,0)</f>
        <v>0</v>
      </c>
      <c r="AJ80" s="97"/>
      <c r="AK80" s="41"/>
      <c r="AL80" s="84"/>
      <c r="AM80" s="19"/>
      <c r="AN80" s="155"/>
      <c r="AO80" s="84"/>
      <c r="AP80" s="83"/>
      <c r="AQ80" s="84"/>
      <c r="AR80" s="144"/>
      <c r="AS80" s="84"/>
      <c r="AT80" s="144"/>
      <c r="AU80" s="84"/>
      <c r="AV80" s="144"/>
      <c r="AW80" s="84"/>
      <c r="AX80" s="144"/>
      <c r="AY80" s="84"/>
      <c r="AZ80" s="144"/>
      <c r="BA80" s="84"/>
      <c r="BB80" s="144"/>
      <c r="BC80" s="84"/>
      <c r="BD80" s="144"/>
      <c r="BE80" s="84"/>
    </row>
    <row r="81" spans="1:57" s="99" customFormat="1" x14ac:dyDescent="0.25">
      <c r="A81" s="128"/>
      <c r="C81" s="2"/>
      <c r="AJ81" s="97"/>
      <c r="AK81" s="41"/>
      <c r="AL81" s="84"/>
      <c r="AM81" s="84"/>
      <c r="AN81" s="156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</row>
    <row r="82" spans="1:57" s="99" customFormat="1" x14ac:dyDescent="0.25">
      <c r="A82" s="128">
        <v>47</v>
      </c>
      <c r="B82" s="128"/>
      <c r="C82" s="2" t="s">
        <v>417</v>
      </c>
      <c r="D82" s="66">
        <f ca="1">SUM(F82:R82)</f>
        <v>8297.3820979529337</v>
      </c>
      <c r="F82" s="66">
        <f ca="1">SUM('Transmission Class'!P134:P136)</f>
        <v>630.18672633973108</v>
      </c>
      <c r="G82" s="66"/>
      <c r="H82" s="66">
        <f ca="1">SUM('Transmission Class'!R134:R136)</f>
        <v>124.07300197448653</v>
      </c>
      <c r="I82" s="66"/>
      <c r="J82" s="66">
        <f ca="1">SUM('Transmission Class'!T134:T136)</f>
        <v>1773.6645441872117</v>
      </c>
      <c r="K82" s="66"/>
      <c r="L82" s="66">
        <f ca="1">SUM('Transmission Class'!V134:V136)</f>
        <v>4383.2363970456881</v>
      </c>
      <c r="M82" s="66"/>
      <c r="N82" s="66">
        <f ca="1">SUM('Transmission Class'!X134:X136)</f>
        <v>58.78207536407205</v>
      </c>
      <c r="O82" s="66"/>
      <c r="P82" s="66">
        <f ca="1">SUM('Transmission Class'!Z134:Z136)</f>
        <v>1327.4393530417442</v>
      </c>
      <c r="Q82" s="66"/>
      <c r="R82" s="66">
        <f ca="1">SUM('Transmission Class'!AB134:AB136)</f>
        <v>0</v>
      </c>
      <c r="AJ82" s="97"/>
      <c r="AK82" s="41"/>
      <c r="AL82" s="84"/>
      <c r="AM82" s="19"/>
      <c r="AN82" s="155"/>
      <c r="AO82" s="84"/>
      <c r="AP82" s="66"/>
      <c r="AQ82" s="84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84"/>
    </row>
    <row r="83" spans="1:57" x14ac:dyDescent="0.25">
      <c r="A83" s="128">
        <v>48</v>
      </c>
      <c r="B83" s="128" t="s">
        <v>399</v>
      </c>
      <c r="D83" s="83">
        <f ca="1">SUM(F83:R83)</f>
        <v>0.99999999999999978</v>
      </c>
      <c r="E83" s="99"/>
      <c r="F83" s="34">
        <f ca="1">IFERROR(F82/$D82,0)</f>
        <v>7.595006700911193E-2</v>
      </c>
      <c r="G83" s="99"/>
      <c r="H83" s="34">
        <f ca="1">IFERROR(H82/$D82,0)</f>
        <v>1.4953270864203887E-2</v>
      </c>
      <c r="I83" s="99"/>
      <c r="J83" s="34">
        <f ca="1">IFERROR(J82/$D82,0)</f>
        <v>0.21376194602690365</v>
      </c>
      <c r="K83" s="99"/>
      <c r="L83" s="34">
        <f ca="1">IFERROR(L82/$D82,0)</f>
        <v>0.52826739148569357</v>
      </c>
      <c r="M83" s="99"/>
      <c r="N83" s="34">
        <f ca="1">IFERROR(N82/$D82,0)</f>
        <v>7.084412248361361E-3</v>
      </c>
      <c r="O83" s="99"/>
      <c r="P83" s="34">
        <f ca="1">IFERROR(P82/$D82,0)</f>
        <v>0.15998291236572554</v>
      </c>
      <c r="Q83" s="99"/>
      <c r="R83" s="34">
        <f ca="1">IFERROR(R82/$D82,0)</f>
        <v>0</v>
      </c>
      <c r="AK83" s="41"/>
      <c r="AM83" s="19"/>
      <c r="AN83" s="155"/>
      <c r="AP83" s="83"/>
      <c r="AR83" s="144"/>
      <c r="AT83" s="144"/>
      <c r="AV83" s="144"/>
      <c r="AX83" s="144"/>
      <c r="AZ83" s="144"/>
      <c r="BB83" s="144"/>
      <c r="BD83" s="144"/>
    </row>
    <row r="84" spans="1:57" x14ac:dyDescent="0.25">
      <c r="A84" s="114"/>
      <c r="AK84" s="41"/>
      <c r="AM84" s="19"/>
      <c r="AN84" s="155"/>
      <c r="AP84" s="83"/>
      <c r="AR84" s="144"/>
      <c r="AT84" s="144"/>
      <c r="AV84" s="144"/>
      <c r="AX84" s="144"/>
      <c r="AZ84" s="144"/>
      <c r="BB84" s="144"/>
      <c r="BD84" s="144"/>
    </row>
    <row r="85" spans="1:57" x14ac:dyDescent="0.25">
      <c r="AK85" s="41"/>
      <c r="AN85" s="156"/>
      <c r="AP85" s="83"/>
      <c r="AR85" s="144"/>
      <c r="AT85" s="144"/>
      <c r="AV85" s="144"/>
      <c r="AX85" s="144"/>
      <c r="AZ85" s="144"/>
      <c r="BB85" s="144"/>
      <c r="BD85" s="144"/>
    </row>
    <row r="86" spans="1:57" x14ac:dyDescent="0.25">
      <c r="A86" s="114"/>
      <c r="AK86" s="41"/>
      <c r="AM86" s="19"/>
      <c r="AN86" s="156"/>
      <c r="AP86" s="66"/>
      <c r="AQ86" s="61"/>
      <c r="AR86" s="66"/>
      <c r="AS86" s="66"/>
      <c r="AT86" s="66"/>
      <c r="AU86" s="66"/>
      <c r="AV86" s="66"/>
      <c r="AW86" s="66"/>
      <c r="AX86" s="66"/>
      <c r="AY86" s="160"/>
      <c r="AZ86" s="160"/>
      <c r="BA86" s="160"/>
      <c r="BB86" s="160"/>
      <c r="BC86" s="160"/>
      <c r="BD86" s="160"/>
    </row>
    <row r="87" spans="1:57" x14ac:dyDescent="0.25">
      <c r="A87" s="114"/>
      <c r="AK87" s="41"/>
      <c r="AM87" s="19"/>
      <c r="AN87" s="156"/>
      <c r="AP87" s="83"/>
      <c r="AR87" s="144"/>
      <c r="AT87" s="144"/>
      <c r="AV87" s="144"/>
      <c r="AX87" s="144"/>
      <c r="AZ87" s="144"/>
      <c r="BB87" s="144"/>
      <c r="BD87" s="144"/>
    </row>
    <row r="88" spans="1:57" x14ac:dyDescent="0.25">
      <c r="B88" s="24"/>
      <c r="C88" s="28"/>
      <c r="D88" s="24"/>
      <c r="E88" s="24"/>
      <c r="F88" s="24"/>
      <c r="G88" s="24"/>
      <c r="H88" s="24"/>
      <c r="I88" s="24"/>
      <c r="J88" s="24"/>
      <c r="K88" s="24"/>
      <c r="L88" s="24"/>
      <c r="AK88" s="41"/>
      <c r="AN88" s="156"/>
    </row>
    <row r="89" spans="1:57" x14ac:dyDescent="0.25">
      <c r="A89" s="114"/>
      <c r="AK89" s="41"/>
      <c r="AM89" s="19"/>
      <c r="AN89" s="156"/>
      <c r="AP89" s="66"/>
      <c r="AQ89" s="61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160"/>
      <c r="BD89" s="160"/>
    </row>
    <row r="90" spans="1:57" x14ac:dyDescent="0.25">
      <c r="A90" s="114"/>
      <c r="AK90" s="41"/>
      <c r="AM90" s="19"/>
      <c r="AN90" s="156"/>
      <c r="AP90" s="83"/>
      <c r="AR90" s="144"/>
      <c r="AT90" s="144"/>
      <c r="AV90" s="144"/>
      <c r="AX90" s="144"/>
      <c r="AZ90" s="144"/>
      <c r="BB90" s="144"/>
      <c r="BD90" s="144"/>
    </row>
    <row r="91" spans="1:57" x14ac:dyDescent="0.25">
      <c r="B91" s="24"/>
      <c r="C91" s="28"/>
      <c r="D91" s="24"/>
      <c r="E91" s="24"/>
      <c r="F91" s="24"/>
      <c r="G91" s="24"/>
      <c r="H91" s="24"/>
      <c r="I91" s="24"/>
      <c r="J91" s="24"/>
      <c r="K91" s="24"/>
      <c r="L91" s="24"/>
      <c r="AK91" s="41"/>
      <c r="AM91" s="19"/>
      <c r="AN91" s="156"/>
    </row>
    <row r="92" spans="1:57" x14ac:dyDescent="0.25">
      <c r="A92" s="114"/>
      <c r="AK92" s="41"/>
      <c r="AM92" s="19"/>
      <c r="AN92" s="156"/>
      <c r="AP92" s="66"/>
      <c r="AQ92" s="61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</row>
    <row r="93" spans="1:57" x14ac:dyDescent="0.25">
      <c r="A93" s="114"/>
      <c r="AK93" s="41"/>
      <c r="AM93" s="19"/>
      <c r="AN93" s="156"/>
      <c r="AP93" s="83"/>
      <c r="AR93" s="144"/>
      <c r="AT93" s="144"/>
      <c r="AV93" s="144"/>
      <c r="AX93" s="144"/>
      <c r="AZ93" s="144"/>
      <c r="BB93" s="144"/>
      <c r="BD93" s="144"/>
    </row>
    <row r="94" spans="1:57" x14ac:dyDescent="0.25">
      <c r="B94" s="24"/>
      <c r="C94" s="28"/>
      <c r="D94" s="24"/>
      <c r="E94" s="24"/>
      <c r="F94" s="24"/>
      <c r="G94" s="24"/>
      <c r="H94" s="24"/>
      <c r="I94" s="24"/>
      <c r="J94" s="24"/>
      <c r="K94" s="24"/>
      <c r="L94" s="24"/>
      <c r="AK94" s="41"/>
      <c r="AM94" s="19"/>
      <c r="AN94" s="156"/>
    </row>
    <row r="95" spans="1:57" x14ac:dyDescent="0.25">
      <c r="A95" s="114"/>
      <c r="AK95" s="41"/>
      <c r="AM95" s="19"/>
      <c r="AN95" s="155"/>
      <c r="AP95" s="66"/>
      <c r="AQ95" s="51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</row>
    <row r="96" spans="1:57" x14ac:dyDescent="0.25">
      <c r="A96" s="114"/>
      <c r="AK96" s="41"/>
      <c r="AM96" s="19"/>
      <c r="AN96" s="155"/>
      <c r="AP96" s="83"/>
      <c r="AR96" s="144"/>
      <c r="AT96" s="144"/>
      <c r="AV96" s="144"/>
      <c r="AX96" s="144"/>
      <c r="AZ96" s="144"/>
      <c r="BB96" s="144"/>
      <c r="BD96" s="144"/>
    </row>
    <row r="97" spans="1:57" x14ac:dyDescent="0.25">
      <c r="B97" s="24"/>
      <c r="C97" s="28"/>
      <c r="D97" s="24"/>
      <c r="E97" s="24"/>
      <c r="F97" s="24"/>
      <c r="G97" s="24"/>
      <c r="H97" s="24"/>
      <c r="I97" s="24"/>
      <c r="J97" s="24"/>
      <c r="K97" s="24"/>
      <c r="L97" s="24"/>
      <c r="AK97" s="41"/>
      <c r="AN97" s="156"/>
    </row>
    <row r="98" spans="1:57" x14ac:dyDescent="0.25">
      <c r="A98" s="114"/>
      <c r="AK98" s="41"/>
      <c r="AM98" s="19"/>
      <c r="AN98" s="155"/>
      <c r="AP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</row>
    <row r="99" spans="1:57" x14ac:dyDescent="0.25">
      <c r="A99" s="114"/>
      <c r="AK99" s="41"/>
      <c r="AM99" s="19"/>
      <c r="AN99" s="155"/>
      <c r="AP99" s="83"/>
      <c r="AR99" s="144"/>
      <c r="AT99" s="144"/>
      <c r="AV99" s="144"/>
      <c r="AX99" s="144"/>
      <c r="AZ99" s="144"/>
      <c r="BB99" s="144"/>
      <c r="BD99" s="144"/>
    </row>
    <row r="100" spans="1:57" x14ac:dyDescent="0.25">
      <c r="AK100" s="41"/>
      <c r="AN100" s="156"/>
    </row>
    <row r="101" spans="1:57" x14ac:dyDescent="0.25">
      <c r="A101" s="114"/>
      <c r="AK101" s="41"/>
      <c r="AM101" s="19"/>
      <c r="AN101" s="155"/>
      <c r="AP101" s="66"/>
      <c r="AQ101" s="51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</row>
    <row r="102" spans="1:57" x14ac:dyDescent="0.25">
      <c r="A102" s="114"/>
      <c r="AK102" s="41"/>
      <c r="AM102" s="19"/>
      <c r="AN102" s="155"/>
      <c r="AP102" s="83"/>
      <c r="AR102" s="144"/>
      <c r="AT102" s="144"/>
      <c r="AV102" s="144"/>
      <c r="AX102" s="144"/>
      <c r="AZ102" s="144"/>
      <c r="BB102" s="144"/>
      <c r="BD102" s="144"/>
    </row>
    <row r="103" spans="1:57" x14ac:dyDescent="0.25">
      <c r="B103" s="24"/>
      <c r="C103" s="28"/>
      <c r="D103" s="24"/>
      <c r="E103" s="24"/>
      <c r="F103" s="24"/>
      <c r="G103" s="24"/>
      <c r="H103" s="24"/>
      <c r="I103" s="24"/>
      <c r="J103" s="24"/>
      <c r="K103" s="24"/>
      <c r="L103" s="24"/>
      <c r="AK103" s="41"/>
      <c r="AN103" s="156"/>
      <c r="AP103" s="83"/>
      <c r="AR103" s="144"/>
      <c r="AT103" s="144"/>
      <c r="AV103" s="144"/>
      <c r="AX103" s="144"/>
      <c r="AZ103" s="144"/>
      <c r="BB103" s="144"/>
      <c r="BD103" s="144"/>
    </row>
    <row r="104" spans="1:57" s="99" customFormat="1" x14ac:dyDescent="0.25">
      <c r="A104" s="114"/>
      <c r="C104" s="136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41"/>
      <c r="AL104" s="84"/>
      <c r="AM104" s="19"/>
      <c r="AN104" s="156"/>
      <c r="AO104" s="84"/>
      <c r="AP104" s="160"/>
      <c r="AQ104" s="161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84"/>
    </row>
    <row r="105" spans="1:57" s="99" customFormat="1" x14ac:dyDescent="0.25">
      <c r="A105" s="114"/>
      <c r="C105" s="136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41"/>
      <c r="AL105" s="84"/>
      <c r="AM105" s="19"/>
      <c r="AN105" s="156"/>
      <c r="AO105" s="84"/>
      <c r="AP105" s="83"/>
      <c r="AQ105" s="84"/>
      <c r="AR105" s="144"/>
      <c r="AS105" s="84"/>
      <c r="AT105" s="144"/>
      <c r="AU105" s="84"/>
      <c r="AV105" s="144"/>
      <c r="AW105" s="84"/>
      <c r="AX105" s="144"/>
      <c r="AY105" s="84"/>
      <c r="AZ105" s="144"/>
      <c r="BA105" s="84"/>
      <c r="BB105" s="144"/>
      <c r="BC105" s="84"/>
      <c r="BD105" s="144"/>
      <c r="BE105" s="84"/>
    </row>
    <row r="106" spans="1:57" s="99" customFormat="1" x14ac:dyDescent="0.25">
      <c r="B106" s="97"/>
      <c r="C106" s="28"/>
      <c r="D106" s="97"/>
      <c r="E106" s="97"/>
      <c r="F106" s="97"/>
      <c r="G106" s="97"/>
      <c r="H106" s="97"/>
      <c r="I106" s="97"/>
      <c r="J106" s="97"/>
      <c r="K106" s="97"/>
      <c r="L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41"/>
      <c r="AL106" s="84"/>
      <c r="AM106" s="19"/>
      <c r="AN106" s="156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</row>
    <row r="107" spans="1:57" s="99" customFormat="1" x14ac:dyDescent="0.25">
      <c r="A107" s="114"/>
      <c r="C107" s="136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41"/>
      <c r="AL107" s="84"/>
      <c r="AM107" s="19"/>
      <c r="AN107" s="156"/>
      <c r="AO107" s="84"/>
      <c r="AP107" s="66"/>
      <c r="AQ107" s="51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84"/>
    </row>
    <row r="108" spans="1:57" x14ac:dyDescent="0.25">
      <c r="A108" s="114"/>
      <c r="AK108" s="41"/>
      <c r="AM108" s="19"/>
      <c r="AN108" s="156"/>
      <c r="AP108" s="83"/>
      <c r="AR108" s="144"/>
      <c r="AT108" s="144"/>
      <c r="AV108" s="144"/>
      <c r="AX108" s="144"/>
      <c r="AZ108" s="144"/>
      <c r="BB108" s="144"/>
      <c r="BD108" s="144"/>
    </row>
    <row r="109" spans="1:57" x14ac:dyDescent="0.25">
      <c r="AK109" s="41"/>
      <c r="AN109" s="156"/>
    </row>
    <row r="110" spans="1:57" x14ac:dyDescent="0.25">
      <c r="A110" s="114"/>
      <c r="AK110" s="41"/>
      <c r="AM110" s="19"/>
      <c r="AN110" s="155"/>
      <c r="AP110" s="66"/>
      <c r="AQ110" s="51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</row>
    <row r="111" spans="1:57" x14ac:dyDescent="0.25">
      <c r="A111" s="114"/>
      <c r="AK111" s="41"/>
      <c r="AM111" s="19"/>
      <c r="AN111" s="155"/>
      <c r="AP111" s="83"/>
      <c r="AR111" s="144"/>
      <c r="AT111" s="144"/>
      <c r="AV111" s="144"/>
      <c r="AX111" s="144"/>
      <c r="AZ111" s="144"/>
      <c r="BB111" s="144"/>
      <c r="BD111" s="144"/>
    </row>
    <row r="112" spans="1:57" x14ac:dyDescent="0.25">
      <c r="AK112" s="41"/>
      <c r="AN112" s="156"/>
    </row>
    <row r="113" spans="1:57" s="99" customFormat="1" x14ac:dyDescent="0.25">
      <c r="A113" s="114"/>
      <c r="C113" s="136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41"/>
      <c r="AL113" s="84"/>
      <c r="AM113" s="19"/>
      <c r="AN113" s="155"/>
      <c r="AO113" s="84"/>
      <c r="AP113" s="66"/>
      <c r="AQ113" s="51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84"/>
    </row>
    <row r="114" spans="1:57" s="99" customFormat="1" x14ac:dyDescent="0.25">
      <c r="A114" s="114"/>
      <c r="C114" s="136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41"/>
      <c r="AL114" s="84"/>
      <c r="AM114" s="19"/>
      <c r="AN114" s="155"/>
      <c r="AO114" s="84"/>
      <c r="AP114" s="83"/>
      <c r="AQ114" s="84"/>
      <c r="AR114" s="144"/>
      <c r="AS114" s="84"/>
      <c r="AT114" s="144"/>
      <c r="AU114" s="84"/>
      <c r="AV114" s="144"/>
      <c r="AW114" s="84"/>
      <c r="AX114" s="144"/>
      <c r="AY114" s="84"/>
      <c r="AZ114" s="144"/>
      <c r="BA114" s="84"/>
      <c r="BB114" s="144"/>
      <c r="BC114" s="84"/>
      <c r="BD114" s="144"/>
      <c r="BE114" s="84"/>
    </row>
    <row r="115" spans="1:57" s="99" customFormat="1" x14ac:dyDescent="0.25">
      <c r="C115" s="136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41"/>
      <c r="AL115" s="84"/>
      <c r="AM115" s="84"/>
      <c r="AN115" s="156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</row>
    <row r="116" spans="1:57" s="99" customFormat="1" x14ac:dyDescent="0.25">
      <c r="A116" s="114"/>
      <c r="C116" s="136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41"/>
      <c r="AL116" s="84"/>
      <c r="AM116" s="19"/>
      <c r="AN116" s="155"/>
      <c r="AO116" s="84"/>
      <c r="AP116" s="66"/>
      <c r="AQ116" s="84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84"/>
    </row>
    <row r="117" spans="1:57" s="99" customFormat="1" x14ac:dyDescent="0.25">
      <c r="A117" s="114"/>
      <c r="C117" s="136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41"/>
      <c r="AL117" s="84"/>
      <c r="AM117" s="19"/>
      <c r="AN117" s="155"/>
      <c r="AO117" s="84"/>
      <c r="AP117" s="83"/>
      <c r="AQ117" s="84"/>
      <c r="AR117" s="144"/>
      <c r="AS117" s="84"/>
      <c r="AT117" s="144"/>
      <c r="AU117" s="84"/>
      <c r="AV117" s="144"/>
      <c r="AW117" s="84"/>
      <c r="AX117" s="144"/>
      <c r="AY117" s="84"/>
      <c r="AZ117" s="144"/>
      <c r="BA117" s="84"/>
      <c r="BB117" s="144"/>
      <c r="BC117" s="84"/>
      <c r="BD117" s="144"/>
      <c r="BE117" s="84"/>
    </row>
    <row r="118" spans="1:57" x14ac:dyDescent="0.25">
      <c r="AK118" s="41"/>
      <c r="AN118" s="156"/>
    </row>
    <row r="119" spans="1:57" x14ac:dyDescent="0.25">
      <c r="A119" s="114"/>
      <c r="AK119" s="41"/>
      <c r="AM119" s="19"/>
      <c r="AN119" s="155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1:57" x14ac:dyDescent="0.25">
      <c r="A120" s="114"/>
      <c r="AK120" s="41"/>
      <c r="AM120" s="19"/>
      <c r="AN120" s="155"/>
      <c r="AP120" s="83"/>
      <c r="AQ120" s="162"/>
      <c r="AR120" s="144"/>
      <c r="AT120" s="144"/>
      <c r="AV120" s="144"/>
      <c r="AX120" s="144"/>
      <c r="AZ120" s="144"/>
      <c r="BB120" s="144"/>
      <c r="BD120" s="144"/>
    </row>
    <row r="121" spans="1:57" x14ac:dyDescent="0.25">
      <c r="B121" s="28"/>
      <c r="C121" s="28"/>
      <c r="D121" s="24"/>
      <c r="E121" s="24"/>
      <c r="F121" s="24"/>
      <c r="G121" s="24"/>
      <c r="H121" s="24"/>
      <c r="I121" s="24"/>
      <c r="J121" s="24"/>
      <c r="K121" s="24"/>
      <c r="L121" s="24"/>
      <c r="AK121" s="41"/>
      <c r="AM121" s="19"/>
      <c r="AN121" s="156"/>
    </row>
    <row r="122" spans="1:57" x14ac:dyDescent="0.25">
      <c r="A122" s="114"/>
      <c r="AK122" s="41"/>
      <c r="AM122" s="19"/>
      <c r="AN122" s="155"/>
      <c r="AP122" s="66"/>
      <c r="AQ122" s="51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1:57" x14ac:dyDescent="0.25">
      <c r="A123" s="114"/>
      <c r="AK123" s="41"/>
      <c r="AM123" s="19"/>
      <c r="AN123" s="155"/>
      <c r="AP123" s="83"/>
      <c r="AR123" s="144"/>
      <c r="AT123" s="144"/>
      <c r="AV123" s="144"/>
      <c r="AX123" s="144"/>
      <c r="AZ123" s="144"/>
      <c r="BB123" s="144"/>
      <c r="BD123" s="144"/>
    </row>
    <row r="124" spans="1:57" x14ac:dyDescent="0.25">
      <c r="D124" s="83"/>
      <c r="F124" s="17"/>
      <c r="H124" s="17"/>
      <c r="J124" s="17"/>
      <c r="L124" s="17"/>
      <c r="N124" s="17"/>
      <c r="P124" s="17"/>
      <c r="R124" s="17"/>
      <c r="AK124" s="41"/>
      <c r="AN124" s="156"/>
    </row>
    <row r="125" spans="1:57" x14ac:dyDescent="0.25">
      <c r="A125" s="114"/>
      <c r="AK125" s="41"/>
      <c r="AM125" s="19"/>
      <c r="AN125" s="155"/>
      <c r="AP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1:57" x14ac:dyDescent="0.25">
      <c r="A126" s="114"/>
      <c r="AK126" s="41"/>
      <c r="AM126" s="19"/>
      <c r="AN126" s="155"/>
      <c r="AP126" s="83"/>
      <c r="AR126" s="144"/>
      <c r="AT126" s="144"/>
      <c r="AV126" s="144"/>
      <c r="AX126" s="144"/>
      <c r="AZ126" s="144"/>
      <c r="BB126" s="144"/>
      <c r="BD126" s="144"/>
    </row>
    <row r="127" spans="1:57" x14ac:dyDescent="0.25">
      <c r="D127" s="83"/>
      <c r="F127" s="17"/>
      <c r="H127" s="17"/>
      <c r="J127" s="17"/>
      <c r="L127" s="17"/>
      <c r="N127" s="17"/>
      <c r="P127" s="17"/>
      <c r="R127" s="17"/>
      <c r="AK127" s="41"/>
      <c r="AN127" s="156"/>
    </row>
    <row r="128" spans="1:57" x14ac:dyDescent="0.25">
      <c r="A128" s="3"/>
      <c r="AK128" s="41"/>
      <c r="AM128" s="19"/>
      <c r="AN128" s="155"/>
      <c r="AP128" s="66"/>
      <c r="AQ128" s="51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1:57" x14ac:dyDescent="0.25">
      <c r="A129" s="3"/>
      <c r="AK129" s="41"/>
      <c r="AM129" s="19"/>
      <c r="AN129" s="155"/>
      <c r="AP129" s="83"/>
      <c r="AR129" s="144"/>
      <c r="AT129" s="144"/>
      <c r="AV129" s="144"/>
      <c r="AX129" s="144"/>
      <c r="AZ129" s="144"/>
      <c r="BB129" s="144"/>
      <c r="BD129" s="144"/>
    </row>
    <row r="130" spans="1:57" x14ac:dyDescent="0.25">
      <c r="B130" s="28"/>
      <c r="C130" s="28"/>
      <c r="D130" s="24"/>
      <c r="E130" s="24"/>
      <c r="F130" s="24"/>
      <c r="G130" s="24"/>
      <c r="H130" s="24"/>
      <c r="I130" s="24"/>
      <c r="J130" s="24"/>
      <c r="K130" s="24"/>
      <c r="L130" s="24"/>
      <c r="AK130" s="41"/>
      <c r="AN130" s="156"/>
    </row>
    <row r="131" spans="1:57" s="99" customFormat="1" x14ac:dyDescent="0.25">
      <c r="A131" s="3"/>
      <c r="C131" s="136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41"/>
      <c r="AL131" s="84"/>
      <c r="AM131" s="19"/>
      <c r="AN131" s="155"/>
      <c r="AO131" s="84"/>
      <c r="AP131" s="66"/>
      <c r="AQ131" s="84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84"/>
    </row>
    <row r="132" spans="1:57" s="99" customFormat="1" x14ac:dyDescent="0.25">
      <c r="A132" s="3"/>
      <c r="C132" s="136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41"/>
      <c r="AL132" s="84"/>
      <c r="AM132" s="19"/>
      <c r="AN132" s="155"/>
      <c r="AO132" s="84"/>
      <c r="AP132" s="83"/>
      <c r="AQ132" s="84"/>
      <c r="AR132" s="144"/>
      <c r="AS132" s="84"/>
      <c r="AT132" s="144"/>
      <c r="AU132" s="84"/>
      <c r="AV132" s="144"/>
      <c r="AW132" s="84"/>
      <c r="AX132" s="144"/>
      <c r="AY132" s="84"/>
      <c r="AZ132" s="144"/>
      <c r="BA132" s="84"/>
      <c r="BB132" s="144"/>
      <c r="BC132" s="84"/>
      <c r="BD132" s="144"/>
      <c r="BE132" s="84"/>
    </row>
    <row r="133" spans="1:57" s="99" customFormat="1" x14ac:dyDescent="0.25">
      <c r="B133" s="28"/>
      <c r="C133" s="28"/>
      <c r="D133" s="97"/>
      <c r="E133" s="97"/>
      <c r="F133" s="97"/>
      <c r="G133" s="97"/>
      <c r="H133" s="97"/>
      <c r="I133" s="97"/>
      <c r="J133" s="97"/>
      <c r="K133" s="97"/>
      <c r="L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41"/>
      <c r="AL133" s="84"/>
      <c r="AM133" s="84"/>
      <c r="AN133" s="156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</row>
    <row r="134" spans="1:57" x14ac:dyDescent="0.25">
      <c r="A134" s="3"/>
      <c r="AK134" s="41"/>
      <c r="AM134" s="19"/>
      <c r="AN134" s="156"/>
      <c r="AP134" s="66"/>
      <c r="AQ134" s="51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</row>
    <row r="135" spans="1:57" x14ac:dyDescent="0.25">
      <c r="A135" s="3"/>
      <c r="AK135" s="41"/>
      <c r="AM135" s="19"/>
      <c r="AN135" s="156"/>
      <c r="AP135" s="83"/>
      <c r="AR135" s="144"/>
      <c r="AT135" s="144"/>
      <c r="AV135" s="144"/>
      <c r="AX135" s="144"/>
      <c r="AZ135" s="144"/>
      <c r="BB135" s="144"/>
      <c r="BD135" s="144"/>
    </row>
    <row r="136" spans="1:57" x14ac:dyDescent="0.25">
      <c r="AK136" s="41"/>
      <c r="AN136" s="156"/>
    </row>
    <row r="137" spans="1:57" x14ac:dyDescent="0.25">
      <c r="A137" s="2"/>
      <c r="AK137" s="41"/>
      <c r="AM137" s="19"/>
      <c r="AN137" s="156"/>
      <c r="AP137" s="66"/>
      <c r="AQ137" s="51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</row>
    <row r="138" spans="1:57" x14ac:dyDescent="0.25">
      <c r="A138" s="2"/>
      <c r="AK138" s="41"/>
      <c r="AM138" s="19"/>
      <c r="AN138" s="159"/>
      <c r="AP138" s="83"/>
      <c r="AR138" s="144"/>
      <c r="AT138" s="144"/>
      <c r="AV138" s="144"/>
      <c r="AX138" s="144"/>
      <c r="AZ138" s="144"/>
      <c r="BB138" s="144"/>
      <c r="BD138" s="144"/>
    </row>
    <row r="139" spans="1:57" x14ac:dyDescent="0.25">
      <c r="AK139" s="41"/>
      <c r="AM139" s="19"/>
      <c r="AN139" s="159"/>
      <c r="AP139" s="83"/>
      <c r="AR139" s="144"/>
      <c r="AT139" s="144"/>
      <c r="AV139" s="144"/>
      <c r="AX139" s="144"/>
      <c r="AZ139" s="144"/>
      <c r="BB139" s="144"/>
      <c r="BD139" s="144"/>
    </row>
    <row r="140" spans="1:57" x14ac:dyDescent="0.25">
      <c r="A140" s="2"/>
      <c r="AK140" s="41"/>
      <c r="AM140" s="19"/>
      <c r="AN140" s="155"/>
      <c r="AP140" s="66"/>
      <c r="AQ140" s="51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</row>
    <row r="141" spans="1:57" x14ac:dyDescent="0.25">
      <c r="A141" s="2"/>
      <c r="AK141" s="41"/>
      <c r="AM141" s="19"/>
      <c r="AN141" s="155"/>
      <c r="AP141" s="83"/>
      <c r="AR141" s="144"/>
      <c r="AT141" s="144"/>
      <c r="AV141" s="144"/>
      <c r="AX141" s="144"/>
      <c r="AZ141" s="144"/>
      <c r="BB141" s="144"/>
      <c r="BD141" s="144"/>
    </row>
    <row r="142" spans="1:57" x14ac:dyDescent="0.25">
      <c r="B142" s="24"/>
      <c r="C142" s="28"/>
      <c r="D142" s="24"/>
      <c r="E142" s="24"/>
      <c r="F142" s="24"/>
      <c r="G142" s="24"/>
      <c r="H142" s="24"/>
      <c r="I142" s="24"/>
      <c r="J142" s="24"/>
      <c r="K142" s="24"/>
      <c r="L142" s="24"/>
      <c r="AK142" s="41"/>
      <c r="AN142" s="156"/>
    </row>
    <row r="143" spans="1:57" x14ac:dyDescent="0.25">
      <c r="A143" s="2"/>
      <c r="AK143" s="41"/>
      <c r="AM143" s="19"/>
      <c r="AN143" s="156"/>
      <c r="AP143" s="66"/>
      <c r="AQ143" s="51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</row>
    <row r="144" spans="1:57" x14ac:dyDescent="0.25">
      <c r="A144" s="2"/>
      <c r="AK144" s="41"/>
      <c r="AM144" s="19"/>
      <c r="AN144" s="156"/>
      <c r="AP144" s="83"/>
      <c r="AR144" s="144"/>
      <c r="AT144" s="144"/>
      <c r="AV144" s="144"/>
      <c r="AX144" s="144"/>
      <c r="AZ144" s="144"/>
      <c r="BB144" s="144"/>
      <c r="BD144" s="144"/>
    </row>
    <row r="145" spans="1:57" x14ac:dyDescent="0.25">
      <c r="B145" s="28"/>
      <c r="C145" s="28"/>
      <c r="D145" s="24"/>
      <c r="E145" s="24"/>
      <c r="F145" s="24"/>
      <c r="G145" s="24"/>
      <c r="H145" s="24"/>
      <c r="I145" s="24"/>
      <c r="J145" s="24"/>
      <c r="K145" s="24"/>
      <c r="L145" s="24"/>
      <c r="AK145" s="41"/>
      <c r="AM145" s="19"/>
      <c r="AN145" s="156"/>
      <c r="AP145" s="83"/>
      <c r="AR145" s="144"/>
      <c r="AT145" s="144"/>
      <c r="AV145" s="144"/>
      <c r="AX145" s="144"/>
      <c r="AZ145" s="144"/>
      <c r="BB145" s="144"/>
      <c r="BD145" s="144"/>
    </row>
    <row r="146" spans="1:57" x14ac:dyDescent="0.25">
      <c r="A146" s="2"/>
      <c r="S146" s="117"/>
      <c r="AK146" s="41"/>
      <c r="AM146" s="19"/>
      <c r="AN146" s="155"/>
      <c r="AP146" s="66"/>
      <c r="AQ146" s="51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</row>
    <row r="147" spans="1:57" x14ac:dyDescent="0.25">
      <c r="A147" s="2"/>
      <c r="AK147" s="41"/>
      <c r="AM147" s="19"/>
      <c r="AN147" s="155"/>
      <c r="AP147" s="83"/>
      <c r="AR147" s="144"/>
      <c r="AT147" s="144"/>
      <c r="AV147" s="144"/>
      <c r="AX147" s="144"/>
      <c r="AZ147" s="144"/>
      <c r="BB147" s="144"/>
      <c r="BD147" s="144"/>
    </row>
    <row r="148" spans="1:57" x14ac:dyDescent="0.25">
      <c r="AK148" s="41"/>
      <c r="AN148" s="156"/>
    </row>
    <row r="149" spans="1:57" s="99" customFormat="1" x14ac:dyDescent="0.25">
      <c r="A149" s="2"/>
      <c r="C149" s="136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41"/>
      <c r="AL149" s="84"/>
      <c r="AM149" s="19"/>
      <c r="AN149" s="155"/>
      <c r="AO149" s="84"/>
      <c r="AP149" s="66"/>
      <c r="AQ149" s="84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84"/>
    </row>
    <row r="150" spans="1:57" s="99" customFormat="1" x14ac:dyDescent="0.25">
      <c r="A150" s="2"/>
      <c r="C150" s="136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41"/>
      <c r="AL150" s="84"/>
      <c r="AM150" s="19"/>
      <c r="AN150" s="155"/>
      <c r="AO150" s="84"/>
      <c r="AP150" s="83"/>
      <c r="AQ150" s="84"/>
      <c r="AR150" s="144"/>
      <c r="AS150" s="84"/>
      <c r="AT150" s="144"/>
      <c r="AU150" s="84"/>
      <c r="AV150" s="144"/>
      <c r="AW150" s="84"/>
      <c r="AX150" s="144"/>
      <c r="AY150" s="84"/>
      <c r="AZ150" s="144"/>
      <c r="BA150" s="84"/>
      <c r="BB150" s="144"/>
      <c r="BC150" s="84"/>
      <c r="BD150" s="144"/>
      <c r="BE150" s="84"/>
    </row>
    <row r="151" spans="1:57" s="99" customFormat="1" x14ac:dyDescent="0.25">
      <c r="C151" s="136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41"/>
      <c r="AL151" s="84"/>
      <c r="AM151" s="84"/>
      <c r="AN151" s="156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</row>
    <row r="152" spans="1:57" x14ac:dyDescent="0.25">
      <c r="A152" s="2"/>
      <c r="AK152" s="41"/>
      <c r="AM152" s="19"/>
      <c r="AN152" s="155"/>
      <c r="AP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</row>
    <row r="153" spans="1:57" x14ac:dyDescent="0.25">
      <c r="A153" s="2"/>
      <c r="AK153" s="41"/>
      <c r="AM153" s="19"/>
      <c r="AN153" s="155"/>
      <c r="AP153" s="83"/>
      <c r="AR153" s="144"/>
      <c r="AT153" s="144"/>
      <c r="AV153" s="144"/>
      <c r="AX153" s="144"/>
      <c r="AZ153" s="144"/>
      <c r="BB153" s="144"/>
      <c r="BD153" s="144"/>
    </row>
    <row r="157" spans="1:57" x14ac:dyDescent="0.25">
      <c r="H157" s="118"/>
    </row>
    <row r="158" spans="1:57" x14ac:dyDescent="0.25">
      <c r="H158" s="118"/>
    </row>
  </sheetData>
  <mergeCells count="2">
    <mergeCell ref="B6:R6"/>
    <mergeCell ref="B7:R7"/>
  </mergeCells>
  <pageMargins left="0.7" right="0.7" top="0.75" bottom="0.75" header="0.3" footer="0.3"/>
  <pageSetup scale="55" fitToHeight="3" orientation="portrait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</sheetPr>
  <dimension ref="B5:BN182"/>
  <sheetViews>
    <sheetView view="pageLayout" topLeftCell="A4" zoomScaleNormal="80" workbookViewId="0">
      <selection activeCell="B4" sqref="B4"/>
    </sheetView>
  </sheetViews>
  <sheetFormatPr defaultColWidth="9.1796875" defaultRowHeight="12.5" x14ac:dyDescent="0.25"/>
  <cols>
    <col min="1" max="1" width="1.7265625" style="1" customWidth="1"/>
    <col min="2" max="2" width="5.54296875" style="163" bestFit="1" customWidth="1"/>
    <col min="3" max="3" width="1.7265625" style="1" customWidth="1"/>
    <col min="4" max="4" width="46" style="99" bestFit="1" customWidth="1"/>
    <col min="5" max="5" width="1.7265625" style="1" customWidth="1"/>
    <col min="6" max="6" width="19.7265625" style="94" customWidth="1"/>
    <col min="7" max="7" width="1.7265625" style="94" customWidth="1"/>
    <col min="8" max="8" width="13.1796875" style="94" customWidth="1"/>
    <col min="9" max="9" width="1.7265625" style="94" customWidth="1"/>
    <col min="10" max="10" width="19.26953125" style="94" customWidth="1"/>
    <col min="11" max="11" width="1.7265625" style="94" customWidth="1"/>
    <col min="12" max="12" width="13.26953125" style="94" customWidth="1"/>
    <col min="13" max="13" width="1.7265625" style="94" customWidth="1"/>
    <col min="14" max="14" width="19.81640625" style="70" customWidth="1"/>
    <col min="15" max="15" width="1.7265625" style="187" customWidth="1"/>
    <col min="16" max="16" width="15.453125" style="1" customWidth="1"/>
    <col min="17" max="17" width="1.7265625" style="1" customWidth="1"/>
    <col min="18" max="18" width="15.453125" style="1" customWidth="1"/>
    <col min="19" max="19" width="1.7265625" style="1" customWidth="1"/>
    <col min="20" max="20" width="15.453125" style="1" customWidth="1"/>
    <col min="21" max="21" width="1.7265625" style="1" customWidth="1"/>
    <col min="22" max="22" width="15.453125" style="1" customWidth="1"/>
    <col min="23" max="23" width="1.7265625" style="1" customWidth="1"/>
    <col min="24" max="24" width="15.453125" style="1" customWidth="1"/>
    <col min="25" max="25" width="1.7265625" style="1" customWidth="1"/>
    <col min="26" max="26" width="15.453125" style="1" customWidth="1"/>
    <col min="27" max="27" width="1.7265625" style="1" customWidth="1"/>
    <col min="28" max="28" width="15.453125" style="1" customWidth="1"/>
    <col min="29" max="29" width="1.7265625" style="1" customWidth="1"/>
    <col min="30" max="30" width="15.453125" style="1" customWidth="1"/>
    <col min="31" max="31" width="1.7265625" style="1" customWidth="1"/>
    <col min="32" max="32" width="15.453125" style="1" customWidth="1"/>
    <col min="33" max="33" width="1.7265625" style="1" customWidth="1"/>
    <col min="34" max="34" width="15.453125" style="1" customWidth="1"/>
    <col min="35" max="35" width="1.7265625" style="1" customWidth="1"/>
    <col min="36" max="36" width="15.453125" style="1" hidden="1" customWidth="1"/>
    <col min="37" max="37" width="9" style="1" customWidth="1"/>
    <col min="38" max="38" width="9.1796875" style="1" hidden="1" customWidth="1"/>
    <col min="39" max="39" width="9.1796875" style="97"/>
    <col min="40" max="40" width="9.1796875" style="1"/>
    <col min="41" max="41" width="12" style="73" bestFit="1" customWidth="1"/>
    <col min="42" max="43" width="9.1796875" style="73"/>
    <col min="44" max="44" width="11" style="73" customWidth="1"/>
    <col min="45" max="45" width="1.7265625" style="73" customWidth="1"/>
    <col min="46" max="46" width="11" style="73" customWidth="1"/>
    <col min="47" max="47" width="1.7265625" style="73" customWidth="1"/>
    <col min="48" max="48" width="11" style="73" customWidth="1"/>
    <col min="49" max="49" width="1.7265625" style="73" customWidth="1"/>
    <col min="50" max="50" width="11" style="73" customWidth="1"/>
    <col min="51" max="51" width="1.7265625" style="73" customWidth="1"/>
    <col min="52" max="52" width="11" style="73" customWidth="1"/>
    <col min="53" max="53" width="1.7265625" style="73" customWidth="1"/>
    <col min="54" max="54" width="11" style="73" customWidth="1"/>
    <col min="55" max="55" width="1.7265625" style="73" customWidth="1"/>
    <col min="56" max="56" width="11" style="73" customWidth="1"/>
    <col min="57" max="57" width="1.7265625" style="73" customWidth="1"/>
    <col min="58" max="58" width="11" style="73" customWidth="1"/>
    <col min="59" max="59" width="1.7265625" style="73" customWidth="1"/>
    <col min="60" max="60" width="11" style="73" customWidth="1"/>
    <col min="61" max="61" width="1.7265625" style="73" customWidth="1"/>
    <col min="62" max="62" width="11" style="73" customWidth="1"/>
    <col min="63" max="63" width="1.7265625" style="73" customWidth="1"/>
    <col min="64" max="64" width="12.81640625" style="73" customWidth="1"/>
    <col min="65" max="65" width="9.1796875" style="73"/>
    <col min="66" max="16384" width="9.1796875" style="1"/>
  </cols>
  <sheetData>
    <row r="5" spans="2:65" ht="15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</row>
    <row r="6" spans="2:65" ht="15" customHeight="1" x14ac:dyDescent="0.25">
      <c r="B6" s="264" t="s">
        <v>412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N6" s="24"/>
      <c r="AO6" s="94"/>
      <c r="AP6" s="94"/>
      <c r="AQ6" s="94"/>
      <c r="AR6" s="94"/>
    </row>
    <row r="7" spans="2:65" ht="15" customHeight="1" x14ac:dyDescent="0.25">
      <c r="B7" s="263" t="s">
        <v>453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N7" s="24"/>
      <c r="AO7" s="94"/>
      <c r="AP7" s="94"/>
      <c r="AQ7" s="94"/>
      <c r="AR7" s="94"/>
    </row>
    <row r="9" spans="2:65" x14ac:dyDescent="0.25">
      <c r="P9" s="265" t="s">
        <v>63</v>
      </c>
      <c r="Q9" s="265"/>
      <c r="R9" s="265"/>
      <c r="S9" s="265"/>
      <c r="T9" s="265"/>
      <c r="U9" s="265"/>
      <c r="V9" s="265"/>
      <c r="X9" s="265" t="s">
        <v>64</v>
      </c>
      <c r="Y9" s="265"/>
      <c r="Z9" s="265"/>
      <c r="AA9" s="265"/>
      <c r="AB9" s="265"/>
      <c r="AC9" s="265"/>
      <c r="AD9" s="265"/>
      <c r="AE9" s="265"/>
      <c r="AF9" s="265"/>
      <c r="AG9" s="25"/>
      <c r="AH9" s="25"/>
    </row>
    <row r="10" spans="2:65" ht="14.5" x14ac:dyDescent="0.35">
      <c r="H10" s="91" t="s">
        <v>11</v>
      </c>
      <c r="J10" s="91" t="s">
        <v>153</v>
      </c>
      <c r="L10" s="91" t="s">
        <v>160</v>
      </c>
      <c r="N10" s="70" t="s">
        <v>10</v>
      </c>
      <c r="P10" s="52"/>
      <c r="R10" s="52"/>
      <c r="T10" s="52"/>
      <c r="V10" s="52" t="s">
        <v>137</v>
      </c>
      <c r="W10" s="25"/>
      <c r="X10" s="54"/>
      <c r="Y10" s="54"/>
      <c r="Z10" s="54"/>
      <c r="AA10" s="54"/>
      <c r="AB10" s="54"/>
      <c r="AC10" s="54"/>
      <c r="AD10" s="54"/>
      <c r="AE10" s="54"/>
      <c r="AF10" s="56" t="s">
        <v>68</v>
      </c>
      <c r="AG10" s="54"/>
      <c r="AH10" s="56"/>
      <c r="AI10" s="55"/>
      <c r="AK10" s="24"/>
    </row>
    <row r="11" spans="2:65" x14ac:dyDescent="0.25">
      <c r="B11" s="163" t="s">
        <v>2</v>
      </c>
      <c r="F11" s="91" t="s">
        <v>3</v>
      </c>
      <c r="H11" s="91" t="s">
        <v>153</v>
      </c>
      <c r="J11" s="91" t="s">
        <v>154</v>
      </c>
      <c r="L11" s="91" t="s">
        <v>161</v>
      </c>
      <c r="N11" s="70" t="s">
        <v>164</v>
      </c>
      <c r="P11" s="20" t="s">
        <v>364</v>
      </c>
      <c r="Q11" s="20"/>
      <c r="R11" s="49" t="s">
        <v>364</v>
      </c>
      <c r="S11" s="3"/>
      <c r="T11" s="2" t="s">
        <v>365</v>
      </c>
      <c r="U11" s="3"/>
      <c r="V11" s="2" t="s">
        <v>151</v>
      </c>
      <c r="W11" s="3"/>
      <c r="X11" s="2" t="s">
        <v>10</v>
      </c>
      <c r="Y11" s="2"/>
      <c r="Z11" s="2" t="s">
        <v>10</v>
      </c>
      <c r="AA11" s="2"/>
      <c r="AB11" s="2" t="s">
        <v>10</v>
      </c>
      <c r="AC11" s="2"/>
      <c r="AD11" s="2" t="s">
        <v>10</v>
      </c>
      <c r="AE11" s="2"/>
      <c r="AF11" s="2" t="s">
        <v>151</v>
      </c>
      <c r="AG11" s="2"/>
      <c r="AH11" s="2" t="s">
        <v>10</v>
      </c>
      <c r="AI11" s="3"/>
      <c r="AK11" s="24"/>
    </row>
    <row r="12" spans="2:65" ht="13" x14ac:dyDescent="0.3">
      <c r="B12" s="164" t="s">
        <v>4</v>
      </c>
      <c r="D12" s="5" t="s">
        <v>449</v>
      </c>
      <c r="F12" s="202" t="s">
        <v>5</v>
      </c>
      <c r="H12" s="202" t="s">
        <v>154</v>
      </c>
      <c r="J12" s="202" t="s">
        <v>6</v>
      </c>
      <c r="K12" s="42" t="s">
        <v>286</v>
      </c>
      <c r="L12" s="202" t="s">
        <v>366</v>
      </c>
      <c r="N12" s="71" t="s">
        <v>6</v>
      </c>
      <c r="O12" s="189" t="s">
        <v>286</v>
      </c>
      <c r="P12" s="4" t="s">
        <v>372</v>
      </c>
      <c r="Q12" s="20"/>
      <c r="R12" s="4" t="s">
        <v>373</v>
      </c>
      <c r="S12" s="20"/>
      <c r="T12" s="4" t="s">
        <v>152</v>
      </c>
      <c r="U12" s="20"/>
      <c r="V12" s="4" t="s">
        <v>127</v>
      </c>
      <c r="W12" s="20"/>
      <c r="X12" s="57" t="s">
        <v>23</v>
      </c>
      <c r="Y12" s="2"/>
      <c r="Z12" s="57" t="s">
        <v>31</v>
      </c>
      <c r="AA12" s="2"/>
      <c r="AB12" s="57" t="s">
        <v>33</v>
      </c>
      <c r="AC12" s="2"/>
      <c r="AD12" s="57" t="s">
        <v>208</v>
      </c>
      <c r="AE12" s="2"/>
      <c r="AF12" s="57" t="s">
        <v>127</v>
      </c>
      <c r="AG12" s="2"/>
      <c r="AH12" s="57" t="s">
        <v>49</v>
      </c>
      <c r="AI12" s="3"/>
      <c r="AJ12" s="4" t="s">
        <v>11</v>
      </c>
      <c r="AK12" s="24"/>
      <c r="AL12" s="36" t="s">
        <v>107</v>
      </c>
      <c r="AM12" s="252"/>
    </row>
    <row r="13" spans="2:65" x14ac:dyDescent="0.25">
      <c r="F13" s="91" t="s">
        <v>12</v>
      </c>
      <c r="H13" s="91" t="s">
        <v>13</v>
      </c>
      <c r="J13" s="91" t="s">
        <v>14</v>
      </c>
      <c r="K13" s="91"/>
      <c r="L13" s="91" t="s">
        <v>170</v>
      </c>
      <c r="N13" s="70" t="s">
        <v>15</v>
      </c>
      <c r="O13" s="186"/>
      <c r="P13" s="20" t="s">
        <v>16</v>
      </c>
      <c r="Q13" s="20"/>
      <c r="R13" s="20" t="s">
        <v>59</v>
      </c>
      <c r="S13" s="20"/>
      <c r="T13" s="20" t="s">
        <v>61</v>
      </c>
      <c r="U13" s="20"/>
      <c r="V13" s="20" t="s">
        <v>62</v>
      </c>
      <c r="W13" s="20"/>
      <c r="X13" s="50" t="s">
        <v>105</v>
      </c>
      <c r="Y13" s="50"/>
      <c r="Z13" s="50" t="s">
        <v>166</v>
      </c>
      <c r="AA13" s="50"/>
      <c r="AB13" s="50" t="s">
        <v>167</v>
      </c>
      <c r="AC13" s="50"/>
      <c r="AD13" s="64" t="s">
        <v>168</v>
      </c>
      <c r="AE13" s="64"/>
      <c r="AF13" s="68" t="s">
        <v>209</v>
      </c>
      <c r="AG13" s="68"/>
      <c r="AH13" s="68" t="s">
        <v>218</v>
      </c>
      <c r="AI13" s="50"/>
      <c r="AJ13" s="20" t="s">
        <v>219</v>
      </c>
      <c r="AK13" s="24"/>
      <c r="AL13" s="37"/>
    </row>
    <row r="14" spans="2:65" s="187" customFormat="1" x14ac:dyDescent="0.25">
      <c r="B14" s="186"/>
      <c r="F14" s="94"/>
      <c r="G14" s="94"/>
      <c r="H14" s="94"/>
      <c r="I14" s="94"/>
      <c r="J14" s="94"/>
      <c r="K14" s="94"/>
      <c r="L14" s="94"/>
      <c r="M14" s="94"/>
      <c r="N14" s="186"/>
      <c r="P14" s="187">
        <v>4</v>
      </c>
      <c r="R14" s="187">
        <v>6</v>
      </c>
      <c r="T14" s="187">
        <v>8</v>
      </c>
      <c r="V14" s="187">
        <v>10</v>
      </c>
      <c r="X14" s="187">
        <v>12</v>
      </c>
      <c r="Z14" s="187">
        <v>14</v>
      </c>
      <c r="AB14" s="187">
        <v>16</v>
      </c>
      <c r="AD14" s="187">
        <v>18</v>
      </c>
      <c r="AF14" s="187">
        <v>20</v>
      </c>
      <c r="AH14" s="187">
        <v>22</v>
      </c>
      <c r="AK14" s="188"/>
      <c r="AL14" s="193"/>
      <c r="AM14" s="188"/>
      <c r="AO14" s="73"/>
      <c r="AP14" s="73"/>
      <c r="AQ14" s="73"/>
      <c r="AR14" s="2" t="s">
        <v>364</v>
      </c>
      <c r="AS14" s="73"/>
      <c r="AT14" s="2" t="s">
        <v>364</v>
      </c>
      <c r="AU14" s="73"/>
      <c r="AV14" s="2" t="s">
        <v>365</v>
      </c>
      <c r="AW14" s="73"/>
      <c r="AX14" s="2" t="s">
        <v>137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6" t="s">
        <v>68</v>
      </c>
      <c r="BI14" s="54"/>
      <c r="BJ14" s="73"/>
      <c r="BK14" s="73"/>
      <c r="BL14" s="73"/>
      <c r="BM14" s="73"/>
    </row>
    <row r="15" spans="2:65" ht="13" x14ac:dyDescent="0.3">
      <c r="D15" s="6"/>
      <c r="E15" s="6"/>
      <c r="F15" s="219"/>
      <c r="AK15" s="24"/>
      <c r="AL15" s="35"/>
      <c r="AM15" s="107"/>
      <c r="AO15" s="2" t="s">
        <v>362</v>
      </c>
      <c r="AR15" s="2" t="s">
        <v>152</v>
      </c>
      <c r="AS15" s="2"/>
      <c r="AT15" s="2" t="s">
        <v>152</v>
      </c>
      <c r="AU15" s="2"/>
      <c r="AV15" s="2" t="s">
        <v>152</v>
      </c>
      <c r="AW15" s="2"/>
      <c r="AX15" s="2" t="s">
        <v>151</v>
      </c>
      <c r="AY15" s="2"/>
      <c r="AZ15" s="2" t="s">
        <v>10</v>
      </c>
      <c r="BA15" s="2"/>
      <c r="BB15" s="2" t="s">
        <v>10</v>
      </c>
      <c r="BC15" s="2"/>
      <c r="BD15" s="2" t="s">
        <v>10</v>
      </c>
      <c r="BE15" s="2"/>
      <c r="BF15" s="2" t="s">
        <v>10</v>
      </c>
      <c r="BG15" s="2"/>
      <c r="BH15" s="2" t="s">
        <v>151</v>
      </c>
      <c r="BI15" s="2"/>
      <c r="BJ15" s="2" t="s">
        <v>10</v>
      </c>
    </row>
    <row r="16" spans="2:65" s="99" customFormat="1" ht="13" x14ac:dyDescent="0.3">
      <c r="B16" s="163"/>
      <c r="D16" s="6" t="s">
        <v>329</v>
      </c>
      <c r="E16" s="7"/>
      <c r="F16" s="220"/>
      <c r="G16" s="94"/>
      <c r="H16" s="94"/>
      <c r="I16" s="94"/>
      <c r="J16" s="94"/>
      <c r="K16" s="94"/>
      <c r="L16" s="94"/>
      <c r="M16" s="94"/>
      <c r="N16" s="106"/>
      <c r="O16" s="187"/>
      <c r="AK16" s="97"/>
      <c r="AL16" s="37"/>
      <c r="AM16" s="97"/>
      <c r="AO16" s="57" t="s">
        <v>363</v>
      </c>
      <c r="AP16" s="73"/>
      <c r="AQ16" s="73"/>
      <c r="AR16" s="57" t="s">
        <v>66</v>
      </c>
      <c r="AS16" s="2"/>
      <c r="AT16" s="57" t="s">
        <v>65</v>
      </c>
      <c r="AU16" s="2"/>
      <c r="AV16" s="57" t="s">
        <v>67</v>
      </c>
      <c r="AW16" s="2"/>
      <c r="AX16" s="57" t="s">
        <v>127</v>
      </c>
      <c r="AY16" s="2"/>
      <c r="AZ16" s="57" t="s">
        <v>23</v>
      </c>
      <c r="BA16" s="2"/>
      <c r="BB16" s="57" t="s">
        <v>31</v>
      </c>
      <c r="BC16" s="2"/>
      <c r="BD16" s="57" t="s">
        <v>33</v>
      </c>
      <c r="BE16" s="2"/>
      <c r="BF16" s="57" t="s">
        <v>208</v>
      </c>
      <c r="BG16" s="2"/>
      <c r="BH16" s="57" t="s">
        <v>127</v>
      </c>
      <c r="BI16" s="2"/>
      <c r="BJ16" s="57" t="s">
        <v>49</v>
      </c>
      <c r="BK16" s="73"/>
      <c r="BL16" s="57" t="s">
        <v>11</v>
      </c>
      <c r="BM16" s="73"/>
    </row>
    <row r="17" spans="2:65" s="99" customFormat="1" ht="13" x14ac:dyDescent="0.3">
      <c r="B17" s="163"/>
      <c r="F17" s="94"/>
      <c r="G17" s="94"/>
      <c r="H17" s="94"/>
      <c r="I17" s="94"/>
      <c r="J17" s="94"/>
      <c r="K17" s="94"/>
      <c r="L17" s="94"/>
      <c r="M17" s="94"/>
      <c r="N17" s="106"/>
      <c r="O17" s="187"/>
      <c r="AK17" s="97"/>
      <c r="AL17" s="35" t="str">
        <f t="shared" ref="AL17" si="0">IF(ROUND(L17,4)=ROUND(AJ17,4), "", "check")</f>
        <v/>
      </c>
      <c r="AM17" s="107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</row>
    <row r="18" spans="2:65" s="99" customFormat="1" ht="13" x14ac:dyDescent="0.3">
      <c r="B18" s="163">
        <v>1</v>
      </c>
      <c r="D18" s="99" t="s">
        <v>77</v>
      </c>
      <c r="F18" s="113">
        <f ca="1">Function!V18</f>
        <v>128207.8986233436</v>
      </c>
      <c r="G18" s="94"/>
      <c r="H18" s="113"/>
      <c r="I18" s="94"/>
      <c r="J18" s="91"/>
      <c r="K18" s="91">
        <f>_xlfn.IFNA(MATCH(J18,'Dist Factors'!$B$15:$B$431,0),0)</f>
        <v>0</v>
      </c>
      <c r="L18" s="113">
        <f ca="1">F18-H18</f>
        <v>128207.8986233436</v>
      </c>
      <c r="M18" s="94"/>
      <c r="N18" s="106" t="s">
        <v>81</v>
      </c>
      <c r="O18" s="186">
        <f>_xlfn.IFNA(MATCH(N18,'Dist Factors'!$B$15:$B$431,0),0)</f>
        <v>35</v>
      </c>
      <c r="P18" s="22">
        <f ca="1">OFFSET('Dist Factors'!$B$15,$O18-1,P$14)*$L18+OFFSET('Dist Factors'!$B$15,$K18-1,P$14)*$H18</f>
        <v>28358.643628527687</v>
      </c>
      <c r="Q18" s="97"/>
      <c r="R18" s="22">
        <f ca="1">OFFSET('Dist Factors'!$B$15,$O18-1,R$14)*$L18+OFFSET('Dist Factors'!$B$15,$K18-1,R$14)*$H18</f>
        <v>5424.0035066904065</v>
      </c>
      <c r="S18" s="22"/>
      <c r="T18" s="22">
        <f ca="1">OFFSET('Dist Factors'!$B$15,$O18-1,T$14)*$L18+OFFSET('Dist Factors'!$B$15,$K18-1,T$14)*$H18</f>
        <v>55276.763843634959</v>
      </c>
      <c r="U18" s="22"/>
      <c r="V18" s="22">
        <f ca="1">OFFSET('Dist Factors'!$B$15,$O18-1,V$14)*$L18+OFFSET('Dist Factors'!$B$15,$K18-1,V$14)*$H18</f>
        <v>0</v>
      </c>
      <c r="X18" s="22">
        <f ca="1">OFFSET('Dist Factors'!$B$15,$O18-1,X$14)*$L18+OFFSET('Dist Factors'!$B$15,$K18-1,X$14)*$H18</f>
        <v>39148.487644490539</v>
      </c>
      <c r="Y18" s="100"/>
      <c r="Z18" s="22">
        <f ca="1">OFFSET('Dist Factors'!$B$15,$O18-1,Z$14)*$L18+OFFSET('Dist Factors'!$B$15,$K18-1,Z$14)*$H18</f>
        <v>0</v>
      </c>
      <c r="AA18" s="22"/>
      <c r="AB18" s="22">
        <f ca="1">OFFSET('Dist Factors'!$B$15,$O18-1,AB$14)*$L18+OFFSET('Dist Factors'!$B$15,$K18-1,AB$14)*$H18</f>
        <v>0</v>
      </c>
      <c r="AC18" s="100"/>
      <c r="AD18" s="22">
        <f ca="1">OFFSET('Dist Factors'!$B$15,$O18-1,AD$14)*$L18+OFFSET('Dist Factors'!$B$15,$K18-1,AD$14)*$H18</f>
        <v>0</v>
      </c>
      <c r="AE18" s="100"/>
      <c r="AF18" s="22">
        <f ca="1">OFFSET('Dist Factors'!$B$15,$O18-1,AF$14)*$L18+OFFSET('Dist Factors'!$B$15,$K18-1,AF$14)*$H18</f>
        <v>0</v>
      </c>
      <c r="AG18" s="100"/>
      <c r="AH18" s="22">
        <f ca="1">OFFSET('Dist Factors'!$B$15,$O18-1,AH$14)*$L18+OFFSET('Dist Factors'!$B$15,$K18-1,AH$14)*$H18</f>
        <v>0</v>
      </c>
      <c r="AI18" s="100"/>
      <c r="AJ18" s="100">
        <f t="shared" ref="AJ18:AJ31" ca="1" si="1">SUM(P18:AI18)</f>
        <v>128207.8986233436</v>
      </c>
      <c r="AK18" s="97"/>
      <c r="AL18" s="35" t="str">
        <f ca="1">IF(ROUND(F18,4)=ROUND(AJ18,4), "", "check")</f>
        <v/>
      </c>
      <c r="AM18" s="107"/>
      <c r="AO18" s="235">
        <v>0</v>
      </c>
      <c r="AP18" s="73"/>
      <c r="AQ18" s="73"/>
      <c r="AR18" s="199">
        <f t="shared" ref="AR18:AR30" ca="1" si="2">IFERROR($AO18*(P18/$AJ18),"")</f>
        <v>0</v>
      </c>
      <c r="AS18" s="73"/>
      <c r="AT18" s="199">
        <f t="shared" ref="AT18:AT30" ca="1" si="3">IFERROR($AO18*(R18/$AJ18),"")</f>
        <v>0</v>
      </c>
      <c r="AU18" s="73"/>
      <c r="AV18" s="199">
        <f t="shared" ref="AV18:AV30" ca="1" si="4">IFERROR($AO18*(T18/$AJ18),"")</f>
        <v>0</v>
      </c>
      <c r="AW18" s="73"/>
      <c r="AX18" s="199">
        <f t="shared" ref="AX18:AX30" ca="1" si="5">IFERROR($AO18*(V18/$AJ18),"")</f>
        <v>0</v>
      </c>
      <c r="AY18" s="73"/>
      <c r="AZ18" s="199">
        <f t="shared" ref="AZ18:AZ30" ca="1" si="6">IFERROR($AO18*(X18/$AJ18),"")</f>
        <v>0</v>
      </c>
      <c r="BA18" s="73"/>
      <c r="BB18" s="199">
        <f t="shared" ref="BB18:BB30" ca="1" si="7">IFERROR($AO18*(Z18/$AJ18),"")</f>
        <v>0</v>
      </c>
      <c r="BC18" s="73"/>
      <c r="BD18" s="199">
        <f t="shared" ref="BD18:BD30" ca="1" si="8">IFERROR($AO18*(AB18/$AJ18),"")</f>
        <v>0</v>
      </c>
      <c r="BE18" s="73"/>
      <c r="BF18" s="199">
        <f t="shared" ref="BF18:BF30" ca="1" si="9">IFERROR($AO18*(AD18/$AJ18),"")</f>
        <v>0</v>
      </c>
      <c r="BG18" s="73"/>
      <c r="BH18" s="199">
        <f t="shared" ref="BH18:BH30" ca="1" si="10">IFERROR($AO18*(AF18/$AJ18),"")</f>
        <v>0</v>
      </c>
      <c r="BI18" s="73"/>
      <c r="BJ18" s="199">
        <f t="shared" ref="BJ18:BJ30" ca="1" si="11">IFERROR($AO18*(AH18/$AJ18),"")</f>
        <v>0</v>
      </c>
      <c r="BK18" s="73"/>
      <c r="BL18" s="199">
        <f ca="1">SUM(AR18:BJ18)</f>
        <v>0</v>
      </c>
      <c r="BM18" s="73"/>
    </row>
    <row r="19" spans="2:65" s="99" customFormat="1" ht="13" x14ac:dyDescent="0.3">
      <c r="B19" s="163">
        <f>B18+1</f>
        <v>2</v>
      </c>
      <c r="D19" s="99" t="s">
        <v>76</v>
      </c>
      <c r="F19" s="113">
        <f ca="1">Function!V19</f>
        <v>122479.51217293895</v>
      </c>
      <c r="G19" s="94"/>
      <c r="H19" s="113"/>
      <c r="I19" s="94"/>
      <c r="J19" s="91"/>
      <c r="K19" s="91">
        <f>_xlfn.IFNA(MATCH(J19,'Dist Factors'!$B$15:$B$431,0),0)</f>
        <v>0</v>
      </c>
      <c r="L19" s="113">
        <f ca="1">F19-H19</f>
        <v>122479.51217293895</v>
      </c>
      <c r="M19" s="94"/>
      <c r="N19" s="106" t="s">
        <v>81</v>
      </c>
      <c r="O19" s="186">
        <f>_xlfn.IFNA(MATCH(N19,'Dist Factors'!$B$15:$B$431,0),0)</f>
        <v>35</v>
      </c>
      <c r="P19" s="22">
        <f ca="1">OFFSET('Dist Factors'!$B$15,$O19-1,P$14)*$L19+OFFSET('Dist Factors'!$B$15,$K19-1,P$14)*$H19</f>
        <v>27091.566703799635</v>
      </c>
      <c r="Q19" s="97"/>
      <c r="R19" s="22">
        <f ca="1">OFFSET('Dist Factors'!$B$15,$O19-1,R$14)*$L19+OFFSET('Dist Factors'!$B$15,$K19-1,R$14)*$H19</f>
        <v>5181.6565957098737</v>
      </c>
      <c r="S19" s="22"/>
      <c r="T19" s="22">
        <f ca="1">OFFSET('Dist Factors'!$B$15,$O19-1,T$14)*$L19+OFFSET('Dist Factors'!$B$15,$K19-1,T$14)*$H19</f>
        <v>52806.973226799731</v>
      </c>
      <c r="U19" s="22"/>
      <c r="V19" s="22">
        <f ca="1">OFFSET('Dist Factors'!$B$15,$O19-1,V$14)*$L19+OFFSET('Dist Factors'!$B$15,$K19-1,V$14)*$H19</f>
        <v>0</v>
      </c>
      <c r="X19" s="22">
        <f ca="1">OFFSET('Dist Factors'!$B$15,$O19-1,X$14)*$L19+OFFSET('Dist Factors'!$B$15,$K19-1,X$14)*$H19</f>
        <v>37399.3156466297</v>
      </c>
      <c r="Y19" s="100"/>
      <c r="Z19" s="22">
        <f ca="1">OFFSET('Dist Factors'!$B$15,$O19-1,Z$14)*$L19+OFFSET('Dist Factors'!$B$15,$K19-1,Z$14)*$H19</f>
        <v>0</v>
      </c>
      <c r="AA19" s="22"/>
      <c r="AB19" s="22">
        <f ca="1">OFFSET('Dist Factors'!$B$15,$O19-1,AB$14)*$L19+OFFSET('Dist Factors'!$B$15,$K19-1,AB$14)*$H19</f>
        <v>0</v>
      </c>
      <c r="AC19" s="100"/>
      <c r="AD19" s="22">
        <f ca="1">OFFSET('Dist Factors'!$B$15,$O19-1,AD$14)*$L19+OFFSET('Dist Factors'!$B$15,$K19-1,AD$14)*$H19</f>
        <v>0</v>
      </c>
      <c r="AE19" s="100"/>
      <c r="AF19" s="22">
        <f ca="1">OFFSET('Dist Factors'!$B$15,$O19-1,AF$14)*$L19+OFFSET('Dist Factors'!$B$15,$K19-1,AF$14)*$H19</f>
        <v>0</v>
      </c>
      <c r="AG19" s="100"/>
      <c r="AH19" s="22">
        <f ca="1">OFFSET('Dist Factors'!$B$15,$O19-1,AH$14)*$L19+OFFSET('Dist Factors'!$B$15,$K19-1,AH$14)*$H19</f>
        <v>0</v>
      </c>
      <c r="AI19" s="100"/>
      <c r="AJ19" s="100">
        <f t="shared" ca="1" si="1"/>
        <v>122479.51217293894</v>
      </c>
      <c r="AK19" s="97"/>
      <c r="AL19" s="35" t="str">
        <f t="shared" ref="AL19:AL37" ca="1" si="12">IF(ROUND(F19,4)=ROUND(AJ19,4), "", "check")</f>
        <v/>
      </c>
      <c r="AM19" s="107"/>
      <c r="AO19" s="235">
        <v>3685.0358295347742</v>
      </c>
      <c r="AP19" s="73"/>
      <c r="AQ19" s="73"/>
      <c r="AR19" s="199">
        <f t="shared" ca="1" si="2"/>
        <v>815.10280544528905</v>
      </c>
      <c r="AS19" s="73"/>
      <c r="AT19" s="199">
        <f t="shared" ca="1" si="3"/>
        <v>155.9002797510725</v>
      </c>
      <c r="AU19" s="73"/>
      <c r="AV19" s="199">
        <f t="shared" ca="1" si="4"/>
        <v>1588.8011385551158</v>
      </c>
      <c r="AW19" s="73"/>
      <c r="AX19" s="199">
        <f t="shared" ca="1" si="5"/>
        <v>0</v>
      </c>
      <c r="AY19" s="73"/>
      <c r="AZ19" s="199">
        <f t="shared" ca="1" si="6"/>
        <v>1125.2316057832968</v>
      </c>
      <c r="BA19" s="73"/>
      <c r="BB19" s="199">
        <f t="shared" ca="1" si="7"/>
        <v>0</v>
      </c>
      <c r="BC19" s="73"/>
      <c r="BD19" s="199">
        <f t="shared" ca="1" si="8"/>
        <v>0</v>
      </c>
      <c r="BE19" s="73"/>
      <c r="BF19" s="199">
        <f t="shared" ca="1" si="9"/>
        <v>0</v>
      </c>
      <c r="BG19" s="73"/>
      <c r="BH19" s="199">
        <f t="shared" ca="1" si="10"/>
        <v>0</v>
      </c>
      <c r="BI19" s="73"/>
      <c r="BJ19" s="199">
        <f t="shared" ca="1" si="11"/>
        <v>0</v>
      </c>
      <c r="BK19" s="73"/>
      <c r="BL19" s="199">
        <f t="shared" ref="BL19:BL30" ca="1" si="13">SUM(AR19:BJ19)</f>
        <v>3685.0358295347742</v>
      </c>
      <c r="BM19" s="73"/>
    </row>
    <row r="20" spans="2:65" s="99" customFormat="1" ht="13" x14ac:dyDescent="0.3">
      <c r="B20" s="163">
        <f t="shared" ref="B20:B31" si="14">B19+1</f>
        <v>3</v>
      </c>
      <c r="D20" s="99" t="s">
        <v>19</v>
      </c>
      <c r="F20" s="113">
        <f ca="1">Function!V20</f>
        <v>372233.20396865549</v>
      </c>
      <c r="G20" s="94"/>
      <c r="H20" s="113"/>
      <c r="I20" s="94"/>
      <c r="J20" s="91"/>
      <c r="K20" s="91">
        <f>_xlfn.IFNA(MATCH(J20,'Dist Factors'!$B$15:$B$431,0),0)</f>
        <v>0</v>
      </c>
      <c r="L20" s="113">
        <f t="shared" ref="L20:L30" ca="1" si="15">F20-H20</f>
        <v>372233.20396865549</v>
      </c>
      <c r="M20" s="94"/>
      <c r="N20" s="28" t="s">
        <v>81</v>
      </c>
      <c r="O20" s="186">
        <f>_xlfn.IFNA(MATCH(N20,'Dist Factors'!$B$15:$B$431,0),0)</f>
        <v>35</v>
      </c>
      <c r="P20" s="22">
        <f ca="1">OFFSET('Dist Factors'!$B$15,$O20-1,P$14)*$L20+OFFSET('Dist Factors'!$B$15,$K20-1,P$14)*$H20</f>
        <v>82335.245264913479</v>
      </c>
      <c r="Q20" s="97"/>
      <c r="R20" s="22">
        <f ca="1">OFFSET('Dist Factors'!$B$15,$O20-1,R$14)*$L20+OFFSET('Dist Factors'!$B$15,$K20-1,R$14)*$H20</f>
        <v>15747.814489683728</v>
      </c>
      <c r="S20" s="22"/>
      <c r="T20" s="22">
        <f ca="1">OFFSET('Dist Factors'!$B$15,$O20-1,T$14)*$L20+OFFSET('Dist Factors'!$B$15,$K20-1,T$14)*$H20</f>
        <v>160488.13787194077</v>
      </c>
      <c r="U20" s="22"/>
      <c r="V20" s="22">
        <f ca="1">OFFSET('Dist Factors'!$B$15,$O20-1,V$14)*$L20+OFFSET('Dist Factors'!$B$15,$K20-1,V$14)*$H20</f>
        <v>0</v>
      </c>
      <c r="W20" s="100"/>
      <c r="X20" s="22">
        <f ca="1">OFFSET('Dist Factors'!$B$15,$O20-1,X$14)*$L20+OFFSET('Dist Factors'!$B$15,$K20-1,X$14)*$H20</f>
        <v>113662.00634211749</v>
      </c>
      <c r="Y20" s="100"/>
      <c r="Z20" s="22">
        <f ca="1">OFFSET('Dist Factors'!$B$15,$O20-1,Z$14)*$L20+OFFSET('Dist Factors'!$B$15,$K20-1,Z$14)*$H20</f>
        <v>0</v>
      </c>
      <c r="AA20" s="22"/>
      <c r="AB20" s="22">
        <f ca="1">OFFSET('Dist Factors'!$B$15,$O20-1,AB$14)*$L20+OFFSET('Dist Factors'!$B$15,$K20-1,AB$14)*$H20</f>
        <v>0</v>
      </c>
      <c r="AC20" s="100"/>
      <c r="AD20" s="22">
        <f ca="1">OFFSET('Dist Factors'!$B$15,$O20-1,AD$14)*$L20+OFFSET('Dist Factors'!$B$15,$K20-1,AD$14)*$H20</f>
        <v>0</v>
      </c>
      <c r="AE20" s="100"/>
      <c r="AF20" s="22">
        <f ca="1">OFFSET('Dist Factors'!$B$15,$O20-1,AF$14)*$L20+OFFSET('Dist Factors'!$B$15,$K20-1,AF$14)*$H20</f>
        <v>0</v>
      </c>
      <c r="AG20" s="100"/>
      <c r="AH20" s="22">
        <f ca="1">OFFSET('Dist Factors'!$B$15,$O20-1,AH$14)*$L20+OFFSET('Dist Factors'!$B$15,$K20-1,AH$14)*$H20</f>
        <v>0</v>
      </c>
      <c r="AI20" s="100"/>
      <c r="AJ20" s="100">
        <f t="shared" ca="1" si="1"/>
        <v>372233.20396865549</v>
      </c>
      <c r="AK20" s="97"/>
      <c r="AL20" s="35" t="str">
        <f t="shared" ca="1" si="12"/>
        <v/>
      </c>
      <c r="AM20" s="107"/>
      <c r="AO20" s="235">
        <v>22370.60514976125</v>
      </c>
      <c r="AP20" s="73"/>
      <c r="AQ20" s="73"/>
      <c r="AR20" s="199">
        <f t="shared" ca="1" si="2"/>
        <v>4948.2132224970137</v>
      </c>
      <c r="AS20" s="73"/>
      <c r="AT20" s="199">
        <f t="shared" ca="1" si="3"/>
        <v>946.41782668605947</v>
      </c>
      <c r="AU20" s="73"/>
      <c r="AV20" s="199">
        <f t="shared" ca="1" si="4"/>
        <v>9645.0739087100665</v>
      </c>
      <c r="AW20" s="73"/>
      <c r="AX20" s="199">
        <f t="shared" ca="1" si="5"/>
        <v>0</v>
      </c>
      <c r="AY20" s="73"/>
      <c r="AZ20" s="199">
        <f t="shared" ca="1" si="6"/>
        <v>6830.9001918681079</v>
      </c>
      <c r="BA20" s="73"/>
      <c r="BB20" s="199">
        <f t="shared" ca="1" si="7"/>
        <v>0</v>
      </c>
      <c r="BC20" s="73"/>
      <c r="BD20" s="199">
        <f t="shared" ca="1" si="8"/>
        <v>0</v>
      </c>
      <c r="BE20" s="73"/>
      <c r="BF20" s="199">
        <f t="shared" ca="1" si="9"/>
        <v>0</v>
      </c>
      <c r="BG20" s="73"/>
      <c r="BH20" s="199">
        <f t="shared" ca="1" si="10"/>
        <v>0</v>
      </c>
      <c r="BI20" s="73"/>
      <c r="BJ20" s="199">
        <f t="shared" ca="1" si="11"/>
        <v>0</v>
      </c>
      <c r="BK20" s="73"/>
      <c r="BL20" s="199">
        <f t="shared" ca="1" si="13"/>
        <v>22370.60514976125</v>
      </c>
      <c r="BM20" s="73"/>
    </row>
    <row r="21" spans="2:65" s="99" customFormat="1" ht="13" x14ac:dyDescent="0.3">
      <c r="B21" s="163">
        <f t="shared" si="14"/>
        <v>4</v>
      </c>
      <c r="D21" s="99" t="s">
        <v>21</v>
      </c>
      <c r="F21" s="113">
        <f ca="1">Function!V21</f>
        <v>1410211.1842333958</v>
      </c>
      <c r="G21" s="94"/>
      <c r="H21" s="113">
        <v>278052.6277805157</v>
      </c>
      <c r="I21" s="94"/>
      <c r="J21" s="91" t="s">
        <v>273</v>
      </c>
      <c r="K21" s="91">
        <f>_xlfn.IFNA(MATCH(J21,'Dist Factors'!$B$15:$B$431,0),0)</f>
        <v>14</v>
      </c>
      <c r="L21" s="113">
        <f t="shared" ca="1" si="15"/>
        <v>1132158.5564528801</v>
      </c>
      <c r="M21" s="94"/>
      <c r="N21" s="28" t="s">
        <v>80</v>
      </c>
      <c r="O21" s="186">
        <f>_xlfn.IFNA(MATCH(N21,'Dist Factors'!$B$15:$B$431,0),0)</f>
        <v>53</v>
      </c>
      <c r="P21" s="22">
        <f ca="1">OFFSET('Dist Factors'!$B$15,$O21-1,P$14)*$L21+OFFSET('Dist Factors'!$B$15,$K21-1,P$14)*$H21</f>
        <v>360506.32583971595</v>
      </c>
      <c r="Q21" s="97"/>
      <c r="R21" s="22">
        <f ca="1">OFFSET('Dist Factors'!$B$15,$O21-1,R$14)*$L21+OFFSET('Dist Factors'!$B$15,$K21-1,R$14)*$H21</f>
        <v>68952.083927302141</v>
      </c>
      <c r="S21" s="22"/>
      <c r="T21" s="22">
        <f ca="1">OFFSET('Dist Factors'!$B$15,$O21-1,T$14)*$L21+OFFSET('Dist Factors'!$B$15,$K21-1,T$14)*$H21</f>
        <v>702700.1466858621</v>
      </c>
      <c r="U21" s="22"/>
      <c r="V21" s="22">
        <f ca="1">OFFSET('Dist Factors'!$B$15,$O21-1,V$14)*$L21+OFFSET('Dist Factors'!$B$15,$K21-1,V$14)*$H21</f>
        <v>0</v>
      </c>
      <c r="W21" s="100"/>
      <c r="X21" s="22">
        <f ca="1">OFFSET('Dist Factors'!$B$15,$O21-1,X$14)*$L21+OFFSET('Dist Factors'!$B$15,$K21-1,X$14)*$H21</f>
        <v>0</v>
      </c>
      <c r="Y21" s="100"/>
      <c r="Z21" s="22">
        <f ca="1">OFFSET('Dist Factors'!$B$15,$O21-1,Z$14)*$L21+OFFSET('Dist Factors'!$B$15,$K21-1,Z$14)*$H21</f>
        <v>0</v>
      </c>
      <c r="AA21" s="22"/>
      <c r="AB21" s="22">
        <f ca="1">OFFSET('Dist Factors'!$B$15,$O21-1,AB$14)*$L21+OFFSET('Dist Factors'!$B$15,$K21-1,AB$14)*$H21</f>
        <v>0</v>
      </c>
      <c r="AC21" s="100"/>
      <c r="AD21" s="22">
        <f ca="1">OFFSET('Dist Factors'!$B$15,$O21-1,AD$14)*$L21+OFFSET('Dist Factors'!$B$15,$K21-1,AD$14)*$H21</f>
        <v>278052.6277805157</v>
      </c>
      <c r="AE21" s="100"/>
      <c r="AF21" s="22">
        <f ca="1">OFFSET('Dist Factors'!$B$15,$O21-1,AF$14)*$L21+OFFSET('Dist Factors'!$B$15,$K21-1,AF$14)*$H21</f>
        <v>0</v>
      </c>
      <c r="AG21" s="100"/>
      <c r="AH21" s="22">
        <f ca="1">OFFSET('Dist Factors'!$B$15,$O21-1,AH$14)*$L21+OFFSET('Dist Factors'!$B$15,$K21-1,AH$14)*$H21</f>
        <v>0</v>
      </c>
      <c r="AI21" s="100"/>
      <c r="AJ21" s="100">
        <f t="shared" ca="1" si="1"/>
        <v>1410211.1842333958</v>
      </c>
      <c r="AK21" s="97"/>
      <c r="AL21" s="35" t="str">
        <f t="shared" ca="1" si="12"/>
        <v/>
      </c>
      <c r="AM21" s="107"/>
      <c r="AO21" s="235">
        <v>41322.842674461252</v>
      </c>
      <c r="AP21" s="73"/>
      <c r="AQ21" s="73"/>
      <c r="AR21" s="199">
        <f t="shared" ca="1" si="2"/>
        <v>10563.769705117518</v>
      </c>
      <c r="AS21" s="73"/>
      <c r="AT21" s="199">
        <f t="shared" ca="1" si="3"/>
        <v>2020.4747686447113</v>
      </c>
      <c r="AU21" s="73"/>
      <c r="AV21" s="199">
        <f t="shared" ca="1" si="4"/>
        <v>20590.935551688894</v>
      </c>
      <c r="AW21" s="73"/>
      <c r="AX21" s="199">
        <f t="shared" ca="1" si="5"/>
        <v>0</v>
      </c>
      <c r="AY21" s="73"/>
      <c r="AZ21" s="199">
        <f t="shared" ca="1" si="6"/>
        <v>0</v>
      </c>
      <c r="BA21" s="73"/>
      <c r="BB21" s="199">
        <f t="shared" ca="1" si="7"/>
        <v>0</v>
      </c>
      <c r="BC21" s="73"/>
      <c r="BD21" s="199">
        <f t="shared" ca="1" si="8"/>
        <v>0</v>
      </c>
      <c r="BE21" s="73"/>
      <c r="BF21" s="199">
        <f t="shared" ca="1" si="9"/>
        <v>8147.6626490101316</v>
      </c>
      <c r="BG21" s="73"/>
      <c r="BH21" s="199">
        <f t="shared" ca="1" si="10"/>
        <v>0</v>
      </c>
      <c r="BI21" s="73"/>
      <c r="BJ21" s="199">
        <f t="shared" ca="1" si="11"/>
        <v>0</v>
      </c>
      <c r="BK21" s="73"/>
      <c r="BL21" s="199">
        <f t="shared" ca="1" si="13"/>
        <v>41322.842674461259</v>
      </c>
      <c r="BM21" s="73"/>
    </row>
    <row r="22" spans="2:65" s="99" customFormat="1" ht="13" x14ac:dyDescent="0.3">
      <c r="B22" s="163">
        <f t="shared" si="14"/>
        <v>5</v>
      </c>
      <c r="D22" s="99" t="s">
        <v>23</v>
      </c>
      <c r="F22" s="113">
        <f ca="1">Function!V22</f>
        <v>8768335.2260374911</v>
      </c>
      <c r="G22" s="94"/>
      <c r="H22" s="113"/>
      <c r="I22" s="94"/>
      <c r="J22" s="91"/>
      <c r="K22" s="91">
        <f>_xlfn.IFNA(MATCH(J22,'Dist Factors'!$B$15:$B$431,0),0)</f>
        <v>0</v>
      </c>
      <c r="L22" s="113">
        <f t="shared" ca="1" si="15"/>
        <v>8768335.2260374911</v>
      </c>
      <c r="M22" s="94"/>
      <c r="N22" s="28" t="s">
        <v>79</v>
      </c>
      <c r="O22" s="186">
        <f>_xlfn.IFNA(MATCH(N22,'Dist Factors'!$B$15:$B$431,0),0)</f>
        <v>62</v>
      </c>
      <c r="P22" s="22">
        <f ca="1">OFFSET('Dist Factors'!$B$15,$O22-1,P$14)*$L22+OFFSET('Dist Factors'!$B$15,$K22-1,P$14)*$H22</f>
        <v>1829410.0360916543</v>
      </c>
      <c r="Q22" s="97"/>
      <c r="R22" s="22">
        <f ca="1">OFFSET('Dist Factors'!$B$15,$O22-1,R$14)*$L22+OFFSET('Dist Factors'!$B$15,$K22-1,R$14)*$H22</f>
        <v>349901.30631473078</v>
      </c>
      <c r="S22" s="22"/>
      <c r="T22" s="22">
        <f ca="1">OFFSET('Dist Factors'!$B$15,$O22-1,T$14)*$L22+OFFSET('Dist Factors'!$B$15,$K22-1,T$14)*$H22</f>
        <v>3565892.214833837</v>
      </c>
      <c r="U22" s="22"/>
      <c r="V22" s="22">
        <f ca="1">OFFSET('Dist Factors'!$B$15,$O22-1,V$14)*$L22+OFFSET('Dist Factors'!$B$15,$K22-1,V$14)*$H22</f>
        <v>0</v>
      </c>
      <c r="W22" s="100"/>
      <c r="X22" s="22">
        <f ca="1">OFFSET('Dist Factors'!$B$15,$O22-1,X$14)*$L22+OFFSET('Dist Factors'!$B$15,$K22-1,X$14)*$H22</f>
        <v>3023131.6687972681</v>
      </c>
      <c r="Y22" s="100"/>
      <c r="Z22" s="22">
        <f ca="1">OFFSET('Dist Factors'!$B$15,$O22-1,Z$14)*$L22+OFFSET('Dist Factors'!$B$15,$K22-1,Z$14)*$H22</f>
        <v>0</v>
      </c>
      <c r="AA22" s="22"/>
      <c r="AB22" s="22">
        <f ca="1">OFFSET('Dist Factors'!$B$15,$O22-1,AB$14)*$L22+OFFSET('Dist Factors'!$B$15,$K22-1,AB$14)*$H22</f>
        <v>0</v>
      </c>
      <c r="AC22" s="100"/>
      <c r="AD22" s="22">
        <f ca="1">OFFSET('Dist Factors'!$B$15,$O22-1,AD$14)*$L22+OFFSET('Dist Factors'!$B$15,$K22-1,AD$14)*$H22</f>
        <v>0</v>
      </c>
      <c r="AE22" s="100"/>
      <c r="AF22" s="22">
        <f ca="1">OFFSET('Dist Factors'!$B$15,$O22-1,AF$14)*$L22+OFFSET('Dist Factors'!$B$15,$K22-1,AF$14)*$H22</f>
        <v>0</v>
      </c>
      <c r="AG22" s="100"/>
      <c r="AH22" s="22">
        <f ca="1">OFFSET('Dist Factors'!$B$15,$O22-1,AH$14)*$L22+OFFSET('Dist Factors'!$B$15,$K22-1,AH$14)*$H22</f>
        <v>0</v>
      </c>
      <c r="AI22" s="100"/>
      <c r="AJ22" s="100">
        <f t="shared" ca="1" si="1"/>
        <v>8768335.2260374893</v>
      </c>
      <c r="AK22" s="97"/>
      <c r="AL22" s="35" t="str">
        <f t="shared" ca="1" si="12"/>
        <v/>
      </c>
      <c r="AM22" s="107"/>
      <c r="AO22" s="235">
        <v>264445.79959174362</v>
      </c>
      <c r="AP22" s="73"/>
      <c r="AQ22" s="73"/>
      <c r="AR22" s="199">
        <f t="shared" ca="1" si="2"/>
        <v>55173.506407332432</v>
      </c>
      <c r="AS22" s="73"/>
      <c r="AT22" s="199">
        <f t="shared" ca="1" si="3"/>
        <v>10552.736447829666</v>
      </c>
      <c r="AU22" s="73"/>
      <c r="AV22" s="199">
        <f t="shared" ca="1" si="4"/>
        <v>107544.38484622735</v>
      </c>
      <c r="AW22" s="73"/>
      <c r="AX22" s="199">
        <f t="shared" ca="1" si="5"/>
        <v>0</v>
      </c>
      <c r="AY22" s="73"/>
      <c r="AZ22" s="199">
        <f t="shared" ca="1" si="6"/>
        <v>91175.171890354191</v>
      </c>
      <c r="BA22" s="73"/>
      <c r="BB22" s="199">
        <f t="shared" ca="1" si="7"/>
        <v>0</v>
      </c>
      <c r="BC22" s="73"/>
      <c r="BD22" s="199">
        <f t="shared" ca="1" si="8"/>
        <v>0</v>
      </c>
      <c r="BE22" s="73"/>
      <c r="BF22" s="199">
        <f t="shared" ca="1" si="9"/>
        <v>0</v>
      </c>
      <c r="BG22" s="73"/>
      <c r="BH22" s="199">
        <f t="shared" ca="1" si="10"/>
        <v>0</v>
      </c>
      <c r="BI22" s="73"/>
      <c r="BJ22" s="199">
        <f t="shared" ca="1" si="11"/>
        <v>0</v>
      </c>
      <c r="BK22" s="73"/>
      <c r="BL22" s="199">
        <f t="shared" ca="1" si="13"/>
        <v>264445.79959174362</v>
      </c>
      <c r="BM22" s="73"/>
    </row>
    <row r="23" spans="2:65" s="99" customFormat="1" ht="13" x14ac:dyDescent="0.3">
      <c r="B23" s="163">
        <f t="shared" si="14"/>
        <v>6</v>
      </c>
      <c r="D23" s="99" t="s">
        <v>25</v>
      </c>
      <c r="F23" s="113">
        <f ca="1">Function!V23</f>
        <v>31149.206599042627</v>
      </c>
      <c r="G23" s="94"/>
      <c r="H23" s="113"/>
      <c r="I23" s="94"/>
      <c r="J23" s="94"/>
      <c r="K23" s="91">
        <f>_xlfn.IFNA(MATCH(J23,'Dist Factors'!$B$15:$B$431,0),0)</f>
        <v>0</v>
      </c>
      <c r="L23" s="113">
        <f t="shared" ca="1" si="15"/>
        <v>31149.206599042627</v>
      </c>
      <c r="M23" s="94"/>
      <c r="N23" s="28" t="s">
        <v>273</v>
      </c>
      <c r="O23" s="186">
        <f>_xlfn.IFNA(MATCH(N23,'Dist Factors'!$B$15:$B$431,0),0)</f>
        <v>14</v>
      </c>
      <c r="P23" s="22">
        <f ca="1">OFFSET('Dist Factors'!$B$15,$O23-1,P$14)*$L23+OFFSET('Dist Factors'!$B$15,$K23-1,P$14)*$H23</f>
        <v>0</v>
      </c>
      <c r="Q23" s="97"/>
      <c r="R23" s="22">
        <f ca="1">OFFSET('Dist Factors'!$B$15,$O23-1,R$14)*$L23+OFFSET('Dist Factors'!$B$15,$K23-1,R$14)*$H23</f>
        <v>0</v>
      </c>
      <c r="S23" s="22"/>
      <c r="T23" s="22">
        <f ca="1">OFFSET('Dist Factors'!$B$15,$O23-1,T$14)*$L23+OFFSET('Dist Factors'!$B$15,$K23-1,T$14)*$H23</f>
        <v>0</v>
      </c>
      <c r="U23" s="22"/>
      <c r="V23" s="22">
        <f ca="1">OFFSET('Dist Factors'!$B$15,$O23-1,V$14)*$L23+OFFSET('Dist Factors'!$B$15,$K23-1,V$14)*$H23</f>
        <v>0</v>
      </c>
      <c r="W23" s="100"/>
      <c r="X23" s="22">
        <f ca="1">OFFSET('Dist Factors'!$B$15,$O23-1,X$14)*$L23+OFFSET('Dist Factors'!$B$15,$K23-1,X$14)*$H23</f>
        <v>0</v>
      </c>
      <c r="Y23" s="100"/>
      <c r="Z23" s="22">
        <f ca="1">OFFSET('Dist Factors'!$B$15,$O23-1,Z$14)*$L23+OFFSET('Dist Factors'!$B$15,$K23-1,Z$14)*$H23</f>
        <v>0</v>
      </c>
      <c r="AA23" s="22"/>
      <c r="AB23" s="22">
        <f ca="1">OFFSET('Dist Factors'!$B$15,$O23-1,AB$14)*$L23+OFFSET('Dist Factors'!$B$15,$K23-1,AB$14)*$H23</f>
        <v>0</v>
      </c>
      <c r="AC23" s="100"/>
      <c r="AD23" s="22">
        <f ca="1">OFFSET('Dist Factors'!$B$15,$O23-1,AD$14)*$L23+OFFSET('Dist Factors'!$B$15,$K23-1,AD$14)*$H23</f>
        <v>31149.206599042627</v>
      </c>
      <c r="AE23" s="100"/>
      <c r="AF23" s="22">
        <f ca="1">OFFSET('Dist Factors'!$B$15,$O23-1,AF$14)*$L23+OFFSET('Dist Factors'!$B$15,$K23-1,AF$14)*$H23</f>
        <v>0</v>
      </c>
      <c r="AG23" s="100"/>
      <c r="AH23" s="22">
        <f ca="1">OFFSET('Dist Factors'!$B$15,$O23-1,AH$14)*$L23+OFFSET('Dist Factors'!$B$15,$K23-1,AH$14)*$H23</f>
        <v>0</v>
      </c>
      <c r="AI23" s="100"/>
      <c r="AJ23" s="100">
        <f t="shared" ca="1" si="1"/>
        <v>31149.206599042627</v>
      </c>
      <c r="AK23" s="97"/>
      <c r="AL23" s="35" t="str">
        <f t="shared" ca="1" si="12"/>
        <v/>
      </c>
      <c r="AM23" s="107"/>
      <c r="AO23" s="235">
        <v>1186.0953790086644</v>
      </c>
      <c r="AP23" s="73"/>
      <c r="AQ23" s="73"/>
      <c r="AR23" s="199">
        <f t="shared" ca="1" si="2"/>
        <v>0</v>
      </c>
      <c r="AS23" s="73"/>
      <c r="AT23" s="199">
        <f t="shared" ca="1" si="3"/>
        <v>0</v>
      </c>
      <c r="AU23" s="73"/>
      <c r="AV23" s="199">
        <f t="shared" ca="1" si="4"/>
        <v>0</v>
      </c>
      <c r="AW23" s="73"/>
      <c r="AX23" s="199">
        <f t="shared" ca="1" si="5"/>
        <v>0</v>
      </c>
      <c r="AY23" s="73"/>
      <c r="AZ23" s="199">
        <f t="shared" ca="1" si="6"/>
        <v>0</v>
      </c>
      <c r="BA23" s="73"/>
      <c r="BB23" s="199">
        <f t="shared" ca="1" si="7"/>
        <v>0</v>
      </c>
      <c r="BC23" s="73"/>
      <c r="BD23" s="199">
        <f t="shared" ca="1" si="8"/>
        <v>0</v>
      </c>
      <c r="BE23" s="73"/>
      <c r="BF23" s="199">
        <f t="shared" ca="1" si="9"/>
        <v>1186.0953790086644</v>
      </c>
      <c r="BG23" s="73"/>
      <c r="BH23" s="199">
        <f t="shared" ca="1" si="10"/>
        <v>0</v>
      </c>
      <c r="BI23" s="73"/>
      <c r="BJ23" s="199">
        <f t="shared" ca="1" si="11"/>
        <v>0</v>
      </c>
      <c r="BK23" s="73"/>
      <c r="BL23" s="199">
        <f t="shared" ca="1" si="13"/>
        <v>1186.0953790086644</v>
      </c>
      <c r="BM23" s="73"/>
    </row>
    <row r="24" spans="2:65" s="99" customFormat="1" ht="13" x14ac:dyDescent="0.3">
      <c r="B24" s="163">
        <f t="shared" si="14"/>
        <v>7</v>
      </c>
      <c r="D24" s="99" t="s">
        <v>27</v>
      </c>
      <c r="F24" s="113">
        <f ca="1">Function!V24</f>
        <v>0</v>
      </c>
      <c r="G24" s="94"/>
      <c r="H24" s="113"/>
      <c r="I24" s="94"/>
      <c r="J24" s="94"/>
      <c r="K24" s="91">
        <f>_xlfn.IFNA(MATCH(J24,'Dist Factors'!$B$15:$B$431,0),0)</f>
        <v>0</v>
      </c>
      <c r="L24" s="113">
        <f t="shared" ca="1" si="15"/>
        <v>0</v>
      </c>
      <c r="M24" s="94"/>
      <c r="N24" s="28"/>
      <c r="O24" s="186">
        <f>_xlfn.IFNA(MATCH(N24,'Dist Factors'!$B$15:$B$431,0),0)</f>
        <v>0</v>
      </c>
      <c r="P24" s="22">
        <f ca="1">OFFSET('Dist Factors'!$B$15,$O24-1,P$14)*$L24+OFFSET('Dist Factors'!$B$15,$K24-1,P$14)*$H24</f>
        <v>0</v>
      </c>
      <c r="Q24" s="97"/>
      <c r="R24" s="22">
        <f ca="1">OFFSET('Dist Factors'!$B$15,$O24-1,R$14)*$L24+OFFSET('Dist Factors'!$B$15,$K24-1,R$14)*$H24</f>
        <v>0</v>
      </c>
      <c r="S24" s="22"/>
      <c r="T24" s="22">
        <f ca="1">OFFSET('Dist Factors'!$B$15,$O24-1,T$14)*$L24+OFFSET('Dist Factors'!$B$15,$K24-1,T$14)*$H24</f>
        <v>0</v>
      </c>
      <c r="U24" s="22"/>
      <c r="V24" s="22">
        <f ca="1">OFFSET('Dist Factors'!$B$15,$O24-1,V$14)*$L24+OFFSET('Dist Factors'!$B$15,$K24-1,V$14)*$H24</f>
        <v>0</v>
      </c>
      <c r="W24" s="100"/>
      <c r="X24" s="22">
        <f ca="1">OFFSET('Dist Factors'!$B$15,$O24-1,X$14)*$L24+OFFSET('Dist Factors'!$B$15,$K24-1,X$14)*$H24</f>
        <v>0</v>
      </c>
      <c r="Y24" s="100"/>
      <c r="Z24" s="22">
        <f ca="1">OFFSET('Dist Factors'!$B$15,$O24-1,Z$14)*$L24+OFFSET('Dist Factors'!$B$15,$K24-1,Z$14)*$H24</f>
        <v>0</v>
      </c>
      <c r="AA24" s="22"/>
      <c r="AB24" s="22">
        <f ca="1">OFFSET('Dist Factors'!$B$15,$O24-1,AB$14)*$L24+OFFSET('Dist Factors'!$B$15,$K24-1,AB$14)*$H24</f>
        <v>0</v>
      </c>
      <c r="AC24" s="100"/>
      <c r="AD24" s="22">
        <f ca="1">OFFSET('Dist Factors'!$B$15,$O24-1,AD$14)*$L24+OFFSET('Dist Factors'!$B$15,$K24-1,AD$14)*$H24</f>
        <v>0</v>
      </c>
      <c r="AE24" s="100"/>
      <c r="AF24" s="22">
        <f ca="1">OFFSET('Dist Factors'!$B$15,$O24-1,AF$14)*$L24+OFFSET('Dist Factors'!$B$15,$K24-1,AF$14)*$H24</f>
        <v>0</v>
      </c>
      <c r="AG24" s="100"/>
      <c r="AH24" s="22">
        <f ca="1">OFFSET('Dist Factors'!$B$15,$O24-1,AH$14)*$L24+OFFSET('Dist Factors'!$B$15,$K24-1,AH$14)*$H24</f>
        <v>0</v>
      </c>
      <c r="AI24" s="100"/>
      <c r="AJ24" s="100">
        <f t="shared" ca="1" si="1"/>
        <v>0</v>
      </c>
      <c r="AK24" s="97"/>
      <c r="AL24" s="35" t="str">
        <f t="shared" ca="1" si="12"/>
        <v/>
      </c>
      <c r="AM24" s="107"/>
      <c r="AO24" s="235">
        <v>0</v>
      </c>
      <c r="AP24" s="73"/>
      <c r="AQ24" s="73"/>
      <c r="AR24" s="199" t="str">
        <f t="shared" ca="1" si="2"/>
        <v/>
      </c>
      <c r="AS24" s="73"/>
      <c r="AT24" s="199" t="str">
        <f t="shared" ca="1" si="3"/>
        <v/>
      </c>
      <c r="AU24" s="73"/>
      <c r="AV24" s="199" t="str">
        <f t="shared" ca="1" si="4"/>
        <v/>
      </c>
      <c r="AW24" s="73"/>
      <c r="AX24" s="199" t="str">
        <f t="shared" ca="1" si="5"/>
        <v/>
      </c>
      <c r="AY24" s="73"/>
      <c r="AZ24" s="199" t="str">
        <f t="shared" ca="1" si="6"/>
        <v/>
      </c>
      <c r="BA24" s="73"/>
      <c r="BB24" s="199" t="str">
        <f t="shared" ca="1" si="7"/>
        <v/>
      </c>
      <c r="BC24" s="73"/>
      <c r="BD24" s="199" t="str">
        <f t="shared" ca="1" si="8"/>
        <v/>
      </c>
      <c r="BE24" s="73"/>
      <c r="BF24" s="199" t="str">
        <f t="shared" ca="1" si="9"/>
        <v/>
      </c>
      <c r="BG24" s="73"/>
      <c r="BH24" s="199" t="str">
        <f t="shared" ca="1" si="10"/>
        <v/>
      </c>
      <c r="BI24" s="73"/>
      <c r="BJ24" s="199" t="str">
        <f t="shared" ca="1" si="11"/>
        <v/>
      </c>
      <c r="BK24" s="73"/>
      <c r="BL24" s="199">
        <f t="shared" ca="1" si="13"/>
        <v>0</v>
      </c>
      <c r="BM24" s="73"/>
    </row>
    <row r="25" spans="2:65" s="99" customFormat="1" ht="13" x14ac:dyDescent="0.3">
      <c r="B25" s="163">
        <f t="shared" si="14"/>
        <v>8</v>
      </c>
      <c r="D25" s="99" t="s">
        <v>29</v>
      </c>
      <c r="F25" s="113">
        <f ca="1">Function!V25</f>
        <v>0</v>
      </c>
      <c r="G25" s="94"/>
      <c r="H25" s="113"/>
      <c r="I25" s="94"/>
      <c r="J25" s="94"/>
      <c r="K25" s="91">
        <f>_xlfn.IFNA(MATCH(J25,'Dist Factors'!$B$15:$B$431,0),0)</f>
        <v>0</v>
      </c>
      <c r="L25" s="113">
        <f t="shared" ca="1" si="15"/>
        <v>0</v>
      </c>
      <c r="M25" s="94"/>
      <c r="N25" s="28"/>
      <c r="O25" s="186">
        <f>_xlfn.IFNA(MATCH(N25,'Dist Factors'!$B$15:$B$431,0),0)</f>
        <v>0</v>
      </c>
      <c r="P25" s="22">
        <f ca="1">OFFSET('Dist Factors'!$B$15,$O25-1,P$14)*$L25+OFFSET('Dist Factors'!$B$15,$K25-1,P$14)*$H25</f>
        <v>0</v>
      </c>
      <c r="Q25" s="97"/>
      <c r="R25" s="22">
        <f ca="1">OFFSET('Dist Factors'!$B$15,$O25-1,R$14)*$L25+OFFSET('Dist Factors'!$B$15,$K25-1,R$14)*$H25</f>
        <v>0</v>
      </c>
      <c r="S25" s="22"/>
      <c r="T25" s="22">
        <f ca="1">OFFSET('Dist Factors'!$B$15,$O25-1,T$14)*$L25+OFFSET('Dist Factors'!$B$15,$K25-1,T$14)*$H25</f>
        <v>0</v>
      </c>
      <c r="U25" s="22"/>
      <c r="V25" s="22">
        <f ca="1">OFFSET('Dist Factors'!$B$15,$O25-1,V$14)*$L25+OFFSET('Dist Factors'!$B$15,$K25-1,V$14)*$H25</f>
        <v>0</v>
      </c>
      <c r="W25" s="100"/>
      <c r="X25" s="22">
        <f ca="1">OFFSET('Dist Factors'!$B$15,$O25-1,X$14)*$L25+OFFSET('Dist Factors'!$B$15,$K25-1,X$14)*$H25</f>
        <v>0</v>
      </c>
      <c r="Y25" s="100"/>
      <c r="Z25" s="22">
        <f ca="1">OFFSET('Dist Factors'!$B$15,$O25-1,Z$14)*$L25+OFFSET('Dist Factors'!$B$15,$K25-1,Z$14)*$H25</f>
        <v>0</v>
      </c>
      <c r="AA25" s="22"/>
      <c r="AB25" s="22">
        <f ca="1">OFFSET('Dist Factors'!$B$15,$O25-1,AB$14)*$L25+OFFSET('Dist Factors'!$B$15,$K25-1,AB$14)*$H25</f>
        <v>0</v>
      </c>
      <c r="AC25" s="100"/>
      <c r="AD25" s="22">
        <f ca="1">OFFSET('Dist Factors'!$B$15,$O25-1,AD$14)*$L25+OFFSET('Dist Factors'!$B$15,$K25-1,AD$14)*$H25</f>
        <v>0</v>
      </c>
      <c r="AE25" s="100"/>
      <c r="AF25" s="22">
        <f ca="1">OFFSET('Dist Factors'!$B$15,$O25-1,AF$14)*$L25+OFFSET('Dist Factors'!$B$15,$K25-1,AF$14)*$H25</f>
        <v>0</v>
      </c>
      <c r="AG25" s="100"/>
      <c r="AH25" s="22">
        <f ca="1">OFFSET('Dist Factors'!$B$15,$O25-1,AH$14)*$L25+OFFSET('Dist Factors'!$B$15,$K25-1,AH$14)*$H25</f>
        <v>0</v>
      </c>
      <c r="AI25" s="100"/>
      <c r="AJ25" s="100">
        <f t="shared" ca="1" si="1"/>
        <v>0</v>
      </c>
      <c r="AK25" s="97"/>
      <c r="AL25" s="35" t="str">
        <f t="shared" ca="1" si="12"/>
        <v/>
      </c>
      <c r="AM25" s="107"/>
      <c r="AO25" s="235">
        <v>0</v>
      </c>
      <c r="AP25" s="73"/>
      <c r="AQ25" s="73"/>
      <c r="AR25" s="199" t="str">
        <f t="shared" ca="1" si="2"/>
        <v/>
      </c>
      <c r="AS25" s="73"/>
      <c r="AT25" s="199" t="str">
        <f t="shared" ca="1" si="3"/>
        <v/>
      </c>
      <c r="AU25" s="73"/>
      <c r="AV25" s="199" t="str">
        <f t="shared" ca="1" si="4"/>
        <v/>
      </c>
      <c r="AW25" s="73"/>
      <c r="AX25" s="199" t="str">
        <f t="shared" ca="1" si="5"/>
        <v/>
      </c>
      <c r="AY25" s="73"/>
      <c r="AZ25" s="199" t="str">
        <f t="shared" ca="1" si="6"/>
        <v/>
      </c>
      <c r="BA25" s="73"/>
      <c r="BB25" s="199" t="str">
        <f t="shared" ca="1" si="7"/>
        <v/>
      </c>
      <c r="BC25" s="73"/>
      <c r="BD25" s="199" t="str">
        <f t="shared" ca="1" si="8"/>
        <v/>
      </c>
      <c r="BE25" s="73"/>
      <c r="BF25" s="199" t="str">
        <f t="shared" ca="1" si="9"/>
        <v/>
      </c>
      <c r="BG25" s="73"/>
      <c r="BH25" s="199" t="str">
        <f t="shared" ca="1" si="10"/>
        <v/>
      </c>
      <c r="BI25" s="73"/>
      <c r="BJ25" s="199" t="str">
        <f t="shared" ca="1" si="11"/>
        <v/>
      </c>
      <c r="BK25" s="73"/>
      <c r="BL25" s="199">
        <f t="shared" ca="1" si="13"/>
        <v>0</v>
      </c>
      <c r="BM25" s="73"/>
    </row>
    <row r="26" spans="2:65" s="99" customFormat="1" ht="13" x14ac:dyDescent="0.3">
      <c r="B26" s="163">
        <f t="shared" si="14"/>
        <v>9</v>
      </c>
      <c r="D26" s="99" t="s">
        <v>30</v>
      </c>
      <c r="F26" s="113">
        <f ca="1">Function!V26</f>
        <v>0</v>
      </c>
      <c r="G26" s="94"/>
      <c r="H26" s="113"/>
      <c r="I26" s="94"/>
      <c r="J26" s="94"/>
      <c r="K26" s="91">
        <f>_xlfn.IFNA(MATCH(J26,'Dist Factors'!$B$15:$B$431,0),0)</f>
        <v>0</v>
      </c>
      <c r="L26" s="113">
        <f t="shared" ca="1" si="15"/>
        <v>0</v>
      </c>
      <c r="M26" s="94"/>
      <c r="N26" s="28"/>
      <c r="O26" s="186">
        <f>_xlfn.IFNA(MATCH(N26,'Dist Factors'!$B$15:$B$431,0),0)</f>
        <v>0</v>
      </c>
      <c r="P26" s="22">
        <f ca="1">OFFSET('Dist Factors'!$B$15,$O26-1,P$14)*$L26+OFFSET('Dist Factors'!$B$15,$K26-1,P$14)*$H26</f>
        <v>0</v>
      </c>
      <c r="Q26" s="97"/>
      <c r="R26" s="22">
        <f ca="1">OFFSET('Dist Factors'!$B$15,$O26-1,R$14)*$L26+OFFSET('Dist Factors'!$B$15,$K26-1,R$14)*$H26</f>
        <v>0</v>
      </c>
      <c r="S26" s="22"/>
      <c r="T26" s="22">
        <f ca="1">OFFSET('Dist Factors'!$B$15,$O26-1,T$14)*$L26+OFFSET('Dist Factors'!$B$15,$K26-1,T$14)*$H26</f>
        <v>0</v>
      </c>
      <c r="U26" s="22"/>
      <c r="V26" s="22">
        <f ca="1">OFFSET('Dist Factors'!$B$15,$O26-1,V$14)*$L26+OFFSET('Dist Factors'!$B$15,$K26-1,V$14)*$H26</f>
        <v>0</v>
      </c>
      <c r="W26" s="100"/>
      <c r="X26" s="22">
        <f ca="1">OFFSET('Dist Factors'!$B$15,$O26-1,X$14)*$L26+OFFSET('Dist Factors'!$B$15,$K26-1,X$14)*$H26</f>
        <v>0</v>
      </c>
      <c r="Y26" s="100"/>
      <c r="Z26" s="22">
        <f ca="1">OFFSET('Dist Factors'!$B$15,$O26-1,Z$14)*$L26+OFFSET('Dist Factors'!$B$15,$K26-1,Z$14)*$H26</f>
        <v>0</v>
      </c>
      <c r="AA26" s="22"/>
      <c r="AB26" s="22">
        <f ca="1">OFFSET('Dist Factors'!$B$15,$O26-1,AB$14)*$L26+OFFSET('Dist Factors'!$B$15,$K26-1,AB$14)*$H26</f>
        <v>0</v>
      </c>
      <c r="AC26" s="100"/>
      <c r="AD26" s="22">
        <f ca="1">OFFSET('Dist Factors'!$B$15,$O26-1,AD$14)*$L26+OFFSET('Dist Factors'!$B$15,$K26-1,AD$14)*$H26</f>
        <v>0</v>
      </c>
      <c r="AE26" s="100"/>
      <c r="AF26" s="22">
        <f ca="1">OFFSET('Dist Factors'!$B$15,$O26-1,AF$14)*$L26+OFFSET('Dist Factors'!$B$15,$K26-1,AF$14)*$H26</f>
        <v>0</v>
      </c>
      <c r="AG26" s="100"/>
      <c r="AH26" s="22">
        <f ca="1">OFFSET('Dist Factors'!$B$15,$O26-1,AH$14)*$L26+OFFSET('Dist Factors'!$B$15,$K26-1,AH$14)*$H26</f>
        <v>0</v>
      </c>
      <c r="AI26" s="100"/>
      <c r="AJ26" s="100">
        <f t="shared" ca="1" si="1"/>
        <v>0</v>
      </c>
      <c r="AK26" s="97"/>
      <c r="AL26" s="35" t="str">
        <f t="shared" ca="1" si="12"/>
        <v/>
      </c>
      <c r="AM26" s="107"/>
      <c r="AO26" s="235">
        <v>0</v>
      </c>
      <c r="AP26" s="73"/>
      <c r="AQ26" s="73"/>
      <c r="AR26" s="199" t="str">
        <f t="shared" ca="1" si="2"/>
        <v/>
      </c>
      <c r="AS26" s="73"/>
      <c r="AT26" s="199" t="str">
        <f t="shared" ca="1" si="3"/>
        <v/>
      </c>
      <c r="AU26" s="73"/>
      <c r="AV26" s="199" t="str">
        <f t="shared" ca="1" si="4"/>
        <v/>
      </c>
      <c r="AW26" s="73"/>
      <c r="AX26" s="199" t="str">
        <f t="shared" ca="1" si="5"/>
        <v/>
      </c>
      <c r="AY26" s="73"/>
      <c r="AZ26" s="199" t="str">
        <f t="shared" ca="1" si="6"/>
        <v/>
      </c>
      <c r="BA26" s="73"/>
      <c r="BB26" s="199" t="str">
        <f t="shared" ca="1" si="7"/>
        <v/>
      </c>
      <c r="BC26" s="73"/>
      <c r="BD26" s="199" t="str">
        <f t="shared" ca="1" si="8"/>
        <v/>
      </c>
      <c r="BE26" s="73"/>
      <c r="BF26" s="199" t="str">
        <f t="shared" ca="1" si="9"/>
        <v/>
      </c>
      <c r="BG26" s="73"/>
      <c r="BH26" s="199" t="str">
        <f t="shared" ca="1" si="10"/>
        <v/>
      </c>
      <c r="BI26" s="73"/>
      <c r="BJ26" s="199" t="str">
        <f t="shared" ca="1" si="11"/>
        <v/>
      </c>
      <c r="BK26" s="73"/>
      <c r="BL26" s="199">
        <f t="shared" ca="1" si="13"/>
        <v>0</v>
      </c>
      <c r="BM26" s="73"/>
    </row>
    <row r="27" spans="2:65" s="99" customFormat="1" ht="13" x14ac:dyDescent="0.3">
      <c r="B27" s="163">
        <f t="shared" si="14"/>
        <v>10</v>
      </c>
      <c r="D27" s="99" t="s">
        <v>31</v>
      </c>
      <c r="F27" s="113">
        <f ca="1">Function!V27</f>
        <v>5590139.7289811559</v>
      </c>
      <c r="G27" s="94"/>
      <c r="H27" s="113"/>
      <c r="I27" s="94"/>
      <c r="J27" s="94"/>
      <c r="K27" s="91">
        <f>_xlfn.IFNA(MATCH(J27,'Dist Factors'!$B$15:$B$431,0),0)</f>
        <v>0</v>
      </c>
      <c r="L27" s="113">
        <f t="shared" ca="1" si="15"/>
        <v>5590139.7289811559</v>
      </c>
      <c r="M27" s="94"/>
      <c r="N27" s="28" t="s">
        <v>275</v>
      </c>
      <c r="O27" s="186">
        <f>_xlfn.IFNA(MATCH(N27,'Dist Factors'!$B$15:$B$431,0),0)</f>
        <v>8</v>
      </c>
      <c r="P27" s="22">
        <f ca="1">OFFSET('Dist Factors'!$B$15,$O27-1,P$14)*$L27+OFFSET('Dist Factors'!$B$15,$K27-1,P$14)*$H27</f>
        <v>0</v>
      </c>
      <c r="Q27" s="97"/>
      <c r="R27" s="22">
        <f ca="1">OFFSET('Dist Factors'!$B$15,$O27-1,R$14)*$L27+OFFSET('Dist Factors'!$B$15,$K27-1,R$14)*$H27</f>
        <v>0</v>
      </c>
      <c r="S27" s="22"/>
      <c r="T27" s="22">
        <f ca="1">OFFSET('Dist Factors'!$B$15,$O27-1,T$14)*$L27+OFFSET('Dist Factors'!$B$15,$K27-1,T$14)*$H27</f>
        <v>0</v>
      </c>
      <c r="U27" s="22"/>
      <c r="V27" s="22">
        <f ca="1">OFFSET('Dist Factors'!$B$15,$O27-1,V$14)*$L27+OFFSET('Dist Factors'!$B$15,$K27-1,V$14)*$H27</f>
        <v>0</v>
      </c>
      <c r="W27" s="100"/>
      <c r="X27" s="22">
        <f ca="1">OFFSET('Dist Factors'!$B$15,$O27-1,X$14)*$L27+OFFSET('Dist Factors'!$B$15,$K27-1,X$14)*$H27</f>
        <v>0</v>
      </c>
      <c r="Y27" s="100"/>
      <c r="Z27" s="22">
        <f ca="1">OFFSET('Dist Factors'!$B$15,$O27-1,Z$14)*$L27+OFFSET('Dist Factors'!$B$15,$K27-1,Z$14)*$H27</f>
        <v>5590139.7289811559</v>
      </c>
      <c r="AA27" s="22"/>
      <c r="AB27" s="22">
        <f ca="1">OFFSET('Dist Factors'!$B$15,$O27-1,AB$14)*$L27+OFFSET('Dist Factors'!$B$15,$K27-1,AB$14)*$H27</f>
        <v>0</v>
      </c>
      <c r="AC27" s="100"/>
      <c r="AD27" s="22">
        <f ca="1">OFFSET('Dist Factors'!$B$15,$O27-1,AD$14)*$L27+OFFSET('Dist Factors'!$B$15,$K27-1,AD$14)*$H27</f>
        <v>0</v>
      </c>
      <c r="AE27" s="100"/>
      <c r="AF27" s="22">
        <f ca="1">OFFSET('Dist Factors'!$B$15,$O27-1,AF$14)*$L27+OFFSET('Dist Factors'!$B$15,$K27-1,AF$14)*$H27</f>
        <v>0</v>
      </c>
      <c r="AG27" s="100"/>
      <c r="AH27" s="22">
        <f ca="1">OFFSET('Dist Factors'!$B$15,$O27-1,AH$14)*$L27+OFFSET('Dist Factors'!$B$15,$K27-1,AH$14)*$H27</f>
        <v>0</v>
      </c>
      <c r="AI27" s="100"/>
      <c r="AJ27" s="100">
        <f t="shared" ca="1" si="1"/>
        <v>5590139.7289811559</v>
      </c>
      <c r="AK27" s="97"/>
      <c r="AL27" s="35" t="str">
        <f t="shared" ca="1" si="12"/>
        <v/>
      </c>
      <c r="AM27" s="107"/>
      <c r="AO27" s="235">
        <v>158270.5671030712</v>
      </c>
      <c r="AP27" s="73"/>
      <c r="AQ27" s="73"/>
      <c r="AR27" s="199">
        <f t="shared" ca="1" si="2"/>
        <v>0</v>
      </c>
      <c r="AS27" s="73"/>
      <c r="AT27" s="199">
        <f t="shared" ca="1" si="3"/>
        <v>0</v>
      </c>
      <c r="AU27" s="73"/>
      <c r="AV27" s="199">
        <f t="shared" ca="1" si="4"/>
        <v>0</v>
      </c>
      <c r="AW27" s="73"/>
      <c r="AX27" s="199">
        <f t="shared" ca="1" si="5"/>
        <v>0</v>
      </c>
      <c r="AY27" s="73"/>
      <c r="AZ27" s="199">
        <f t="shared" ca="1" si="6"/>
        <v>0</v>
      </c>
      <c r="BA27" s="73"/>
      <c r="BB27" s="199">
        <f t="shared" ca="1" si="7"/>
        <v>158270.5671030712</v>
      </c>
      <c r="BC27" s="73"/>
      <c r="BD27" s="199">
        <f t="shared" ca="1" si="8"/>
        <v>0</v>
      </c>
      <c r="BE27" s="73"/>
      <c r="BF27" s="199">
        <f t="shared" ca="1" si="9"/>
        <v>0</v>
      </c>
      <c r="BG27" s="73"/>
      <c r="BH27" s="199">
        <f t="shared" ca="1" si="10"/>
        <v>0</v>
      </c>
      <c r="BI27" s="73"/>
      <c r="BJ27" s="199">
        <f t="shared" ca="1" si="11"/>
        <v>0</v>
      </c>
      <c r="BK27" s="73"/>
      <c r="BL27" s="199">
        <f t="shared" ca="1" si="13"/>
        <v>158270.5671030712</v>
      </c>
      <c r="BM27" s="73"/>
    </row>
    <row r="28" spans="2:65" s="99" customFormat="1" ht="13" x14ac:dyDescent="0.3">
      <c r="B28" s="163">
        <f t="shared" si="14"/>
        <v>11</v>
      </c>
      <c r="D28" s="99" t="s">
        <v>327</v>
      </c>
      <c r="F28" s="113">
        <f ca="1">Function!V28</f>
        <v>1655519.1336483383</v>
      </c>
      <c r="G28" s="94"/>
      <c r="H28" s="113"/>
      <c r="I28" s="94"/>
      <c r="J28" s="94"/>
      <c r="K28" s="91">
        <f>_xlfn.IFNA(MATCH(J28,'Dist Factors'!$B$15:$B$431,0),0)</f>
        <v>0</v>
      </c>
      <c r="L28" s="113">
        <f t="shared" ca="1" si="15"/>
        <v>1655519.1336483383</v>
      </c>
      <c r="M28" s="94"/>
      <c r="N28" s="28" t="s">
        <v>272</v>
      </c>
      <c r="O28" s="186">
        <f>_xlfn.IFNA(MATCH(N28,'Dist Factors'!$B$15:$B$431,0),0)</f>
        <v>5</v>
      </c>
      <c r="P28" s="22">
        <f ca="1">OFFSET('Dist Factors'!$B$15,$O28-1,P$14)*$L28+OFFSET('Dist Factors'!$B$15,$K28-1,P$14)*$H28</f>
        <v>0</v>
      </c>
      <c r="Q28" s="97"/>
      <c r="R28" s="22">
        <f ca="1">OFFSET('Dist Factors'!$B$15,$O28-1,R$14)*$L28+OFFSET('Dist Factors'!$B$15,$K28-1,R$14)*$H28</f>
        <v>0</v>
      </c>
      <c r="S28" s="22"/>
      <c r="T28" s="22">
        <f ca="1">OFFSET('Dist Factors'!$B$15,$O28-1,T$14)*$L28+OFFSET('Dist Factors'!$B$15,$K28-1,T$14)*$H28</f>
        <v>0</v>
      </c>
      <c r="U28" s="22"/>
      <c r="V28" s="22">
        <f ca="1">OFFSET('Dist Factors'!$B$15,$O28-1,V$14)*$L28+OFFSET('Dist Factors'!$B$15,$K28-1,V$14)*$H28</f>
        <v>0</v>
      </c>
      <c r="W28" s="100"/>
      <c r="X28" s="22">
        <f ca="1">OFFSET('Dist Factors'!$B$15,$O28-1,X$14)*$L28+OFFSET('Dist Factors'!$B$15,$K28-1,X$14)*$H28</f>
        <v>0</v>
      </c>
      <c r="Y28" s="100"/>
      <c r="Z28" s="22">
        <f ca="1">OFFSET('Dist Factors'!$B$15,$O28-1,Z$14)*$L28+OFFSET('Dist Factors'!$B$15,$K28-1,Z$14)*$H28</f>
        <v>0</v>
      </c>
      <c r="AA28" s="22"/>
      <c r="AB28" s="22">
        <f ca="1">OFFSET('Dist Factors'!$B$15,$O28-1,AB$14)*$L28+OFFSET('Dist Factors'!$B$15,$K28-1,AB$14)*$H28</f>
        <v>1655519.1336483383</v>
      </c>
      <c r="AC28" s="100"/>
      <c r="AD28" s="22">
        <f ca="1">OFFSET('Dist Factors'!$B$15,$O28-1,AD$14)*$L28+OFFSET('Dist Factors'!$B$15,$K28-1,AD$14)*$H28</f>
        <v>0</v>
      </c>
      <c r="AE28" s="100"/>
      <c r="AF28" s="22">
        <f ca="1">OFFSET('Dist Factors'!$B$15,$O28-1,AF$14)*$L28+OFFSET('Dist Factors'!$B$15,$K28-1,AF$14)*$H28</f>
        <v>0</v>
      </c>
      <c r="AG28" s="100"/>
      <c r="AH28" s="22">
        <f ca="1">OFFSET('Dist Factors'!$B$15,$O28-1,AH$14)*$L28+OFFSET('Dist Factors'!$B$15,$K28-1,AH$14)*$H28</f>
        <v>0</v>
      </c>
      <c r="AI28" s="100"/>
      <c r="AJ28" s="100">
        <f t="shared" ca="1" si="1"/>
        <v>1655519.1336483383</v>
      </c>
      <c r="AK28" s="97"/>
      <c r="AL28" s="35" t="str">
        <f t="shared" ca="1" si="12"/>
        <v/>
      </c>
      <c r="AM28" s="107"/>
      <c r="AO28" s="235">
        <v>163104.39484024676</v>
      </c>
      <c r="AP28" s="73"/>
      <c r="AQ28" s="73"/>
      <c r="AR28" s="199">
        <f t="shared" ca="1" si="2"/>
        <v>0</v>
      </c>
      <c r="AS28" s="73"/>
      <c r="AT28" s="199">
        <f t="shared" ca="1" si="3"/>
        <v>0</v>
      </c>
      <c r="AU28" s="73"/>
      <c r="AV28" s="199">
        <f t="shared" ca="1" si="4"/>
        <v>0</v>
      </c>
      <c r="AW28" s="73"/>
      <c r="AX28" s="199">
        <f t="shared" ca="1" si="5"/>
        <v>0</v>
      </c>
      <c r="AY28" s="73"/>
      <c r="AZ28" s="199">
        <f t="shared" ca="1" si="6"/>
        <v>0</v>
      </c>
      <c r="BA28" s="73"/>
      <c r="BB28" s="199">
        <f t="shared" ca="1" si="7"/>
        <v>0</v>
      </c>
      <c r="BC28" s="73"/>
      <c r="BD28" s="199">
        <f t="shared" ca="1" si="8"/>
        <v>163104.39484024676</v>
      </c>
      <c r="BE28" s="73"/>
      <c r="BF28" s="199">
        <f t="shared" ca="1" si="9"/>
        <v>0</v>
      </c>
      <c r="BG28" s="73"/>
      <c r="BH28" s="199">
        <f t="shared" ca="1" si="10"/>
        <v>0</v>
      </c>
      <c r="BI28" s="73"/>
      <c r="BJ28" s="199">
        <f t="shared" ca="1" si="11"/>
        <v>0</v>
      </c>
      <c r="BK28" s="73"/>
      <c r="BL28" s="199">
        <f t="shared" ca="1" si="13"/>
        <v>163104.39484024676</v>
      </c>
      <c r="BM28" s="73"/>
    </row>
    <row r="29" spans="2:65" s="99" customFormat="1" ht="13" x14ac:dyDescent="0.3">
      <c r="B29" s="163">
        <f>B28+1</f>
        <v>12</v>
      </c>
      <c r="D29" s="99" t="s">
        <v>34</v>
      </c>
      <c r="F29" s="113">
        <f ca="1">Function!V29</f>
        <v>169809.28182564292</v>
      </c>
      <c r="G29" s="94"/>
      <c r="H29" s="113"/>
      <c r="I29" s="94"/>
      <c r="J29" s="94"/>
      <c r="K29" s="91">
        <f>_xlfn.IFNA(MATCH(J29,'Dist Factors'!$B$15:$B$431,0),0)</f>
        <v>0</v>
      </c>
      <c r="L29" s="113">
        <f t="shared" ca="1" si="15"/>
        <v>169809.28182564292</v>
      </c>
      <c r="M29" s="94"/>
      <c r="N29" s="28" t="s">
        <v>273</v>
      </c>
      <c r="O29" s="186">
        <f>_xlfn.IFNA(MATCH(N29,'Dist Factors'!$B$15:$B$431,0),0)</f>
        <v>14</v>
      </c>
      <c r="P29" s="22">
        <f ca="1">OFFSET('Dist Factors'!$B$15,$O29-1,P$14)*$L29+OFFSET('Dist Factors'!$B$15,$K29-1,P$14)*$H29</f>
        <v>0</v>
      </c>
      <c r="Q29" s="97"/>
      <c r="R29" s="22">
        <f ca="1">OFFSET('Dist Factors'!$B$15,$O29-1,R$14)*$L29+OFFSET('Dist Factors'!$B$15,$K29-1,R$14)*$H29</f>
        <v>0</v>
      </c>
      <c r="S29" s="22"/>
      <c r="T29" s="22">
        <f ca="1">OFFSET('Dist Factors'!$B$15,$O29-1,T$14)*$L29+OFFSET('Dist Factors'!$B$15,$K29-1,T$14)*$H29</f>
        <v>0</v>
      </c>
      <c r="U29" s="22"/>
      <c r="V29" s="22">
        <f ca="1">OFFSET('Dist Factors'!$B$15,$O29-1,V$14)*$L29+OFFSET('Dist Factors'!$B$15,$K29-1,V$14)*$H29</f>
        <v>0</v>
      </c>
      <c r="W29" s="100"/>
      <c r="X29" s="22">
        <f ca="1">OFFSET('Dist Factors'!$B$15,$O29-1,X$14)*$L29+OFFSET('Dist Factors'!$B$15,$K29-1,X$14)*$H29</f>
        <v>0</v>
      </c>
      <c r="Y29" s="100"/>
      <c r="Z29" s="22">
        <f ca="1">OFFSET('Dist Factors'!$B$15,$O29-1,Z$14)*$L29+OFFSET('Dist Factors'!$B$15,$K29-1,Z$14)*$H29</f>
        <v>0</v>
      </c>
      <c r="AA29" s="22"/>
      <c r="AB29" s="22">
        <f ca="1">OFFSET('Dist Factors'!$B$15,$O29-1,AB$14)*$L29+OFFSET('Dist Factors'!$B$15,$K29-1,AB$14)*$H29</f>
        <v>0</v>
      </c>
      <c r="AC29" s="100"/>
      <c r="AD29" s="22">
        <f ca="1">OFFSET('Dist Factors'!$B$15,$O29-1,AD$14)*$L29+OFFSET('Dist Factors'!$B$15,$K29-1,AD$14)*$H29</f>
        <v>169809.28182564292</v>
      </c>
      <c r="AE29" s="100"/>
      <c r="AF29" s="22">
        <f ca="1">OFFSET('Dist Factors'!$B$15,$O29-1,AF$14)*$L29+OFFSET('Dist Factors'!$B$15,$K29-1,AF$14)*$H29</f>
        <v>0</v>
      </c>
      <c r="AG29" s="100"/>
      <c r="AH29" s="22">
        <f ca="1">OFFSET('Dist Factors'!$B$15,$O29-1,AH$14)*$L29+OFFSET('Dist Factors'!$B$15,$K29-1,AH$14)*$H29</f>
        <v>0</v>
      </c>
      <c r="AI29" s="100"/>
      <c r="AJ29" s="100">
        <f t="shared" ca="1" si="1"/>
        <v>169809.28182564292</v>
      </c>
      <c r="AK29" s="97"/>
      <c r="AL29" s="35" t="str">
        <f t="shared" ca="1" si="12"/>
        <v/>
      </c>
      <c r="AM29" s="107"/>
      <c r="AO29" s="235">
        <v>5699.4060085048241</v>
      </c>
      <c r="AP29" s="73"/>
      <c r="AQ29" s="73"/>
      <c r="AR29" s="199">
        <f t="shared" ca="1" si="2"/>
        <v>0</v>
      </c>
      <c r="AS29" s="73"/>
      <c r="AT29" s="199">
        <f t="shared" ca="1" si="3"/>
        <v>0</v>
      </c>
      <c r="AU29" s="73"/>
      <c r="AV29" s="199">
        <f t="shared" ca="1" si="4"/>
        <v>0</v>
      </c>
      <c r="AW29" s="73"/>
      <c r="AX29" s="199">
        <f t="shared" ca="1" si="5"/>
        <v>0</v>
      </c>
      <c r="AY29" s="73"/>
      <c r="AZ29" s="199">
        <f t="shared" ca="1" si="6"/>
        <v>0</v>
      </c>
      <c r="BA29" s="73"/>
      <c r="BB29" s="199">
        <f t="shared" ca="1" si="7"/>
        <v>0</v>
      </c>
      <c r="BC29" s="73"/>
      <c r="BD29" s="199">
        <f t="shared" ca="1" si="8"/>
        <v>0</v>
      </c>
      <c r="BE29" s="73"/>
      <c r="BF29" s="199">
        <f t="shared" ca="1" si="9"/>
        <v>5699.4060085048241</v>
      </c>
      <c r="BG29" s="73"/>
      <c r="BH29" s="199">
        <f t="shared" ca="1" si="10"/>
        <v>0</v>
      </c>
      <c r="BI29" s="73"/>
      <c r="BJ29" s="199">
        <f t="shared" ca="1" si="11"/>
        <v>0</v>
      </c>
      <c r="BK29" s="73"/>
      <c r="BL29" s="199">
        <f t="shared" ca="1" si="13"/>
        <v>5699.4060085048241</v>
      </c>
      <c r="BM29" s="73"/>
    </row>
    <row r="30" spans="2:65" s="99" customFormat="1" ht="13" x14ac:dyDescent="0.3">
      <c r="B30" s="163">
        <f>B29+1</f>
        <v>13</v>
      </c>
      <c r="D30" s="99" t="s">
        <v>78</v>
      </c>
      <c r="F30" s="113">
        <f ca="1">Function!V30</f>
        <v>2499.8284116270188</v>
      </c>
      <c r="G30" s="94"/>
      <c r="H30" s="113"/>
      <c r="I30" s="94"/>
      <c r="J30" s="94"/>
      <c r="K30" s="91">
        <f>_xlfn.IFNA(MATCH(J30,'Dist Factors'!$B$15:$B$431,0),0)</f>
        <v>0</v>
      </c>
      <c r="L30" s="113">
        <f t="shared" ca="1" si="15"/>
        <v>2499.8284116270188</v>
      </c>
      <c r="M30" s="94"/>
      <c r="N30" s="106" t="s">
        <v>281</v>
      </c>
      <c r="O30" s="186">
        <f>_xlfn.IFNA(MATCH(N30,'Dist Factors'!$B$15:$B$431,0),0)</f>
        <v>32</v>
      </c>
      <c r="P30" s="22">
        <f ca="1">OFFSET('Dist Factors'!$B$15,$O30-1,P$14)*$L30+OFFSET('Dist Factors'!$B$15,$K30-1,P$14)*$H30</f>
        <v>1883.3252895578187</v>
      </c>
      <c r="Q30" s="97"/>
      <c r="R30" s="22">
        <f ca="1">OFFSET('Dist Factors'!$B$15,$O30-1,R$14)*$L30+OFFSET('Dist Factors'!$B$15,$K30-1,R$14)*$H30</f>
        <v>360.21338356691638</v>
      </c>
      <c r="S30" s="22"/>
      <c r="T30" s="22">
        <f ca="1">OFFSET('Dist Factors'!$B$15,$O30-1,T$14)*$L30+OFFSET('Dist Factors'!$B$15,$K30-1,T$14)*$H30</f>
        <v>256.28973850228374</v>
      </c>
      <c r="U30" s="22"/>
      <c r="V30" s="22">
        <f ca="1">OFFSET('Dist Factors'!$B$15,$O30-1,V$14)*$L30+OFFSET('Dist Factors'!$B$15,$K30-1,V$14)*$H30</f>
        <v>0</v>
      </c>
      <c r="W30" s="100"/>
      <c r="X30" s="22">
        <f ca="1">OFFSET('Dist Factors'!$B$15,$O30-1,X$14)*$L30+OFFSET('Dist Factors'!$B$15,$K30-1,X$14)*$H30</f>
        <v>0</v>
      </c>
      <c r="Y30" s="100"/>
      <c r="Z30" s="22">
        <f ca="1">OFFSET('Dist Factors'!$B$15,$O30-1,Z$14)*$L30+OFFSET('Dist Factors'!$B$15,$K30-1,Z$14)*$H30</f>
        <v>0</v>
      </c>
      <c r="AA30" s="22"/>
      <c r="AB30" s="22">
        <f ca="1">OFFSET('Dist Factors'!$B$15,$O30-1,AB$14)*$L30+OFFSET('Dist Factors'!$B$15,$K30-1,AB$14)*$H30</f>
        <v>0</v>
      </c>
      <c r="AC30" s="100"/>
      <c r="AD30" s="22">
        <f ca="1">OFFSET('Dist Factors'!$B$15,$O30-1,AD$14)*$L30+OFFSET('Dist Factors'!$B$15,$K30-1,AD$14)*$H30</f>
        <v>0</v>
      </c>
      <c r="AE30" s="100"/>
      <c r="AF30" s="22">
        <f ca="1">OFFSET('Dist Factors'!$B$15,$O30-1,AF$14)*$L30+OFFSET('Dist Factors'!$B$15,$K30-1,AF$14)*$H30</f>
        <v>0</v>
      </c>
      <c r="AG30" s="100"/>
      <c r="AH30" s="22">
        <f ca="1">OFFSET('Dist Factors'!$B$15,$O30-1,AH$14)*$L30+OFFSET('Dist Factors'!$B$15,$K30-1,AH$14)*$H30</f>
        <v>0</v>
      </c>
      <c r="AI30" s="100"/>
      <c r="AJ30" s="100">
        <f t="shared" ca="1" si="1"/>
        <v>2499.8284116270188</v>
      </c>
      <c r="AK30" s="97"/>
      <c r="AL30" s="35" t="str">
        <f t="shared" ca="1" si="12"/>
        <v/>
      </c>
      <c r="AM30" s="107"/>
      <c r="AO30" s="235">
        <v>0</v>
      </c>
      <c r="AP30" s="73"/>
      <c r="AQ30" s="73"/>
      <c r="AR30" s="199">
        <f t="shared" ca="1" si="2"/>
        <v>0</v>
      </c>
      <c r="AS30" s="73"/>
      <c r="AT30" s="199">
        <f t="shared" ca="1" si="3"/>
        <v>0</v>
      </c>
      <c r="AU30" s="73"/>
      <c r="AV30" s="199">
        <f t="shared" ca="1" si="4"/>
        <v>0</v>
      </c>
      <c r="AW30" s="73"/>
      <c r="AX30" s="199">
        <f t="shared" ca="1" si="5"/>
        <v>0</v>
      </c>
      <c r="AY30" s="73"/>
      <c r="AZ30" s="199">
        <f t="shared" ca="1" si="6"/>
        <v>0</v>
      </c>
      <c r="BA30" s="73"/>
      <c r="BB30" s="199">
        <f t="shared" ca="1" si="7"/>
        <v>0</v>
      </c>
      <c r="BC30" s="73"/>
      <c r="BD30" s="199">
        <f t="shared" ca="1" si="8"/>
        <v>0</v>
      </c>
      <c r="BE30" s="73"/>
      <c r="BF30" s="199">
        <f t="shared" ca="1" si="9"/>
        <v>0</v>
      </c>
      <c r="BG30" s="73"/>
      <c r="BH30" s="199">
        <f t="shared" ca="1" si="10"/>
        <v>0</v>
      </c>
      <c r="BI30" s="73"/>
      <c r="BJ30" s="199">
        <f t="shared" ca="1" si="11"/>
        <v>0</v>
      </c>
      <c r="BK30" s="73"/>
      <c r="BL30" s="199">
        <f t="shared" ca="1" si="13"/>
        <v>0</v>
      </c>
      <c r="BM30" s="73"/>
    </row>
    <row r="31" spans="2:65" s="99" customFormat="1" ht="13" x14ac:dyDescent="0.3">
      <c r="B31" s="163">
        <f t="shared" si="14"/>
        <v>14</v>
      </c>
      <c r="D31" s="99" t="s">
        <v>333</v>
      </c>
      <c r="F31" s="79">
        <f ca="1">SUM(F18:F30)</f>
        <v>18250584.204501633</v>
      </c>
      <c r="G31" s="94"/>
      <c r="H31" s="79">
        <f>SUM(H18:H30)</f>
        <v>278052.6277805157</v>
      </c>
      <c r="I31" s="94"/>
      <c r="J31" s="94"/>
      <c r="K31" s="94"/>
      <c r="L31" s="79">
        <f ca="1">SUM(L18:L30)</f>
        <v>17972531.576721117</v>
      </c>
      <c r="M31" s="94"/>
      <c r="N31" s="28"/>
      <c r="O31" s="187"/>
      <c r="P31" s="11">
        <f ca="1">SUM(P18:P30)</f>
        <v>2329585.1428181687</v>
      </c>
      <c r="Q31" s="12"/>
      <c r="R31" s="11">
        <f ca="1">SUM(R18:R30)</f>
        <v>445567.07821768388</v>
      </c>
      <c r="S31" s="13"/>
      <c r="T31" s="11">
        <f ca="1">SUM(T18:T30)</f>
        <v>4537420.5262005767</v>
      </c>
      <c r="U31" s="13"/>
      <c r="V31" s="11">
        <f ca="1">SUM(V18:V30)</f>
        <v>0</v>
      </c>
      <c r="W31" s="13"/>
      <c r="X31" s="11">
        <f ca="1">SUM(X18:X30)</f>
        <v>3213341.4784305058</v>
      </c>
      <c r="Y31" s="13"/>
      <c r="Z31" s="11">
        <f ca="1">SUM(Z18:Z30)</f>
        <v>5590139.7289811559</v>
      </c>
      <c r="AA31" s="13"/>
      <c r="AB31" s="11">
        <f ca="1">SUM(AB18:AB30)</f>
        <v>1655519.1336483383</v>
      </c>
      <c r="AC31" s="13"/>
      <c r="AD31" s="11">
        <f ca="1">SUM(AD18:AD30)</f>
        <v>479011.11620520125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18250584.204501629</v>
      </c>
      <c r="AK31" s="23"/>
      <c r="AL31" s="35" t="str">
        <f t="shared" ca="1" si="12"/>
        <v/>
      </c>
      <c r="AM31" s="107"/>
      <c r="AO31" s="204">
        <f>SUM(AO18:AO30)</f>
        <v>660084.74657633225</v>
      </c>
      <c r="AP31" s="73"/>
      <c r="AQ31" s="73"/>
      <c r="AR31" s="204">
        <f ca="1">SUM(AR18:AR30)</f>
        <v>71500.592140392255</v>
      </c>
      <c r="AS31" s="73"/>
      <c r="AT31" s="204">
        <f ca="1">SUM(AT18:AT30)</f>
        <v>13675.529322911509</v>
      </c>
      <c r="AU31" s="73"/>
      <c r="AV31" s="204">
        <f ca="1">SUM(AV18:AV30)</f>
        <v>139369.19544518142</v>
      </c>
      <c r="AW31" s="73"/>
      <c r="AX31" s="204">
        <f ca="1">SUM(AX18:AX30)</f>
        <v>0</v>
      </c>
      <c r="AY31" s="73"/>
      <c r="AZ31" s="204">
        <f ca="1">SUM(AZ18:AZ30)</f>
        <v>99131.303688005602</v>
      </c>
      <c r="BA31" s="73"/>
      <c r="BB31" s="204">
        <f ca="1">SUM(BB18:BB30)</f>
        <v>158270.5671030712</v>
      </c>
      <c r="BC31" s="73"/>
      <c r="BD31" s="204">
        <f ca="1">SUM(BD18:BD30)</f>
        <v>163104.39484024676</v>
      </c>
      <c r="BE31" s="73"/>
      <c r="BF31" s="204">
        <f ca="1">SUM(BF18:BF30)</f>
        <v>15033.16403652362</v>
      </c>
      <c r="BG31" s="73"/>
      <c r="BH31" s="204">
        <f ca="1">SUM(BH18:BH30)</f>
        <v>0</v>
      </c>
      <c r="BI31" s="73"/>
      <c r="BJ31" s="204">
        <f ca="1">SUM(BJ18:BJ30)</f>
        <v>0</v>
      </c>
      <c r="BK31" s="73"/>
      <c r="BL31" s="204">
        <f ca="1">SUM(BL18:BL30)</f>
        <v>660084.74657633225</v>
      </c>
      <c r="BM31" s="73"/>
    </row>
    <row r="32" spans="2:65" s="99" customFormat="1" ht="13" x14ac:dyDescent="0.3">
      <c r="B32" s="163"/>
      <c r="F32" s="94"/>
      <c r="G32" s="94"/>
      <c r="H32" s="94"/>
      <c r="I32" s="94"/>
      <c r="J32" s="94"/>
      <c r="K32" s="94"/>
      <c r="L32" s="94"/>
      <c r="M32" s="94"/>
      <c r="N32" s="28"/>
      <c r="O32" s="187"/>
      <c r="AJ32" s="8"/>
      <c r="AK32" s="97"/>
      <c r="AL32" s="35" t="str">
        <f t="shared" si="12"/>
        <v/>
      </c>
      <c r="AM32" s="107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</row>
    <row r="33" spans="2:65" s="99" customFormat="1" ht="13" x14ac:dyDescent="0.3">
      <c r="B33" s="163">
        <f>B31+1</f>
        <v>15</v>
      </c>
      <c r="D33" s="99" t="s">
        <v>221</v>
      </c>
      <c r="F33" s="113">
        <f ca="1">Function!V33</f>
        <v>956779.41419929417</v>
      </c>
      <c r="G33" s="94"/>
      <c r="H33" s="113"/>
      <c r="I33" s="94"/>
      <c r="J33" s="94"/>
      <c r="K33" s="91">
        <f>_xlfn.IFNA(MATCH(J33,'Dist Factors'!$B$15:$B$431,0),0)</f>
        <v>0</v>
      </c>
      <c r="L33" s="113">
        <f t="shared" ref="L33" ca="1" si="16">F33-H33</f>
        <v>956779.41419929417</v>
      </c>
      <c r="M33" s="94"/>
      <c r="N33" s="28" t="s">
        <v>144</v>
      </c>
      <c r="O33" s="186">
        <f>_xlfn.IFNA(MATCH(N33,'Dist Factors'!$B$15:$B$431,0),0)</f>
        <v>26</v>
      </c>
      <c r="P33" s="22">
        <f ca="1">OFFSET('Dist Factors'!$B$15,$O33-1,P$14)*$L33+OFFSET('Dist Factors'!$B$15,$K33-1,P$14)*$H33</f>
        <v>100941.23881831522</v>
      </c>
      <c r="Q33" s="97"/>
      <c r="R33" s="22">
        <f ca="1">OFFSET('Dist Factors'!$B$15,$O33-1,R$14)*$L33+OFFSET('Dist Factors'!$B$15,$K33-1,R$14)*$H33</f>
        <v>19306.481667178406</v>
      </c>
      <c r="S33" s="22"/>
      <c r="T33" s="22">
        <f ca="1">OFFSET('Dist Factors'!$B$15,$O33-1,T$14)*$L33+OFFSET('Dist Factors'!$B$15,$K33-1,T$14)*$H33</f>
        <v>196755.00328340818</v>
      </c>
      <c r="U33" s="22"/>
      <c r="V33" s="22">
        <f ca="1">OFFSET('Dist Factors'!$B$15,$O33-1,V$14)*$L33+OFFSET('Dist Factors'!$B$15,$K33-1,V$14)*$H33</f>
        <v>38274.040125767366</v>
      </c>
      <c r="W33" s="100"/>
      <c r="X33" s="22">
        <f ca="1">OFFSET('Dist Factors'!$B$15,$O33-1,X$14)*$L33+OFFSET('Dist Factors'!$B$15,$K33-1,X$14)*$H33</f>
        <v>137093.67640374578</v>
      </c>
      <c r="Y33" s="100"/>
      <c r="Z33" s="22">
        <f ca="1">OFFSET('Dist Factors'!$B$15,$O33-1,Z$14)*$L33+OFFSET('Dist Factors'!$B$15,$K33-1,Z$14)*$H33</f>
        <v>230147.84051104318</v>
      </c>
      <c r="AA33" s="22"/>
      <c r="AB33" s="22">
        <f ca="1">OFFSET('Dist Factors'!$B$15,$O33-1,AB$14)*$L33+OFFSET('Dist Factors'!$B$15,$K33-1,AB$14)*$H33</f>
        <v>81222.555189920065</v>
      </c>
      <c r="AC33" s="100"/>
      <c r="AD33" s="22">
        <f ca="1">OFFSET('Dist Factors'!$B$15,$O33-1,AD$14)*$L33+OFFSET('Dist Factors'!$B$15,$K33-1,AD$14)*$H33</f>
        <v>22366.998631981165</v>
      </c>
      <c r="AE33" s="100"/>
      <c r="AF33" s="22">
        <f ca="1">OFFSET('Dist Factors'!$B$15,$O33-1,AF$14)*$L33+OFFSET('Dist Factors'!$B$15,$K33-1,AF$14)*$H33</f>
        <v>130671.57956793498</v>
      </c>
      <c r="AG33" s="100"/>
      <c r="AH33" s="22">
        <f ca="1">OFFSET('Dist Factors'!$B$15,$O33-1,AH$14)*$L33+OFFSET('Dist Factors'!$B$15,$K33-1,AH$14)*$H33</f>
        <v>0</v>
      </c>
      <c r="AI33" s="100"/>
      <c r="AJ33" s="100">
        <f ca="1">SUM(P33:AI33)</f>
        <v>956779.41419929441</v>
      </c>
      <c r="AK33" s="97"/>
      <c r="AL33" s="35" t="str">
        <f t="shared" ca="1" si="12"/>
        <v/>
      </c>
      <c r="AM33" s="107"/>
      <c r="AN33" s="97"/>
      <c r="AO33" s="94"/>
      <c r="AP33" s="94"/>
      <c r="AQ33" s="94"/>
      <c r="AR33" s="94"/>
      <c r="AS33" s="94"/>
      <c r="AT33" s="94"/>
      <c r="AU33" s="73"/>
      <c r="AV33" s="94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</row>
    <row r="34" spans="2:65" s="99" customFormat="1" ht="13" x14ac:dyDescent="0.3">
      <c r="B34" s="163"/>
      <c r="F34" s="94"/>
      <c r="G34" s="94"/>
      <c r="H34" s="94"/>
      <c r="I34" s="94"/>
      <c r="J34" s="94"/>
      <c r="K34" s="94"/>
      <c r="L34" s="94"/>
      <c r="M34" s="94"/>
      <c r="N34" s="28"/>
      <c r="O34" s="187"/>
      <c r="AJ34" s="8"/>
      <c r="AK34" s="97"/>
      <c r="AL34" s="35" t="str">
        <f t="shared" si="12"/>
        <v/>
      </c>
      <c r="AM34" s="107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</row>
    <row r="35" spans="2:65" s="99" customFormat="1" ht="13" x14ac:dyDescent="0.3">
      <c r="B35" s="163">
        <f>B33+1</f>
        <v>16</v>
      </c>
      <c r="D35" s="99" t="s">
        <v>475</v>
      </c>
      <c r="F35" s="79">
        <f ca="1">F31+F33</f>
        <v>19207363.618700925</v>
      </c>
      <c r="G35" s="94"/>
      <c r="H35" s="79">
        <f>H31+H33</f>
        <v>278052.6277805157</v>
      </c>
      <c r="I35" s="94"/>
      <c r="J35" s="94"/>
      <c r="K35" s="94"/>
      <c r="L35" s="79">
        <f ca="1">L31+L33</f>
        <v>18929310.99092041</v>
      </c>
      <c r="M35" s="94"/>
      <c r="N35" s="28"/>
      <c r="O35" s="187"/>
      <c r="P35" s="10">
        <f ca="1">P31+P33</f>
        <v>2430526.3816364841</v>
      </c>
      <c r="Q35" s="14"/>
      <c r="R35" s="10">
        <f ca="1">R31+R33</f>
        <v>464873.55988486228</v>
      </c>
      <c r="S35" s="8"/>
      <c r="T35" s="10">
        <f ca="1">T31+T33</f>
        <v>4734175.5294839852</v>
      </c>
      <c r="U35" s="8"/>
      <c r="V35" s="10">
        <f ca="1">V31+V33</f>
        <v>38274.040125767366</v>
      </c>
      <c r="W35" s="8"/>
      <c r="X35" s="10">
        <f ca="1">X31+X33</f>
        <v>3350435.1548342519</v>
      </c>
      <c r="Y35" s="8"/>
      <c r="Z35" s="10">
        <f ca="1">Z31+Z33</f>
        <v>5820287.5694921995</v>
      </c>
      <c r="AA35" s="8"/>
      <c r="AB35" s="10">
        <f ca="1">AB31+AB33</f>
        <v>1736741.6888382584</v>
      </c>
      <c r="AC35" s="8"/>
      <c r="AD35" s="10">
        <f ca="1">AD31+AD33</f>
        <v>501378.11483718239</v>
      </c>
      <c r="AE35" s="8"/>
      <c r="AF35" s="10">
        <f ca="1">AF31+AF33</f>
        <v>130671.57956793498</v>
      </c>
      <c r="AG35" s="8"/>
      <c r="AH35" s="10">
        <f ca="1">AH31+AH33</f>
        <v>0</v>
      </c>
      <c r="AI35" s="8"/>
      <c r="AJ35" s="10">
        <f ca="1">AJ31+AJ33</f>
        <v>19207363.618700922</v>
      </c>
      <c r="AK35" s="97"/>
      <c r="AL35" s="35" t="str">
        <f t="shared" ca="1" si="12"/>
        <v/>
      </c>
      <c r="AM35" s="107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</row>
    <row r="36" spans="2:65" s="99" customFormat="1" ht="13" x14ac:dyDescent="0.3">
      <c r="B36" s="163"/>
      <c r="D36" s="6"/>
      <c r="E36" s="6"/>
      <c r="F36" s="219"/>
      <c r="G36" s="94"/>
      <c r="H36" s="219"/>
      <c r="I36" s="94"/>
      <c r="J36" s="94"/>
      <c r="K36" s="94"/>
      <c r="L36" s="219"/>
      <c r="M36" s="94"/>
      <c r="N36" s="28"/>
      <c r="O36" s="187"/>
      <c r="AK36" s="97"/>
      <c r="AL36" s="35" t="str">
        <f t="shared" si="12"/>
        <v/>
      </c>
      <c r="AM36" s="107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</row>
    <row r="37" spans="2:65" s="99" customFormat="1" ht="13" x14ac:dyDescent="0.3">
      <c r="B37" s="163"/>
      <c r="F37" s="94"/>
      <c r="G37" s="94"/>
      <c r="H37" s="94"/>
      <c r="I37" s="94"/>
      <c r="J37" s="94"/>
      <c r="K37" s="94"/>
      <c r="L37" s="94"/>
      <c r="M37" s="94"/>
      <c r="N37" s="28"/>
      <c r="O37" s="187"/>
      <c r="AK37" s="97"/>
      <c r="AL37" s="35" t="str">
        <f t="shared" si="12"/>
        <v/>
      </c>
      <c r="AM37" s="107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73"/>
    </row>
    <row r="38" spans="2:65" s="99" customFormat="1" ht="13" x14ac:dyDescent="0.3">
      <c r="B38" s="163"/>
      <c r="D38" s="6" t="s">
        <v>330</v>
      </c>
      <c r="E38" s="7"/>
      <c r="F38" s="220"/>
      <c r="G38" s="94"/>
      <c r="H38" s="94"/>
      <c r="I38" s="94"/>
      <c r="J38" s="94"/>
      <c r="K38" s="94"/>
      <c r="L38" s="94"/>
      <c r="M38" s="94"/>
      <c r="N38" s="106"/>
      <c r="O38" s="187"/>
      <c r="AK38" s="97"/>
      <c r="AL38" s="37"/>
      <c r="AM38" s="97"/>
      <c r="AO38" s="170"/>
      <c r="AP38" s="170"/>
      <c r="AQ38" s="170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170"/>
      <c r="BL38" s="42"/>
      <c r="BM38" s="73"/>
    </row>
    <row r="39" spans="2:65" s="99" customFormat="1" ht="13" x14ac:dyDescent="0.3">
      <c r="B39" s="163"/>
      <c r="F39" s="94"/>
      <c r="G39" s="94"/>
      <c r="H39" s="94"/>
      <c r="I39" s="94"/>
      <c r="J39" s="94"/>
      <c r="K39" s="94"/>
      <c r="L39" s="94"/>
      <c r="M39" s="94"/>
      <c r="N39" s="106"/>
      <c r="O39" s="187"/>
      <c r="AK39" s="97"/>
      <c r="AL39" s="35" t="str">
        <f t="shared" ref="AL39" si="17">IF(ROUND(L39,4)=ROUND(AJ39,4), "", "check")</f>
        <v/>
      </c>
      <c r="AM39" s="107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73"/>
    </row>
    <row r="40" spans="2:65" s="99" customFormat="1" ht="13" x14ac:dyDescent="0.3">
      <c r="B40" s="163">
        <f>B35+1</f>
        <v>17</v>
      </c>
      <c r="D40" s="99" t="s">
        <v>77</v>
      </c>
      <c r="F40" s="113">
        <f ca="1">Function!V40</f>
        <v>0</v>
      </c>
      <c r="G40" s="94"/>
      <c r="H40" s="113"/>
      <c r="I40" s="94"/>
      <c r="J40" s="91"/>
      <c r="K40" s="91">
        <f>_xlfn.IFNA(MATCH(J40,'Dist Factors'!$B$15:$B$431,0),0)</f>
        <v>0</v>
      </c>
      <c r="L40" s="113">
        <f ca="1">F40-H40</f>
        <v>0</v>
      </c>
      <c r="M40" s="94"/>
      <c r="N40" s="106" t="s">
        <v>81</v>
      </c>
      <c r="O40" s="186">
        <f>_xlfn.IFNA(MATCH(N40,'Dist Factors'!$B$15:$B$431,0),0)</f>
        <v>35</v>
      </c>
      <c r="P40" s="22">
        <f ca="1">OFFSET('Dist Factors'!$B$15,$O40-1,P$14)*$L40+OFFSET('Dist Factors'!$B$15,$K40-1,P$14)*$H40</f>
        <v>0</v>
      </c>
      <c r="Q40" s="97"/>
      <c r="R40" s="22">
        <f ca="1">OFFSET('Dist Factors'!$B$15,$O40-1,R$14)*$L40+OFFSET('Dist Factors'!$B$15,$K40-1,R$14)*$H40</f>
        <v>0</v>
      </c>
      <c r="S40" s="22"/>
      <c r="T40" s="22">
        <f ca="1">OFFSET('Dist Factors'!$B$15,$O40-1,T$14)*$L40+OFFSET('Dist Factors'!$B$15,$K40-1,T$14)*$H40</f>
        <v>0</v>
      </c>
      <c r="U40" s="22"/>
      <c r="V40" s="22">
        <f ca="1">OFFSET('Dist Factors'!$B$15,$O40-1,V$14)*$L40+OFFSET('Dist Factors'!$B$15,$K40-1,V$14)*$H40</f>
        <v>0</v>
      </c>
      <c r="X40" s="22">
        <f ca="1">OFFSET('Dist Factors'!$B$15,$O40-1,X$14)*$L40+OFFSET('Dist Factors'!$B$15,$K40-1,X$14)*$H40</f>
        <v>0</v>
      </c>
      <c r="Y40" s="100"/>
      <c r="Z40" s="22">
        <f ca="1">OFFSET('Dist Factors'!$B$15,$O40-1,Z$14)*$L40+OFFSET('Dist Factors'!$B$15,$K40-1,Z$14)*$H40</f>
        <v>0</v>
      </c>
      <c r="AA40" s="22"/>
      <c r="AB40" s="22">
        <f ca="1">OFFSET('Dist Factors'!$B$15,$O40-1,AB$14)*$L40+OFFSET('Dist Factors'!$B$15,$K40-1,AB$14)*$H40</f>
        <v>0</v>
      </c>
      <c r="AC40" s="100"/>
      <c r="AD40" s="22">
        <f ca="1">OFFSET('Dist Factors'!$B$15,$O40-1,AD$14)*$L40+OFFSET('Dist Factors'!$B$15,$K40-1,AD$14)*$H40</f>
        <v>0</v>
      </c>
      <c r="AE40" s="100"/>
      <c r="AF40" s="22">
        <f ca="1">OFFSET('Dist Factors'!$B$15,$O40-1,AF$14)*$L40+OFFSET('Dist Factors'!$B$15,$K40-1,AF$14)*$H40</f>
        <v>0</v>
      </c>
      <c r="AG40" s="100"/>
      <c r="AH40" s="22">
        <f ca="1">OFFSET('Dist Factors'!$B$15,$O40-1,AH$14)*$L40+OFFSET('Dist Factors'!$B$15,$K40-1,AH$14)*$H40</f>
        <v>0</v>
      </c>
      <c r="AI40" s="100"/>
      <c r="AJ40" s="100">
        <f t="shared" ref="AJ40:AJ53" ca="1" si="18">SUM(P40:AI40)</f>
        <v>0</v>
      </c>
      <c r="AK40" s="97"/>
      <c r="AL40" s="35" t="str">
        <f ca="1">IF(ROUND(F40,4)=ROUND(AJ40,4), "", "check")</f>
        <v/>
      </c>
      <c r="AM40" s="107"/>
      <c r="AO40" s="66"/>
      <c r="AP40" s="170"/>
      <c r="AQ40" s="170"/>
      <c r="AR40" s="105"/>
      <c r="AS40" s="170"/>
      <c r="AT40" s="105"/>
      <c r="AU40" s="170"/>
      <c r="AV40" s="105"/>
      <c r="AW40" s="170"/>
      <c r="AX40" s="105"/>
      <c r="AY40" s="170"/>
      <c r="AZ40" s="105"/>
      <c r="BA40" s="170"/>
      <c r="BB40" s="105"/>
      <c r="BC40" s="170"/>
      <c r="BD40" s="105"/>
      <c r="BE40" s="170"/>
      <c r="BF40" s="105"/>
      <c r="BG40" s="170"/>
      <c r="BH40" s="105"/>
      <c r="BI40" s="170"/>
      <c r="BJ40" s="105"/>
      <c r="BK40" s="170"/>
      <c r="BL40" s="105"/>
      <c r="BM40" s="73"/>
    </row>
    <row r="41" spans="2:65" s="99" customFormat="1" ht="13" x14ac:dyDescent="0.3">
      <c r="B41" s="163">
        <f>B40+1</f>
        <v>18</v>
      </c>
      <c r="D41" s="99" t="s">
        <v>76</v>
      </c>
      <c r="F41" s="113">
        <f ca="1">Function!V41</f>
        <v>-22818.548175190463</v>
      </c>
      <c r="G41" s="94"/>
      <c r="H41" s="113"/>
      <c r="I41" s="94"/>
      <c r="J41" s="91"/>
      <c r="K41" s="91">
        <f>_xlfn.IFNA(MATCH(J41,'Dist Factors'!$B$15:$B$431,0),0)</f>
        <v>0</v>
      </c>
      <c r="L41" s="113">
        <f ca="1">F41-H41</f>
        <v>-22818.548175190463</v>
      </c>
      <c r="M41" s="94"/>
      <c r="N41" s="106" t="s">
        <v>81</v>
      </c>
      <c r="O41" s="186">
        <f>_xlfn.IFNA(MATCH(N41,'Dist Factors'!$B$15:$B$431,0),0)</f>
        <v>35</v>
      </c>
      <c r="P41" s="22">
        <f ca="1">OFFSET('Dist Factors'!$B$15,$O41-1,P$14)*$L41+OFFSET('Dist Factors'!$B$15,$K41-1,P$14)*$H41</f>
        <v>-5047.294923082025</v>
      </c>
      <c r="Q41" s="97"/>
      <c r="R41" s="22">
        <f ca="1">OFFSET('Dist Factors'!$B$15,$O41-1,R$14)*$L41+OFFSET('Dist Factors'!$B$15,$K41-1,R$14)*$H41</f>
        <v>-965.36864459052811</v>
      </c>
      <c r="S41" s="22"/>
      <c r="T41" s="22">
        <f ca="1">OFFSET('Dist Factors'!$B$15,$O41-1,T$14)*$L41+OFFSET('Dist Factors'!$B$15,$K41-1,T$14)*$H41</f>
        <v>-9838.2042937949809</v>
      </c>
      <c r="U41" s="22"/>
      <c r="V41" s="22">
        <f ca="1">OFFSET('Dist Factors'!$B$15,$O41-1,V$14)*$L41+OFFSET('Dist Factors'!$B$15,$K41-1,V$14)*$H41</f>
        <v>0</v>
      </c>
      <c r="X41" s="22">
        <f ca="1">OFFSET('Dist Factors'!$B$15,$O41-1,X$14)*$L41+OFFSET('Dist Factors'!$B$15,$K41-1,X$14)*$H41</f>
        <v>-6967.6803137229272</v>
      </c>
      <c r="Y41" s="100"/>
      <c r="Z41" s="22">
        <f ca="1">OFFSET('Dist Factors'!$B$15,$O41-1,Z$14)*$L41+OFFSET('Dist Factors'!$B$15,$K41-1,Z$14)*$H41</f>
        <v>0</v>
      </c>
      <c r="AA41" s="22"/>
      <c r="AB41" s="22">
        <f ca="1">OFFSET('Dist Factors'!$B$15,$O41-1,AB$14)*$L41+OFFSET('Dist Factors'!$B$15,$K41-1,AB$14)*$H41</f>
        <v>0</v>
      </c>
      <c r="AC41" s="100"/>
      <c r="AD41" s="22">
        <f ca="1">OFFSET('Dist Factors'!$B$15,$O41-1,AD$14)*$L41+OFFSET('Dist Factors'!$B$15,$K41-1,AD$14)*$H41</f>
        <v>0</v>
      </c>
      <c r="AE41" s="100"/>
      <c r="AF41" s="22">
        <f ca="1">OFFSET('Dist Factors'!$B$15,$O41-1,AF$14)*$L41+OFFSET('Dist Factors'!$B$15,$K41-1,AF$14)*$H41</f>
        <v>0</v>
      </c>
      <c r="AG41" s="100"/>
      <c r="AH41" s="22">
        <f ca="1">OFFSET('Dist Factors'!$B$15,$O41-1,AH$14)*$L41+OFFSET('Dist Factors'!$B$15,$K41-1,AH$14)*$H41</f>
        <v>0</v>
      </c>
      <c r="AI41" s="100"/>
      <c r="AJ41" s="100">
        <f t="shared" ca="1" si="18"/>
        <v>-22818.548175190459</v>
      </c>
      <c r="AK41" s="97"/>
      <c r="AL41" s="35" t="str">
        <f t="shared" ref="AL41:AL59" ca="1" si="19">IF(ROUND(F41,4)=ROUND(AJ41,4), "", "check")</f>
        <v/>
      </c>
      <c r="AM41" s="107"/>
      <c r="AO41" s="66"/>
      <c r="AP41" s="170"/>
      <c r="AQ41" s="170"/>
      <c r="AR41" s="105"/>
      <c r="AS41" s="170"/>
      <c r="AT41" s="105"/>
      <c r="AU41" s="170"/>
      <c r="AV41" s="105"/>
      <c r="AW41" s="170"/>
      <c r="AX41" s="105"/>
      <c r="AY41" s="170"/>
      <c r="AZ41" s="105"/>
      <c r="BA41" s="170"/>
      <c r="BB41" s="105"/>
      <c r="BC41" s="170"/>
      <c r="BD41" s="105"/>
      <c r="BE41" s="170"/>
      <c r="BF41" s="105"/>
      <c r="BG41" s="170"/>
      <c r="BH41" s="105"/>
      <c r="BI41" s="170"/>
      <c r="BJ41" s="105"/>
      <c r="BK41" s="170"/>
      <c r="BL41" s="105"/>
      <c r="BM41" s="73"/>
    </row>
    <row r="42" spans="2:65" s="99" customFormat="1" ht="13" x14ac:dyDescent="0.3">
      <c r="B42" s="163">
        <f t="shared" ref="B42:B53" si="20">B41+1</f>
        <v>19</v>
      </c>
      <c r="D42" s="99" t="s">
        <v>19</v>
      </c>
      <c r="F42" s="113">
        <f ca="1">Function!V42</f>
        <v>-106009.41304075658</v>
      </c>
      <c r="G42" s="94"/>
      <c r="H42" s="113"/>
      <c r="I42" s="94"/>
      <c r="J42" s="91"/>
      <c r="K42" s="91">
        <f>_xlfn.IFNA(MATCH(J42,'Dist Factors'!$B$15:$B$431,0),0)</f>
        <v>0</v>
      </c>
      <c r="L42" s="113">
        <f t="shared" ref="L42:L52" ca="1" si="21">F42-H42</f>
        <v>-106009.41304075658</v>
      </c>
      <c r="M42" s="94"/>
      <c r="N42" s="28" t="s">
        <v>81</v>
      </c>
      <c r="O42" s="186">
        <f>_xlfn.IFNA(MATCH(N42,'Dist Factors'!$B$15:$B$431,0),0)</f>
        <v>35</v>
      </c>
      <c r="P42" s="22">
        <f ca="1">OFFSET('Dist Factors'!$B$15,$O42-1,P$14)*$L42+OFFSET('Dist Factors'!$B$15,$K42-1,P$14)*$H42</f>
        <v>-23448.501987574415</v>
      </c>
      <c r="Q42" s="97"/>
      <c r="R42" s="22">
        <f ca="1">OFFSET('Dist Factors'!$B$15,$O42-1,R$14)*$L42+OFFSET('Dist Factors'!$B$15,$K42-1,R$14)*$H42</f>
        <v>-4484.8674243114256</v>
      </c>
      <c r="S42" s="22"/>
      <c r="T42" s="22">
        <f ca="1">OFFSET('Dist Factors'!$B$15,$O42-1,T$14)*$L42+OFFSET('Dist Factors'!$B$15,$K42-1,T$14)*$H42</f>
        <v>-45705.899190124605</v>
      </c>
      <c r="U42" s="22"/>
      <c r="V42" s="22">
        <f ca="1">OFFSET('Dist Factors'!$B$15,$O42-1,V$14)*$L42+OFFSET('Dist Factors'!$B$15,$K42-1,V$14)*$H42</f>
        <v>0</v>
      </c>
      <c r="W42" s="100"/>
      <c r="X42" s="22">
        <f ca="1">OFFSET('Dist Factors'!$B$15,$O42-1,X$14)*$L42+OFFSET('Dist Factors'!$B$15,$K42-1,X$14)*$H42</f>
        <v>-32370.144438746127</v>
      </c>
      <c r="Y42" s="100"/>
      <c r="Z42" s="22">
        <f ca="1">OFFSET('Dist Factors'!$B$15,$O42-1,Z$14)*$L42+OFFSET('Dist Factors'!$B$15,$K42-1,Z$14)*$H42</f>
        <v>0</v>
      </c>
      <c r="AA42" s="22"/>
      <c r="AB42" s="22">
        <f ca="1">OFFSET('Dist Factors'!$B$15,$O42-1,AB$14)*$L42+OFFSET('Dist Factors'!$B$15,$K42-1,AB$14)*$H42</f>
        <v>0</v>
      </c>
      <c r="AC42" s="100"/>
      <c r="AD42" s="22">
        <f ca="1">OFFSET('Dist Factors'!$B$15,$O42-1,AD$14)*$L42+OFFSET('Dist Factors'!$B$15,$K42-1,AD$14)*$H42</f>
        <v>0</v>
      </c>
      <c r="AE42" s="100"/>
      <c r="AF42" s="22">
        <f ca="1">OFFSET('Dist Factors'!$B$15,$O42-1,AF$14)*$L42+OFFSET('Dist Factors'!$B$15,$K42-1,AF$14)*$H42</f>
        <v>0</v>
      </c>
      <c r="AG42" s="100"/>
      <c r="AH42" s="22">
        <f ca="1">OFFSET('Dist Factors'!$B$15,$O42-1,AH$14)*$L42+OFFSET('Dist Factors'!$B$15,$K42-1,AH$14)*$H42</f>
        <v>0</v>
      </c>
      <c r="AI42" s="100"/>
      <c r="AJ42" s="100">
        <f t="shared" ca="1" si="18"/>
        <v>-106009.41304075657</v>
      </c>
      <c r="AK42" s="97"/>
      <c r="AL42" s="35" t="str">
        <f t="shared" ca="1" si="19"/>
        <v/>
      </c>
      <c r="AM42" s="107"/>
      <c r="AO42" s="66"/>
      <c r="AP42" s="170"/>
      <c r="AQ42" s="170"/>
      <c r="AR42" s="105"/>
      <c r="AS42" s="170"/>
      <c r="AT42" s="105"/>
      <c r="AU42" s="170"/>
      <c r="AV42" s="105"/>
      <c r="AW42" s="170"/>
      <c r="AX42" s="105"/>
      <c r="AY42" s="170"/>
      <c r="AZ42" s="105"/>
      <c r="BA42" s="170"/>
      <c r="BB42" s="105"/>
      <c r="BC42" s="170"/>
      <c r="BD42" s="105"/>
      <c r="BE42" s="170"/>
      <c r="BF42" s="105"/>
      <c r="BG42" s="170"/>
      <c r="BH42" s="105"/>
      <c r="BI42" s="170"/>
      <c r="BJ42" s="105"/>
      <c r="BK42" s="170"/>
      <c r="BL42" s="105"/>
      <c r="BM42" s="73"/>
    </row>
    <row r="43" spans="2:65" s="99" customFormat="1" ht="13" x14ac:dyDescent="0.3">
      <c r="B43" s="163">
        <f t="shared" si="20"/>
        <v>20</v>
      </c>
      <c r="D43" s="99" t="s">
        <v>21</v>
      </c>
      <c r="F43" s="113">
        <f ca="1">Function!V43</f>
        <v>-503571.85964557203</v>
      </c>
      <c r="G43" s="94"/>
      <c r="H43" s="113">
        <v>-94806.99793514605</v>
      </c>
      <c r="I43" s="94"/>
      <c r="J43" s="91" t="s">
        <v>273</v>
      </c>
      <c r="K43" s="91">
        <f>_xlfn.IFNA(MATCH(J43,'Dist Factors'!$B$15:$B$431,0),0)</f>
        <v>14</v>
      </c>
      <c r="L43" s="113">
        <f t="shared" ca="1" si="21"/>
        <v>-408764.86171042599</v>
      </c>
      <c r="M43" s="94"/>
      <c r="N43" s="28" t="s">
        <v>80</v>
      </c>
      <c r="O43" s="186">
        <f>_xlfn.IFNA(MATCH(N43,'Dist Factors'!$B$15:$B$431,0),0)</f>
        <v>53</v>
      </c>
      <c r="P43" s="22">
        <f ca="1">OFFSET('Dist Factors'!$B$15,$O43-1,P$14)*$L43+OFFSET('Dist Factors'!$B$15,$K43-1,P$14)*$H43</f>
        <v>-130160.4952660519</v>
      </c>
      <c r="Q43" s="97"/>
      <c r="R43" s="22">
        <f ca="1">OFFSET('Dist Factors'!$B$15,$O43-1,R$14)*$L43+OFFSET('Dist Factors'!$B$15,$K43-1,R$14)*$H43</f>
        <v>-24895.089906395453</v>
      </c>
      <c r="S43" s="22"/>
      <c r="T43" s="22">
        <f ca="1">OFFSET('Dist Factors'!$B$15,$O43-1,T$14)*$L43+OFFSET('Dist Factors'!$B$15,$K43-1,T$14)*$H43</f>
        <v>-253709.27653797864</v>
      </c>
      <c r="U43" s="22"/>
      <c r="V43" s="22">
        <f ca="1">OFFSET('Dist Factors'!$B$15,$O43-1,V$14)*$L43+OFFSET('Dist Factors'!$B$15,$K43-1,V$14)*$H43</f>
        <v>0</v>
      </c>
      <c r="W43" s="100"/>
      <c r="X43" s="22">
        <f ca="1">OFFSET('Dist Factors'!$B$15,$O43-1,X$14)*$L43+OFFSET('Dist Factors'!$B$15,$K43-1,X$14)*$H43</f>
        <v>0</v>
      </c>
      <c r="Y43" s="100"/>
      <c r="Z43" s="22">
        <f ca="1">OFFSET('Dist Factors'!$B$15,$O43-1,Z$14)*$L43+OFFSET('Dist Factors'!$B$15,$K43-1,Z$14)*$H43</f>
        <v>0</v>
      </c>
      <c r="AA43" s="22"/>
      <c r="AB43" s="22">
        <f ca="1">OFFSET('Dist Factors'!$B$15,$O43-1,AB$14)*$L43+OFFSET('Dist Factors'!$B$15,$K43-1,AB$14)*$H43</f>
        <v>0</v>
      </c>
      <c r="AC43" s="100"/>
      <c r="AD43" s="22">
        <f ca="1">OFFSET('Dist Factors'!$B$15,$O43-1,AD$14)*$L43+OFFSET('Dist Factors'!$B$15,$K43-1,AD$14)*$H43</f>
        <v>-94806.99793514605</v>
      </c>
      <c r="AE43" s="100"/>
      <c r="AF43" s="22">
        <f ca="1">OFFSET('Dist Factors'!$B$15,$O43-1,AF$14)*$L43+OFFSET('Dist Factors'!$B$15,$K43-1,AF$14)*$H43</f>
        <v>0</v>
      </c>
      <c r="AG43" s="100"/>
      <c r="AH43" s="22">
        <f ca="1">OFFSET('Dist Factors'!$B$15,$O43-1,AH$14)*$L43+OFFSET('Dist Factors'!$B$15,$K43-1,AH$14)*$H43</f>
        <v>0</v>
      </c>
      <c r="AI43" s="100"/>
      <c r="AJ43" s="100">
        <f t="shared" ca="1" si="18"/>
        <v>-503571.85964557203</v>
      </c>
      <c r="AK43" s="97"/>
      <c r="AL43" s="35" t="str">
        <f t="shared" ca="1" si="19"/>
        <v/>
      </c>
      <c r="AM43" s="107"/>
      <c r="AO43" s="66"/>
      <c r="AP43" s="170"/>
      <c r="AQ43" s="170"/>
      <c r="AR43" s="105"/>
      <c r="AS43" s="170"/>
      <c r="AT43" s="105"/>
      <c r="AU43" s="170"/>
      <c r="AV43" s="105"/>
      <c r="AW43" s="170"/>
      <c r="AX43" s="105"/>
      <c r="AY43" s="170"/>
      <c r="AZ43" s="105"/>
      <c r="BA43" s="170"/>
      <c r="BB43" s="105"/>
      <c r="BC43" s="170"/>
      <c r="BD43" s="105"/>
      <c r="BE43" s="170"/>
      <c r="BF43" s="105"/>
      <c r="BG43" s="170"/>
      <c r="BH43" s="105"/>
      <c r="BI43" s="170"/>
      <c r="BJ43" s="105"/>
      <c r="BK43" s="170"/>
      <c r="BL43" s="105"/>
      <c r="BM43" s="73"/>
    </row>
    <row r="44" spans="2:65" s="99" customFormat="1" ht="13" x14ac:dyDescent="0.3">
      <c r="B44" s="163">
        <f t="shared" si="20"/>
        <v>21</v>
      </c>
      <c r="D44" s="99" t="s">
        <v>23</v>
      </c>
      <c r="F44" s="113">
        <f ca="1">Function!V44</f>
        <v>-3190183.7078844584</v>
      </c>
      <c r="G44" s="94"/>
      <c r="H44" s="113"/>
      <c r="I44" s="94"/>
      <c r="J44" s="91"/>
      <c r="K44" s="91">
        <f>_xlfn.IFNA(MATCH(J44,'Dist Factors'!$B$15:$B$431,0),0)</f>
        <v>0</v>
      </c>
      <c r="L44" s="113">
        <f t="shared" ca="1" si="21"/>
        <v>-3190183.7078844584</v>
      </c>
      <c r="M44" s="94"/>
      <c r="N44" s="28" t="s">
        <v>79</v>
      </c>
      <c r="O44" s="186">
        <f>_xlfn.IFNA(MATCH(N44,'Dist Factors'!$B$15:$B$431,0),0)</f>
        <v>62</v>
      </c>
      <c r="P44" s="22">
        <f ca="1">OFFSET('Dist Factors'!$B$15,$O44-1,P$14)*$L44+OFFSET('Dist Factors'!$B$15,$K44-1,P$14)*$H44</f>
        <v>-665594.31656416471</v>
      </c>
      <c r="Q44" s="97"/>
      <c r="R44" s="22">
        <f ca="1">OFFSET('Dist Factors'!$B$15,$O44-1,R$14)*$L44+OFFSET('Dist Factors'!$B$15,$K44-1,R$14)*$H44</f>
        <v>-127304.60435158215</v>
      </c>
      <c r="S44" s="22"/>
      <c r="T44" s="22">
        <f ca="1">OFFSET('Dist Factors'!$B$15,$O44-1,T$14)*$L44+OFFSET('Dist Factors'!$B$15,$K44-1,T$14)*$H44</f>
        <v>-1297378.687581931</v>
      </c>
      <c r="U44" s="22"/>
      <c r="V44" s="22">
        <f ca="1">OFFSET('Dist Factors'!$B$15,$O44-1,V$14)*$L44+OFFSET('Dist Factors'!$B$15,$K44-1,V$14)*$H44</f>
        <v>0</v>
      </c>
      <c r="W44" s="100"/>
      <c r="X44" s="22">
        <f ca="1">OFFSET('Dist Factors'!$B$15,$O44-1,X$14)*$L44+OFFSET('Dist Factors'!$B$15,$K44-1,X$14)*$H44</f>
        <v>-1099906.0993867803</v>
      </c>
      <c r="Y44" s="100"/>
      <c r="Z44" s="22">
        <f ca="1">OFFSET('Dist Factors'!$B$15,$O44-1,Z$14)*$L44+OFFSET('Dist Factors'!$B$15,$K44-1,Z$14)*$H44</f>
        <v>0</v>
      </c>
      <c r="AA44" s="22"/>
      <c r="AB44" s="22">
        <f ca="1">OFFSET('Dist Factors'!$B$15,$O44-1,AB$14)*$L44+OFFSET('Dist Factors'!$B$15,$K44-1,AB$14)*$H44</f>
        <v>0</v>
      </c>
      <c r="AC44" s="100"/>
      <c r="AD44" s="22">
        <f ca="1">OFFSET('Dist Factors'!$B$15,$O44-1,AD$14)*$L44+OFFSET('Dist Factors'!$B$15,$K44-1,AD$14)*$H44</f>
        <v>0</v>
      </c>
      <c r="AE44" s="100"/>
      <c r="AF44" s="22">
        <f ca="1">OFFSET('Dist Factors'!$B$15,$O44-1,AF$14)*$L44+OFFSET('Dist Factors'!$B$15,$K44-1,AF$14)*$H44</f>
        <v>0</v>
      </c>
      <c r="AG44" s="100"/>
      <c r="AH44" s="22">
        <f ca="1">OFFSET('Dist Factors'!$B$15,$O44-1,AH$14)*$L44+OFFSET('Dist Factors'!$B$15,$K44-1,AH$14)*$H44</f>
        <v>0</v>
      </c>
      <c r="AI44" s="100"/>
      <c r="AJ44" s="100">
        <f t="shared" ca="1" si="18"/>
        <v>-3190183.7078844579</v>
      </c>
      <c r="AK44" s="97"/>
      <c r="AL44" s="35" t="str">
        <f t="shared" ca="1" si="19"/>
        <v/>
      </c>
      <c r="AM44" s="107"/>
      <c r="AO44" s="66"/>
      <c r="AP44" s="170"/>
      <c r="AQ44" s="170"/>
      <c r="AR44" s="105"/>
      <c r="AS44" s="170"/>
      <c r="AT44" s="105"/>
      <c r="AU44" s="170"/>
      <c r="AV44" s="105"/>
      <c r="AW44" s="170"/>
      <c r="AX44" s="105"/>
      <c r="AY44" s="170"/>
      <c r="AZ44" s="105"/>
      <c r="BA44" s="170"/>
      <c r="BB44" s="105"/>
      <c r="BC44" s="170"/>
      <c r="BD44" s="105"/>
      <c r="BE44" s="170"/>
      <c r="BF44" s="105"/>
      <c r="BG44" s="170"/>
      <c r="BH44" s="105"/>
      <c r="BI44" s="170"/>
      <c r="BJ44" s="105"/>
      <c r="BK44" s="170"/>
      <c r="BL44" s="105"/>
      <c r="BM44" s="73"/>
    </row>
    <row r="45" spans="2:65" s="99" customFormat="1" ht="13" x14ac:dyDescent="0.3">
      <c r="B45" s="163">
        <f t="shared" si="20"/>
        <v>22</v>
      </c>
      <c r="D45" s="99" t="s">
        <v>25</v>
      </c>
      <c r="F45" s="113">
        <f ca="1">Function!V45</f>
        <v>-7615.4819972425539</v>
      </c>
      <c r="G45" s="94"/>
      <c r="H45" s="113"/>
      <c r="I45" s="94"/>
      <c r="J45" s="94"/>
      <c r="K45" s="91">
        <f>_xlfn.IFNA(MATCH(J45,'Dist Factors'!$B$15:$B$431,0),0)</f>
        <v>0</v>
      </c>
      <c r="L45" s="113">
        <f t="shared" ca="1" si="21"/>
        <v>-7615.4819972425539</v>
      </c>
      <c r="M45" s="94"/>
      <c r="N45" s="28" t="s">
        <v>273</v>
      </c>
      <c r="O45" s="186">
        <f>_xlfn.IFNA(MATCH(N45,'Dist Factors'!$B$15:$B$431,0),0)</f>
        <v>14</v>
      </c>
      <c r="P45" s="22">
        <f ca="1">OFFSET('Dist Factors'!$B$15,$O45-1,P$14)*$L45+OFFSET('Dist Factors'!$B$15,$K45-1,P$14)*$H45</f>
        <v>0</v>
      </c>
      <c r="Q45" s="97"/>
      <c r="R45" s="22">
        <f ca="1">OFFSET('Dist Factors'!$B$15,$O45-1,R$14)*$L45+OFFSET('Dist Factors'!$B$15,$K45-1,R$14)*$H45</f>
        <v>0</v>
      </c>
      <c r="S45" s="22"/>
      <c r="T45" s="22">
        <f ca="1">OFFSET('Dist Factors'!$B$15,$O45-1,T$14)*$L45+OFFSET('Dist Factors'!$B$15,$K45-1,T$14)*$H45</f>
        <v>0</v>
      </c>
      <c r="U45" s="22"/>
      <c r="V45" s="22">
        <f ca="1">OFFSET('Dist Factors'!$B$15,$O45-1,V$14)*$L45+OFFSET('Dist Factors'!$B$15,$K45-1,V$14)*$H45</f>
        <v>0</v>
      </c>
      <c r="W45" s="100"/>
      <c r="X45" s="22">
        <f ca="1">OFFSET('Dist Factors'!$B$15,$O45-1,X$14)*$L45+OFFSET('Dist Factors'!$B$15,$K45-1,X$14)*$H45</f>
        <v>0</v>
      </c>
      <c r="Y45" s="100"/>
      <c r="Z45" s="22">
        <f ca="1">OFFSET('Dist Factors'!$B$15,$O45-1,Z$14)*$L45+OFFSET('Dist Factors'!$B$15,$K45-1,Z$14)*$H45</f>
        <v>0</v>
      </c>
      <c r="AA45" s="22"/>
      <c r="AB45" s="22">
        <f ca="1">OFFSET('Dist Factors'!$B$15,$O45-1,AB$14)*$L45+OFFSET('Dist Factors'!$B$15,$K45-1,AB$14)*$H45</f>
        <v>0</v>
      </c>
      <c r="AC45" s="100"/>
      <c r="AD45" s="22">
        <f ca="1">OFFSET('Dist Factors'!$B$15,$O45-1,AD$14)*$L45+OFFSET('Dist Factors'!$B$15,$K45-1,AD$14)*$H45</f>
        <v>-7615.4819972425539</v>
      </c>
      <c r="AE45" s="100"/>
      <c r="AF45" s="22">
        <f ca="1">OFFSET('Dist Factors'!$B$15,$O45-1,AF$14)*$L45+OFFSET('Dist Factors'!$B$15,$K45-1,AF$14)*$H45</f>
        <v>0</v>
      </c>
      <c r="AG45" s="100"/>
      <c r="AH45" s="22">
        <f ca="1">OFFSET('Dist Factors'!$B$15,$O45-1,AH$14)*$L45+OFFSET('Dist Factors'!$B$15,$K45-1,AH$14)*$H45</f>
        <v>0</v>
      </c>
      <c r="AI45" s="100"/>
      <c r="AJ45" s="100">
        <f t="shared" ca="1" si="18"/>
        <v>-7615.4819972425539</v>
      </c>
      <c r="AK45" s="97"/>
      <c r="AL45" s="35" t="str">
        <f t="shared" ca="1" si="19"/>
        <v/>
      </c>
      <c r="AM45" s="107"/>
      <c r="AO45" s="66"/>
      <c r="AP45" s="170"/>
      <c r="AQ45" s="170"/>
      <c r="AR45" s="105"/>
      <c r="AS45" s="170"/>
      <c r="AT45" s="105"/>
      <c r="AU45" s="170"/>
      <c r="AV45" s="105"/>
      <c r="AW45" s="170"/>
      <c r="AX45" s="105"/>
      <c r="AY45" s="170"/>
      <c r="AZ45" s="105"/>
      <c r="BA45" s="170"/>
      <c r="BB45" s="105"/>
      <c r="BC45" s="170"/>
      <c r="BD45" s="105"/>
      <c r="BE45" s="170"/>
      <c r="BF45" s="105"/>
      <c r="BG45" s="170"/>
      <c r="BH45" s="105"/>
      <c r="BI45" s="170"/>
      <c r="BJ45" s="105"/>
      <c r="BK45" s="170"/>
      <c r="BL45" s="105"/>
      <c r="BM45" s="73"/>
    </row>
    <row r="46" spans="2:65" s="99" customFormat="1" ht="13" x14ac:dyDescent="0.3">
      <c r="B46" s="163">
        <f t="shared" si="20"/>
        <v>23</v>
      </c>
      <c r="D46" s="99" t="s">
        <v>27</v>
      </c>
      <c r="F46" s="113">
        <f ca="1">Function!V46</f>
        <v>0</v>
      </c>
      <c r="G46" s="94"/>
      <c r="H46" s="113"/>
      <c r="I46" s="94"/>
      <c r="J46" s="94"/>
      <c r="K46" s="91">
        <f>_xlfn.IFNA(MATCH(J46,'Dist Factors'!$B$15:$B$431,0),0)</f>
        <v>0</v>
      </c>
      <c r="L46" s="113">
        <f t="shared" ca="1" si="21"/>
        <v>0</v>
      </c>
      <c r="M46" s="94"/>
      <c r="N46" s="28"/>
      <c r="O46" s="186">
        <f>_xlfn.IFNA(MATCH(N46,'Dist Factors'!$B$15:$B$431,0),0)</f>
        <v>0</v>
      </c>
      <c r="P46" s="22">
        <f ca="1">OFFSET('Dist Factors'!$B$15,$O46-1,P$14)*$L46+OFFSET('Dist Factors'!$B$15,$K46-1,P$14)*$H46</f>
        <v>0</v>
      </c>
      <c r="Q46" s="97"/>
      <c r="R46" s="22">
        <f ca="1">OFFSET('Dist Factors'!$B$15,$O46-1,R$14)*$L46+OFFSET('Dist Factors'!$B$15,$K46-1,R$14)*$H46</f>
        <v>0</v>
      </c>
      <c r="S46" s="22"/>
      <c r="T46" s="22">
        <f ca="1">OFFSET('Dist Factors'!$B$15,$O46-1,T$14)*$L46+OFFSET('Dist Factors'!$B$15,$K46-1,T$14)*$H46</f>
        <v>0</v>
      </c>
      <c r="U46" s="22"/>
      <c r="V46" s="22">
        <f ca="1">OFFSET('Dist Factors'!$B$15,$O46-1,V$14)*$L46+OFFSET('Dist Factors'!$B$15,$K46-1,V$14)*$H46</f>
        <v>0</v>
      </c>
      <c r="W46" s="100"/>
      <c r="X46" s="22">
        <f ca="1">OFFSET('Dist Factors'!$B$15,$O46-1,X$14)*$L46+OFFSET('Dist Factors'!$B$15,$K46-1,X$14)*$H46</f>
        <v>0</v>
      </c>
      <c r="Y46" s="100"/>
      <c r="Z46" s="22">
        <f ca="1">OFFSET('Dist Factors'!$B$15,$O46-1,Z$14)*$L46+OFFSET('Dist Factors'!$B$15,$K46-1,Z$14)*$H46</f>
        <v>0</v>
      </c>
      <c r="AA46" s="22"/>
      <c r="AB46" s="22">
        <f ca="1">OFFSET('Dist Factors'!$B$15,$O46-1,AB$14)*$L46+OFFSET('Dist Factors'!$B$15,$K46-1,AB$14)*$H46</f>
        <v>0</v>
      </c>
      <c r="AC46" s="100"/>
      <c r="AD46" s="22">
        <f ca="1">OFFSET('Dist Factors'!$B$15,$O46-1,AD$14)*$L46+OFFSET('Dist Factors'!$B$15,$K46-1,AD$14)*$H46</f>
        <v>0</v>
      </c>
      <c r="AE46" s="100"/>
      <c r="AF46" s="22">
        <f ca="1">OFFSET('Dist Factors'!$B$15,$O46-1,AF$14)*$L46+OFFSET('Dist Factors'!$B$15,$K46-1,AF$14)*$H46</f>
        <v>0</v>
      </c>
      <c r="AG46" s="100"/>
      <c r="AH46" s="22">
        <f ca="1">OFFSET('Dist Factors'!$B$15,$O46-1,AH$14)*$L46+OFFSET('Dist Factors'!$B$15,$K46-1,AH$14)*$H46</f>
        <v>0</v>
      </c>
      <c r="AI46" s="100"/>
      <c r="AJ46" s="100">
        <f t="shared" ca="1" si="18"/>
        <v>0</v>
      </c>
      <c r="AK46" s="97"/>
      <c r="AL46" s="35" t="str">
        <f t="shared" ca="1" si="19"/>
        <v/>
      </c>
      <c r="AM46" s="107"/>
      <c r="AO46" s="66"/>
      <c r="AP46" s="170"/>
      <c r="AQ46" s="170"/>
      <c r="AR46" s="105"/>
      <c r="AS46" s="170"/>
      <c r="AT46" s="105"/>
      <c r="AU46" s="170"/>
      <c r="AV46" s="105"/>
      <c r="AW46" s="170"/>
      <c r="AX46" s="105"/>
      <c r="AY46" s="170"/>
      <c r="AZ46" s="105"/>
      <c r="BA46" s="170"/>
      <c r="BB46" s="105"/>
      <c r="BC46" s="170"/>
      <c r="BD46" s="105"/>
      <c r="BE46" s="170"/>
      <c r="BF46" s="105"/>
      <c r="BG46" s="170"/>
      <c r="BH46" s="105"/>
      <c r="BI46" s="170"/>
      <c r="BJ46" s="105"/>
      <c r="BK46" s="170"/>
      <c r="BL46" s="105"/>
      <c r="BM46" s="73"/>
    </row>
    <row r="47" spans="2:65" s="99" customFormat="1" ht="13" x14ac:dyDescent="0.3">
      <c r="B47" s="163">
        <f t="shared" si="20"/>
        <v>24</v>
      </c>
      <c r="D47" s="99" t="s">
        <v>29</v>
      </c>
      <c r="F47" s="113">
        <f ca="1">Function!V47</f>
        <v>0</v>
      </c>
      <c r="G47" s="94"/>
      <c r="H47" s="113"/>
      <c r="I47" s="94"/>
      <c r="J47" s="94"/>
      <c r="K47" s="91">
        <f>_xlfn.IFNA(MATCH(J47,'Dist Factors'!$B$15:$B$431,0),0)</f>
        <v>0</v>
      </c>
      <c r="L47" s="113">
        <f t="shared" ca="1" si="21"/>
        <v>0</v>
      </c>
      <c r="M47" s="94"/>
      <c r="N47" s="28"/>
      <c r="O47" s="186">
        <f>_xlfn.IFNA(MATCH(N47,'Dist Factors'!$B$15:$B$431,0),0)</f>
        <v>0</v>
      </c>
      <c r="P47" s="22">
        <f ca="1">OFFSET('Dist Factors'!$B$15,$O47-1,P$14)*$L47+OFFSET('Dist Factors'!$B$15,$K47-1,P$14)*$H47</f>
        <v>0</v>
      </c>
      <c r="Q47" s="97"/>
      <c r="R47" s="22">
        <f ca="1">OFFSET('Dist Factors'!$B$15,$O47-1,R$14)*$L47+OFFSET('Dist Factors'!$B$15,$K47-1,R$14)*$H47</f>
        <v>0</v>
      </c>
      <c r="S47" s="22"/>
      <c r="T47" s="22">
        <f ca="1">OFFSET('Dist Factors'!$B$15,$O47-1,T$14)*$L47+OFFSET('Dist Factors'!$B$15,$K47-1,T$14)*$H47</f>
        <v>0</v>
      </c>
      <c r="U47" s="22"/>
      <c r="V47" s="22">
        <f ca="1">OFFSET('Dist Factors'!$B$15,$O47-1,V$14)*$L47+OFFSET('Dist Factors'!$B$15,$K47-1,V$14)*$H47</f>
        <v>0</v>
      </c>
      <c r="W47" s="100"/>
      <c r="X47" s="22">
        <f ca="1">OFFSET('Dist Factors'!$B$15,$O47-1,X$14)*$L47+OFFSET('Dist Factors'!$B$15,$K47-1,X$14)*$H47</f>
        <v>0</v>
      </c>
      <c r="Y47" s="100"/>
      <c r="Z47" s="22">
        <f ca="1">OFFSET('Dist Factors'!$B$15,$O47-1,Z$14)*$L47+OFFSET('Dist Factors'!$B$15,$K47-1,Z$14)*$H47</f>
        <v>0</v>
      </c>
      <c r="AA47" s="22"/>
      <c r="AB47" s="22">
        <f ca="1">OFFSET('Dist Factors'!$B$15,$O47-1,AB$14)*$L47+OFFSET('Dist Factors'!$B$15,$K47-1,AB$14)*$H47</f>
        <v>0</v>
      </c>
      <c r="AC47" s="100"/>
      <c r="AD47" s="22">
        <f ca="1">OFFSET('Dist Factors'!$B$15,$O47-1,AD$14)*$L47+OFFSET('Dist Factors'!$B$15,$K47-1,AD$14)*$H47</f>
        <v>0</v>
      </c>
      <c r="AE47" s="100"/>
      <c r="AF47" s="22">
        <f ca="1">OFFSET('Dist Factors'!$B$15,$O47-1,AF$14)*$L47+OFFSET('Dist Factors'!$B$15,$K47-1,AF$14)*$H47</f>
        <v>0</v>
      </c>
      <c r="AG47" s="100"/>
      <c r="AH47" s="22">
        <f ca="1">OFFSET('Dist Factors'!$B$15,$O47-1,AH$14)*$L47+OFFSET('Dist Factors'!$B$15,$K47-1,AH$14)*$H47</f>
        <v>0</v>
      </c>
      <c r="AI47" s="100"/>
      <c r="AJ47" s="100">
        <f t="shared" ca="1" si="18"/>
        <v>0</v>
      </c>
      <c r="AK47" s="97"/>
      <c r="AL47" s="35" t="str">
        <f t="shared" ca="1" si="19"/>
        <v/>
      </c>
      <c r="AM47" s="107"/>
      <c r="AO47" s="66"/>
      <c r="AP47" s="170"/>
      <c r="AQ47" s="170"/>
      <c r="AR47" s="105"/>
      <c r="AS47" s="170"/>
      <c r="AT47" s="105"/>
      <c r="AU47" s="170"/>
      <c r="AV47" s="105"/>
      <c r="AW47" s="170"/>
      <c r="AX47" s="105"/>
      <c r="AY47" s="170"/>
      <c r="AZ47" s="105"/>
      <c r="BA47" s="170"/>
      <c r="BB47" s="105"/>
      <c r="BC47" s="170"/>
      <c r="BD47" s="105"/>
      <c r="BE47" s="170"/>
      <c r="BF47" s="105"/>
      <c r="BG47" s="170"/>
      <c r="BH47" s="105"/>
      <c r="BI47" s="170"/>
      <c r="BJ47" s="105"/>
      <c r="BK47" s="170"/>
      <c r="BL47" s="105"/>
      <c r="BM47" s="73"/>
    </row>
    <row r="48" spans="2:65" s="99" customFormat="1" ht="13" x14ac:dyDescent="0.3">
      <c r="B48" s="163">
        <f t="shared" si="20"/>
        <v>25</v>
      </c>
      <c r="D48" s="99" t="s">
        <v>30</v>
      </c>
      <c r="F48" s="113">
        <f ca="1">Function!V48</f>
        <v>0</v>
      </c>
      <c r="G48" s="94"/>
      <c r="H48" s="113"/>
      <c r="I48" s="94"/>
      <c r="J48" s="94"/>
      <c r="K48" s="91">
        <f>_xlfn.IFNA(MATCH(J48,'Dist Factors'!$B$15:$B$431,0),0)</f>
        <v>0</v>
      </c>
      <c r="L48" s="113">
        <f t="shared" ca="1" si="21"/>
        <v>0</v>
      </c>
      <c r="M48" s="94"/>
      <c r="N48" s="28"/>
      <c r="O48" s="186">
        <f>_xlfn.IFNA(MATCH(N48,'Dist Factors'!$B$15:$B$431,0),0)</f>
        <v>0</v>
      </c>
      <c r="P48" s="22">
        <f ca="1">OFFSET('Dist Factors'!$B$15,$O48-1,P$14)*$L48+OFFSET('Dist Factors'!$B$15,$K48-1,P$14)*$H48</f>
        <v>0</v>
      </c>
      <c r="Q48" s="97"/>
      <c r="R48" s="22">
        <f ca="1">OFFSET('Dist Factors'!$B$15,$O48-1,R$14)*$L48+OFFSET('Dist Factors'!$B$15,$K48-1,R$14)*$H48</f>
        <v>0</v>
      </c>
      <c r="S48" s="22"/>
      <c r="T48" s="22">
        <f ca="1">OFFSET('Dist Factors'!$B$15,$O48-1,T$14)*$L48+OFFSET('Dist Factors'!$B$15,$K48-1,T$14)*$H48</f>
        <v>0</v>
      </c>
      <c r="U48" s="22"/>
      <c r="V48" s="22">
        <f ca="1">OFFSET('Dist Factors'!$B$15,$O48-1,V$14)*$L48+OFFSET('Dist Factors'!$B$15,$K48-1,V$14)*$H48</f>
        <v>0</v>
      </c>
      <c r="W48" s="100"/>
      <c r="X48" s="22">
        <f ca="1">OFFSET('Dist Factors'!$B$15,$O48-1,X$14)*$L48+OFFSET('Dist Factors'!$B$15,$K48-1,X$14)*$H48</f>
        <v>0</v>
      </c>
      <c r="Y48" s="100"/>
      <c r="Z48" s="22">
        <f ca="1">OFFSET('Dist Factors'!$B$15,$O48-1,Z$14)*$L48+OFFSET('Dist Factors'!$B$15,$K48-1,Z$14)*$H48</f>
        <v>0</v>
      </c>
      <c r="AA48" s="22"/>
      <c r="AB48" s="22">
        <f ca="1">OFFSET('Dist Factors'!$B$15,$O48-1,AB$14)*$L48+OFFSET('Dist Factors'!$B$15,$K48-1,AB$14)*$H48</f>
        <v>0</v>
      </c>
      <c r="AC48" s="100"/>
      <c r="AD48" s="22">
        <f ca="1">OFFSET('Dist Factors'!$B$15,$O48-1,AD$14)*$L48+OFFSET('Dist Factors'!$B$15,$K48-1,AD$14)*$H48</f>
        <v>0</v>
      </c>
      <c r="AE48" s="100"/>
      <c r="AF48" s="22">
        <f ca="1">OFFSET('Dist Factors'!$B$15,$O48-1,AF$14)*$L48+OFFSET('Dist Factors'!$B$15,$K48-1,AF$14)*$H48</f>
        <v>0</v>
      </c>
      <c r="AG48" s="100"/>
      <c r="AH48" s="22">
        <f ca="1">OFFSET('Dist Factors'!$B$15,$O48-1,AH$14)*$L48+OFFSET('Dist Factors'!$B$15,$K48-1,AH$14)*$H48</f>
        <v>0</v>
      </c>
      <c r="AI48" s="100"/>
      <c r="AJ48" s="100">
        <f t="shared" ca="1" si="18"/>
        <v>0</v>
      </c>
      <c r="AK48" s="97"/>
      <c r="AL48" s="35" t="str">
        <f t="shared" ca="1" si="19"/>
        <v/>
      </c>
      <c r="AM48" s="107"/>
      <c r="AO48" s="66"/>
      <c r="AP48" s="170"/>
      <c r="AQ48" s="170"/>
      <c r="AR48" s="105"/>
      <c r="AS48" s="170"/>
      <c r="AT48" s="105"/>
      <c r="AU48" s="170"/>
      <c r="AV48" s="105"/>
      <c r="AW48" s="170"/>
      <c r="AX48" s="105"/>
      <c r="AY48" s="170"/>
      <c r="AZ48" s="105"/>
      <c r="BA48" s="170"/>
      <c r="BB48" s="105"/>
      <c r="BC48" s="170"/>
      <c r="BD48" s="105"/>
      <c r="BE48" s="170"/>
      <c r="BF48" s="105"/>
      <c r="BG48" s="170"/>
      <c r="BH48" s="105"/>
      <c r="BI48" s="170"/>
      <c r="BJ48" s="105"/>
      <c r="BK48" s="170"/>
      <c r="BL48" s="105"/>
      <c r="BM48" s="73"/>
    </row>
    <row r="49" spans="2:65" s="99" customFormat="1" ht="13" x14ac:dyDescent="0.3">
      <c r="B49" s="163">
        <f t="shared" si="20"/>
        <v>26</v>
      </c>
      <c r="D49" s="99" t="s">
        <v>31</v>
      </c>
      <c r="F49" s="113">
        <f ca="1">Function!V49</f>
        <v>-2154595.1744134566</v>
      </c>
      <c r="G49" s="94"/>
      <c r="H49" s="113"/>
      <c r="I49" s="94"/>
      <c r="J49" s="94"/>
      <c r="K49" s="91">
        <f>_xlfn.IFNA(MATCH(J49,'Dist Factors'!$B$15:$B$431,0),0)</f>
        <v>0</v>
      </c>
      <c r="L49" s="113">
        <f t="shared" ca="1" si="21"/>
        <v>-2154595.1744134566</v>
      </c>
      <c r="M49" s="94"/>
      <c r="N49" s="28" t="s">
        <v>275</v>
      </c>
      <c r="O49" s="186">
        <f>_xlfn.IFNA(MATCH(N49,'Dist Factors'!$B$15:$B$431,0),0)</f>
        <v>8</v>
      </c>
      <c r="P49" s="22">
        <f ca="1">OFFSET('Dist Factors'!$B$15,$O49-1,P$14)*$L49+OFFSET('Dist Factors'!$B$15,$K49-1,P$14)*$H49</f>
        <v>0</v>
      </c>
      <c r="Q49" s="97"/>
      <c r="R49" s="22">
        <f ca="1">OFFSET('Dist Factors'!$B$15,$O49-1,R$14)*$L49+OFFSET('Dist Factors'!$B$15,$K49-1,R$14)*$H49</f>
        <v>0</v>
      </c>
      <c r="S49" s="22"/>
      <c r="T49" s="22">
        <f ca="1">OFFSET('Dist Factors'!$B$15,$O49-1,T$14)*$L49+OFFSET('Dist Factors'!$B$15,$K49-1,T$14)*$H49</f>
        <v>0</v>
      </c>
      <c r="U49" s="22"/>
      <c r="V49" s="22">
        <f ca="1">OFFSET('Dist Factors'!$B$15,$O49-1,V$14)*$L49+OFFSET('Dist Factors'!$B$15,$K49-1,V$14)*$H49</f>
        <v>0</v>
      </c>
      <c r="W49" s="100"/>
      <c r="X49" s="22">
        <f ca="1">OFFSET('Dist Factors'!$B$15,$O49-1,X$14)*$L49+OFFSET('Dist Factors'!$B$15,$K49-1,X$14)*$H49</f>
        <v>0</v>
      </c>
      <c r="Y49" s="100"/>
      <c r="Z49" s="22">
        <f ca="1">OFFSET('Dist Factors'!$B$15,$O49-1,Z$14)*$L49+OFFSET('Dist Factors'!$B$15,$K49-1,Z$14)*$H49</f>
        <v>-2154595.1744134566</v>
      </c>
      <c r="AA49" s="22"/>
      <c r="AB49" s="22">
        <f ca="1">OFFSET('Dist Factors'!$B$15,$O49-1,AB$14)*$L49+OFFSET('Dist Factors'!$B$15,$K49-1,AB$14)*$H49</f>
        <v>0</v>
      </c>
      <c r="AC49" s="100"/>
      <c r="AD49" s="22">
        <f ca="1">OFFSET('Dist Factors'!$B$15,$O49-1,AD$14)*$L49+OFFSET('Dist Factors'!$B$15,$K49-1,AD$14)*$H49</f>
        <v>0</v>
      </c>
      <c r="AE49" s="100"/>
      <c r="AF49" s="22">
        <f ca="1">OFFSET('Dist Factors'!$B$15,$O49-1,AF$14)*$L49+OFFSET('Dist Factors'!$B$15,$K49-1,AF$14)*$H49</f>
        <v>0</v>
      </c>
      <c r="AG49" s="100"/>
      <c r="AH49" s="22">
        <f ca="1">OFFSET('Dist Factors'!$B$15,$O49-1,AH$14)*$L49+OFFSET('Dist Factors'!$B$15,$K49-1,AH$14)*$H49</f>
        <v>0</v>
      </c>
      <c r="AI49" s="100"/>
      <c r="AJ49" s="100">
        <f t="shared" ca="1" si="18"/>
        <v>-2154595.1744134566</v>
      </c>
      <c r="AK49" s="97"/>
      <c r="AL49" s="35" t="str">
        <f t="shared" ca="1" si="19"/>
        <v/>
      </c>
      <c r="AM49" s="107"/>
      <c r="AO49" s="66"/>
      <c r="AP49" s="170"/>
      <c r="AQ49" s="170"/>
      <c r="AR49" s="105"/>
      <c r="AS49" s="170"/>
      <c r="AT49" s="105"/>
      <c r="AU49" s="170"/>
      <c r="AV49" s="105"/>
      <c r="AW49" s="170"/>
      <c r="AX49" s="105"/>
      <c r="AY49" s="170"/>
      <c r="AZ49" s="105"/>
      <c r="BA49" s="170"/>
      <c r="BB49" s="105"/>
      <c r="BC49" s="170"/>
      <c r="BD49" s="105"/>
      <c r="BE49" s="170"/>
      <c r="BF49" s="105"/>
      <c r="BG49" s="170"/>
      <c r="BH49" s="105"/>
      <c r="BI49" s="170"/>
      <c r="BJ49" s="105"/>
      <c r="BK49" s="170"/>
      <c r="BL49" s="105"/>
      <c r="BM49" s="73"/>
    </row>
    <row r="50" spans="2:65" s="99" customFormat="1" ht="13" x14ac:dyDescent="0.3">
      <c r="B50" s="163">
        <f t="shared" si="20"/>
        <v>27</v>
      </c>
      <c r="D50" s="99" t="s">
        <v>327</v>
      </c>
      <c r="F50" s="113">
        <f ca="1">Function!V50</f>
        <v>-673512.34004937287</v>
      </c>
      <c r="G50" s="94"/>
      <c r="H50" s="113"/>
      <c r="I50" s="94"/>
      <c r="J50" s="94"/>
      <c r="K50" s="91">
        <f>_xlfn.IFNA(MATCH(J50,'Dist Factors'!$B$15:$B$431,0),0)</f>
        <v>0</v>
      </c>
      <c r="L50" s="113">
        <f t="shared" ca="1" si="21"/>
        <v>-673512.34004937287</v>
      </c>
      <c r="M50" s="94"/>
      <c r="N50" s="28" t="s">
        <v>272</v>
      </c>
      <c r="O50" s="186">
        <f>_xlfn.IFNA(MATCH(N50,'Dist Factors'!$B$15:$B$431,0),0)</f>
        <v>5</v>
      </c>
      <c r="P50" s="22">
        <f ca="1">OFFSET('Dist Factors'!$B$15,$O50-1,P$14)*$L50+OFFSET('Dist Factors'!$B$15,$K50-1,P$14)*$H50</f>
        <v>0</v>
      </c>
      <c r="Q50" s="97"/>
      <c r="R50" s="22">
        <f ca="1">OFFSET('Dist Factors'!$B$15,$O50-1,R$14)*$L50+OFFSET('Dist Factors'!$B$15,$K50-1,R$14)*$H50</f>
        <v>0</v>
      </c>
      <c r="S50" s="22"/>
      <c r="T50" s="22">
        <f ca="1">OFFSET('Dist Factors'!$B$15,$O50-1,T$14)*$L50+OFFSET('Dist Factors'!$B$15,$K50-1,T$14)*$H50</f>
        <v>0</v>
      </c>
      <c r="U50" s="22"/>
      <c r="V50" s="22">
        <f ca="1">OFFSET('Dist Factors'!$B$15,$O50-1,V$14)*$L50+OFFSET('Dist Factors'!$B$15,$K50-1,V$14)*$H50</f>
        <v>0</v>
      </c>
      <c r="W50" s="100"/>
      <c r="X50" s="22">
        <f ca="1">OFFSET('Dist Factors'!$B$15,$O50-1,X$14)*$L50+OFFSET('Dist Factors'!$B$15,$K50-1,X$14)*$H50</f>
        <v>0</v>
      </c>
      <c r="Y50" s="100"/>
      <c r="Z50" s="22">
        <f ca="1">OFFSET('Dist Factors'!$B$15,$O50-1,Z$14)*$L50+OFFSET('Dist Factors'!$B$15,$K50-1,Z$14)*$H50</f>
        <v>0</v>
      </c>
      <c r="AA50" s="22"/>
      <c r="AB50" s="22">
        <f ca="1">OFFSET('Dist Factors'!$B$15,$O50-1,AB$14)*$L50+OFFSET('Dist Factors'!$B$15,$K50-1,AB$14)*$H50</f>
        <v>-673512.34004937287</v>
      </c>
      <c r="AC50" s="100"/>
      <c r="AD50" s="22">
        <f ca="1">OFFSET('Dist Factors'!$B$15,$O50-1,AD$14)*$L50+OFFSET('Dist Factors'!$B$15,$K50-1,AD$14)*$H50</f>
        <v>0</v>
      </c>
      <c r="AE50" s="100"/>
      <c r="AF50" s="22">
        <f ca="1">OFFSET('Dist Factors'!$B$15,$O50-1,AF$14)*$L50+OFFSET('Dist Factors'!$B$15,$K50-1,AF$14)*$H50</f>
        <v>0</v>
      </c>
      <c r="AG50" s="100"/>
      <c r="AH50" s="22">
        <f ca="1">OFFSET('Dist Factors'!$B$15,$O50-1,AH$14)*$L50+OFFSET('Dist Factors'!$B$15,$K50-1,AH$14)*$H50</f>
        <v>0</v>
      </c>
      <c r="AI50" s="100"/>
      <c r="AJ50" s="100">
        <f t="shared" ca="1" si="18"/>
        <v>-673512.34004937287</v>
      </c>
      <c r="AK50" s="97"/>
      <c r="AL50" s="35" t="str">
        <f t="shared" ca="1" si="19"/>
        <v/>
      </c>
      <c r="AM50" s="107"/>
      <c r="AO50" s="66"/>
      <c r="AP50" s="170"/>
      <c r="AQ50" s="170"/>
      <c r="AR50" s="105"/>
      <c r="AS50" s="170"/>
      <c r="AT50" s="105"/>
      <c r="AU50" s="170"/>
      <c r="AV50" s="105"/>
      <c r="AW50" s="170"/>
      <c r="AX50" s="105"/>
      <c r="AY50" s="170"/>
      <c r="AZ50" s="105"/>
      <c r="BA50" s="170"/>
      <c r="BB50" s="105"/>
      <c r="BC50" s="170"/>
      <c r="BD50" s="105"/>
      <c r="BE50" s="170"/>
      <c r="BF50" s="105"/>
      <c r="BG50" s="170"/>
      <c r="BH50" s="105"/>
      <c r="BI50" s="170"/>
      <c r="BJ50" s="105"/>
      <c r="BK50" s="170"/>
      <c r="BL50" s="105"/>
      <c r="BM50" s="73"/>
    </row>
    <row r="51" spans="2:65" s="99" customFormat="1" ht="13" x14ac:dyDescent="0.3">
      <c r="B51" s="163">
        <f>B50+1</f>
        <v>28</v>
      </c>
      <c r="D51" s="99" t="s">
        <v>34</v>
      </c>
      <c r="F51" s="113">
        <f ca="1">Function!V51</f>
        <v>-62257.94207050046</v>
      </c>
      <c r="G51" s="94"/>
      <c r="H51" s="113"/>
      <c r="I51" s="94"/>
      <c r="J51" s="94"/>
      <c r="K51" s="91">
        <f>_xlfn.IFNA(MATCH(J51,'Dist Factors'!$B$15:$B$431,0),0)</f>
        <v>0</v>
      </c>
      <c r="L51" s="113">
        <f t="shared" ca="1" si="21"/>
        <v>-62257.94207050046</v>
      </c>
      <c r="M51" s="94"/>
      <c r="N51" s="28" t="s">
        <v>273</v>
      </c>
      <c r="O51" s="186">
        <f>_xlfn.IFNA(MATCH(N51,'Dist Factors'!$B$15:$B$431,0),0)</f>
        <v>14</v>
      </c>
      <c r="P51" s="22">
        <f ca="1">OFFSET('Dist Factors'!$B$15,$O51-1,P$14)*$L51+OFFSET('Dist Factors'!$B$15,$K51-1,P$14)*$H51</f>
        <v>0</v>
      </c>
      <c r="Q51" s="97"/>
      <c r="R51" s="22">
        <f ca="1">OFFSET('Dist Factors'!$B$15,$O51-1,R$14)*$L51+OFFSET('Dist Factors'!$B$15,$K51-1,R$14)*$H51</f>
        <v>0</v>
      </c>
      <c r="S51" s="22"/>
      <c r="T51" s="22">
        <f ca="1">OFFSET('Dist Factors'!$B$15,$O51-1,T$14)*$L51+OFFSET('Dist Factors'!$B$15,$K51-1,T$14)*$H51</f>
        <v>0</v>
      </c>
      <c r="U51" s="22"/>
      <c r="V51" s="22">
        <f ca="1">OFFSET('Dist Factors'!$B$15,$O51-1,V$14)*$L51+OFFSET('Dist Factors'!$B$15,$K51-1,V$14)*$H51</f>
        <v>0</v>
      </c>
      <c r="W51" s="100"/>
      <c r="X51" s="22">
        <f ca="1">OFFSET('Dist Factors'!$B$15,$O51-1,X$14)*$L51+OFFSET('Dist Factors'!$B$15,$K51-1,X$14)*$H51</f>
        <v>0</v>
      </c>
      <c r="Y51" s="100"/>
      <c r="Z51" s="22">
        <f ca="1">OFFSET('Dist Factors'!$B$15,$O51-1,Z$14)*$L51+OFFSET('Dist Factors'!$B$15,$K51-1,Z$14)*$H51</f>
        <v>0</v>
      </c>
      <c r="AA51" s="22"/>
      <c r="AB51" s="22">
        <f ca="1">OFFSET('Dist Factors'!$B$15,$O51-1,AB$14)*$L51+OFFSET('Dist Factors'!$B$15,$K51-1,AB$14)*$H51</f>
        <v>0</v>
      </c>
      <c r="AC51" s="100"/>
      <c r="AD51" s="22">
        <f ca="1">OFFSET('Dist Factors'!$B$15,$O51-1,AD$14)*$L51+OFFSET('Dist Factors'!$B$15,$K51-1,AD$14)*$H51</f>
        <v>-62257.94207050046</v>
      </c>
      <c r="AE51" s="100"/>
      <c r="AF51" s="22">
        <f ca="1">OFFSET('Dist Factors'!$B$15,$O51-1,AF$14)*$L51+OFFSET('Dist Factors'!$B$15,$K51-1,AF$14)*$H51</f>
        <v>0</v>
      </c>
      <c r="AG51" s="100"/>
      <c r="AH51" s="22">
        <f ca="1">OFFSET('Dist Factors'!$B$15,$O51-1,AH$14)*$L51+OFFSET('Dist Factors'!$B$15,$K51-1,AH$14)*$H51</f>
        <v>0</v>
      </c>
      <c r="AI51" s="100"/>
      <c r="AJ51" s="100">
        <f t="shared" ca="1" si="18"/>
        <v>-62257.94207050046</v>
      </c>
      <c r="AK51" s="97"/>
      <c r="AL51" s="35" t="str">
        <f t="shared" ca="1" si="19"/>
        <v/>
      </c>
      <c r="AM51" s="107"/>
      <c r="AO51" s="66"/>
      <c r="AP51" s="170"/>
      <c r="AQ51" s="170"/>
      <c r="AR51" s="105"/>
      <c r="AS51" s="170"/>
      <c r="AT51" s="105"/>
      <c r="AU51" s="170"/>
      <c r="AV51" s="105"/>
      <c r="AW51" s="170"/>
      <c r="AX51" s="105"/>
      <c r="AY51" s="170"/>
      <c r="AZ51" s="105"/>
      <c r="BA51" s="170"/>
      <c r="BB51" s="105"/>
      <c r="BC51" s="170"/>
      <c r="BD51" s="105"/>
      <c r="BE51" s="170"/>
      <c r="BF51" s="105"/>
      <c r="BG51" s="170"/>
      <c r="BH51" s="105"/>
      <c r="BI51" s="170"/>
      <c r="BJ51" s="105"/>
      <c r="BK51" s="170"/>
      <c r="BL51" s="105"/>
      <c r="BM51" s="73"/>
    </row>
    <row r="52" spans="2:65" s="99" customFormat="1" ht="13" x14ac:dyDescent="0.3">
      <c r="B52" s="163">
        <f>B51+1</f>
        <v>29</v>
      </c>
      <c r="D52" s="99" t="s">
        <v>78</v>
      </c>
      <c r="F52" s="113">
        <f ca="1">Function!V52</f>
        <v>0</v>
      </c>
      <c r="G52" s="94"/>
      <c r="H52" s="113"/>
      <c r="I52" s="94"/>
      <c r="J52" s="94"/>
      <c r="K52" s="91">
        <f>_xlfn.IFNA(MATCH(J52,'Dist Factors'!$B$15:$B$431,0),0)</f>
        <v>0</v>
      </c>
      <c r="L52" s="113">
        <f t="shared" ca="1" si="21"/>
        <v>0</v>
      </c>
      <c r="M52" s="94"/>
      <c r="N52" s="106" t="s">
        <v>281</v>
      </c>
      <c r="O52" s="186">
        <f>_xlfn.IFNA(MATCH(N52,'Dist Factors'!$B$15:$B$431,0),0)</f>
        <v>32</v>
      </c>
      <c r="P52" s="22">
        <f ca="1">OFFSET('Dist Factors'!$B$15,$O52-1,P$14)*$L52+OFFSET('Dist Factors'!$B$15,$K52-1,P$14)*$H52</f>
        <v>0</v>
      </c>
      <c r="Q52" s="97"/>
      <c r="R52" s="22">
        <f ca="1">OFFSET('Dist Factors'!$B$15,$O52-1,R$14)*$L52+OFFSET('Dist Factors'!$B$15,$K52-1,R$14)*$H52</f>
        <v>0</v>
      </c>
      <c r="S52" s="22"/>
      <c r="T52" s="22">
        <f ca="1">OFFSET('Dist Factors'!$B$15,$O52-1,T$14)*$L52+OFFSET('Dist Factors'!$B$15,$K52-1,T$14)*$H52</f>
        <v>0</v>
      </c>
      <c r="U52" s="22"/>
      <c r="V52" s="22">
        <f ca="1">OFFSET('Dist Factors'!$B$15,$O52-1,V$14)*$L52+OFFSET('Dist Factors'!$B$15,$K52-1,V$14)*$H52</f>
        <v>0</v>
      </c>
      <c r="W52" s="100"/>
      <c r="X52" s="22">
        <f ca="1">OFFSET('Dist Factors'!$B$15,$O52-1,X$14)*$L52+OFFSET('Dist Factors'!$B$15,$K52-1,X$14)*$H52</f>
        <v>0</v>
      </c>
      <c r="Y52" s="100"/>
      <c r="Z52" s="22">
        <f ca="1">OFFSET('Dist Factors'!$B$15,$O52-1,Z$14)*$L52+OFFSET('Dist Factors'!$B$15,$K52-1,Z$14)*$H52</f>
        <v>0</v>
      </c>
      <c r="AA52" s="22"/>
      <c r="AB52" s="22">
        <f ca="1">OFFSET('Dist Factors'!$B$15,$O52-1,AB$14)*$L52+OFFSET('Dist Factors'!$B$15,$K52-1,AB$14)*$H52</f>
        <v>0</v>
      </c>
      <c r="AC52" s="100"/>
      <c r="AD52" s="22">
        <f ca="1">OFFSET('Dist Factors'!$B$15,$O52-1,AD$14)*$L52+OFFSET('Dist Factors'!$B$15,$K52-1,AD$14)*$H52</f>
        <v>0</v>
      </c>
      <c r="AE52" s="100"/>
      <c r="AF52" s="22">
        <f ca="1">OFFSET('Dist Factors'!$B$15,$O52-1,AF$14)*$L52+OFFSET('Dist Factors'!$B$15,$K52-1,AF$14)*$H52</f>
        <v>0</v>
      </c>
      <c r="AG52" s="100"/>
      <c r="AH52" s="22">
        <f ca="1">OFFSET('Dist Factors'!$B$15,$O52-1,AH$14)*$L52+OFFSET('Dist Factors'!$B$15,$K52-1,AH$14)*$H52</f>
        <v>0</v>
      </c>
      <c r="AI52" s="100"/>
      <c r="AJ52" s="100">
        <f t="shared" ca="1" si="18"/>
        <v>0</v>
      </c>
      <c r="AK52" s="97"/>
      <c r="AL52" s="35" t="str">
        <f t="shared" ca="1" si="19"/>
        <v/>
      </c>
      <c r="AM52" s="107"/>
      <c r="AO52" s="66"/>
      <c r="AP52" s="170"/>
      <c r="AQ52" s="170"/>
      <c r="AR52" s="105"/>
      <c r="AS52" s="170"/>
      <c r="AT52" s="105"/>
      <c r="AU52" s="170"/>
      <c r="AV52" s="105"/>
      <c r="AW52" s="170"/>
      <c r="AX52" s="105"/>
      <c r="AY52" s="170"/>
      <c r="AZ52" s="105"/>
      <c r="BA52" s="170"/>
      <c r="BB52" s="105"/>
      <c r="BC52" s="170"/>
      <c r="BD52" s="105"/>
      <c r="BE52" s="170"/>
      <c r="BF52" s="105"/>
      <c r="BG52" s="170"/>
      <c r="BH52" s="105"/>
      <c r="BI52" s="170"/>
      <c r="BJ52" s="105"/>
      <c r="BK52" s="170"/>
      <c r="BL52" s="105"/>
      <c r="BM52" s="73"/>
    </row>
    <row r="53" spans="2:65" s="99" customFormat="1" ht="13" x14ac:dyDescent="0.3">
      <c r="B53" s="163">
        <f t="shared" si="20"/>
        <v>30</v>
      </c>
      <c r="D53" s="99" t="s">
        <v>334</v>
      </c>
      <c r="F53" s="79">
        <f ca="1">SUM(F40:F52)</f>
        <v>-6720564.4672765508</v>
      </c>
      <c r="G53" s="94"/>
      <c r="H53" s="79">
        <f>SUM(H40:H52)</f>
        <v>-94806.99793514605</v>
      </c>
      <c r="I53" s="94"/>
      <c r="J53" s="94"/>
      <c r="K53" s="94"/>
      <c r="L53" s="79">
        <f ca="1">SUM(L40:L52)</f>
        <v>-6625757.4693414047</v>
      </c>
      <c r="M53" s="94"/>
      <c r="N53" s="28"/>
      <c r="O53" s="187"/>
      <c r="P53" s="11">
        <f ca="1">SUM(P40:P52)</f>
        <v>-824250.60874087305</v>
      </c>
      <c r="Q53" s="12"/>
      <c r="R53" s="11">
        <f ca="1">SUM(R40:R52)</f>
        <v>-157649.93032687955</v>
      </c>
      <c r="S53" s="13"/>
      <c r="T53" s="11">
        <f ca="1">SUM(T40:T52)</f>
        <v>-1606632.0676038293</v>
      </c>
      <c r="U53" s="13"/>
      <c r="V53" s="11">
        <f ca="1">SUM(V40:V52)</f>
        <v>0</v>
      </c>
      <c r="W53" s="13"/>
      <c r="X53" s="11">
        <f ca="1">SUM(X40:X52)</f>
        <v>-1139243.9241392494</v>
      </c>
      <c r="Y53" s="13"/>
      <c r="Z53" s="11">
        <f ca="1">SUM(Z40:Z52)</f>
        <v>-2154595.1744134566</v>
      </c>
      <c r="AA53" s="13"/>
      <c r="AB53" s="11">
        <f ca="1">SUM(AB40:AB52)</f>
        <v>-673512.34004937287</v>
      </c>
      <c r="AC53" s="13"/>
      <c r="AD53" s="11">
        <f ca="1">SUM(AD40:AD52)</f>
        <v>-164680.42200288907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-6720564.4672765499</v>
      </c>
      <c r="AK53" s="23"/>
      <c r="AL53" s="35" t="str">
        <f t="shared" ca="1" si="19"/>
        <v/>
      </c>
      <c r="AM53" s="107"/>
      <c r="AO53" s="66"/>
      <c r="AP53" s="170"/>
      <c r="AQ53" s="170"/>
      <c r="AR53" s="66"/>
      <c r="AS53" s="170"/>
      <c r="AT53" s="66"/>
      <c r="AU53" s="170"/>
      <c r="AV53" s="66"/>
      <c r="AW53" s="170"/>
      <c r="AX53" s="66"/>
      <c r="AY53" s="170"/>
      <c r="AZ53" s="66"/>
      <c r="BA53" s="170"/>
      <c r="BB53" s="66"/>
      <c r="BC53" s="170"/>
      <c r="BD53" s="66"/>
      <c r="BE53" s="170"/>
      <c r="BF53" s="66"/>
      <c r="BG53" s="170"/>
      <c r="BH53" s="66"/>
      <c r="BI53" s="170"/>
      <c r="BJ53" s="66"/>
      <c r="BK53" s="170"/>
      <c r="BL53" s="66"/>
      <c r="BM53" s="73"/>
    </row>
    <row r="54" spans="2:65" s="99" customFormat="1" ht="13" x14ac:dyDescent="0.3">
      <c r="B54" s="163"/>
      <c r="F54" s="94"/>
      <c r="G54" s="94"/>
      <c r="H54" s="94"/>
      <c r="I54" s="94"/>
      <c r="J54" s="94"/>
      <c r="K54" s="94"/>
      <c r="L54" s="94"/>
      <c r="M54" s="94"/>
      <c r="N54" s="28"/>
      <c r="O54" s="187"/>
      <c r="AJ54" s="8"/>
      <c r="AK54" s="97"/>
      <c r="AL54" s="35" t="str">
        <f t="shared" si="19"/>
        <v/>
      </c>
      <c r="AM54" s="107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73"/>
    </row>
    <row r="55" spans="2:65" s="99" customFormat="1" ht="13" x14ac:dyDescent="0.3">
      <c r="B55" s="163">
        <f>B53+1</f>
        <v>31</v>
      </c>
      <c r="D55" s="99" t="s">
        <v>221</v>
      </c>
      <c r="F55" s="113">
        <f ca="1">Function!V55</f>
        <v>-502053.48308767902</v>
      </c>
      <c r="G55" s="94"/>
      <c r="H55" s="113"/>
      <c r="I55" s="94"/>
      <c r="J55" s="94"/>
      <c r="K55" s="91">
        <f>_xlfn.IFNA(MATCH(J55,'Dist Factors'!$B$15:$B$431,0),0)</f>
        <v>0</v>
      </c>
      <c r="L55" s="113">
        <f t="shared" ref="L55" ca="1" si="22">F55-H55</f>
        <v>-502053.48308767902</v>
      </c>
      <c r="M55" s="94"/>
      <c r="N55" s="28" t="s">
        <v>144</v>
      </c>
      <c r="O55" s="186">
        <f>_xlfn.IFNA(MATCH(N55,'Dist Factors'!$B$15:$B$431,0),0)</f>
        <v>26</v>
      </c>
      <c r="P55" s="22">
        <f ca="1">OFFSET('Dist Factors'!$B$15,$O55-1,P$14)*$L55+OFFSET('Dist Factors'!$B$15,$K55-1,P$14)*$H55</f>
        <v>-52967.172771303311</v>
      </c>
      <c r="Q55" s="97"/>
      <c r="R55" s="22">
        <f ca="1">OFFSET('Dist Factors'!$B$15,$O55-1,R$14)*$L55+OFFSET('Dist Factors'!$B$15,$K55-1,R$14)*$H55</f>
        <v>-10130.74301487463</v>
      </c>
      <c r="S55" s="22"/>
      <c r="T55" s="22">
        <f ca="1">OFFSET('Dist Factors'!$B$15,$O55-1,T$14)*$L55+OFFSET('Dist Factors'!$B$15,$K55-1,T$14)*$H55</f>
        <v>-103243.79187864394</v>
      </c>
      <c r="U55" s="22"/>
      <c r="V55" s="22">
        <f ca="1">OFFSET('Dist Factors'!$B$15,$O55-1,V$14)*$L55+OFFSET('Dist Factors'!$B$15,$K55-1,V$14)*$H55</f>
        <v>-20083.641926033895</v>
      </c>
      <c r="W55" s="100"/>
      <c r="X55" s="22">
        <f ca="1">OFFSET('Dist Factors'!$B$15,$O55-1,X$14)*$L55+OFFSET('Dist Factors'!$B$15,$K55-1,X$14)*$H55</f>
        <v>-71937.540384265623</v>
      </c>
      <c r="Y55" s="100"/>
      <c r="Z55" s="22">
        <f ca="1">OFFSET('Dist Factors'!$B$15,$O55-1,Z$14)*$L55+OFFSET('Dist Factors'!$B$15,$K55-1,Z$14)*$H55</f>
        <v>-120766.1068359994</v>
      </c>
      <c r="AA55" s="22"/>
      <c r="AB55" s="22">
        <f ca="1">OFFSET('Dist Factors'!$B$15,$O55-1,AB$14)*$L55+OFFSET('Dist Factors'!$B$15,$K55-1,AB$14)*$H55</f>
        <v>-42620.13389210176</v>
      </c>
      <c r="AC55" s="100"/>
      <c r="AD55" s="22">
        <f ca="1">OFFSET('Dist Factors'!$B$15,$O55-1,AD$14)*$L55+OFFSET('Dist Factors'!$B$15,$K55-1,AD$14)*$H55</f>
        <v>-11736.696466030404</v>
      </c>
      <c r="AE55" s="100"/>
      <c r="AF55" s="22">
        <f ca="1">OFFSET('Dist Factors'!$B$15,$O55-1,AF$14)*$L55+OFFSET('Dist Factors'!$B$15,$K55-1,AF$14)*$H55</f>
        <v>-68567.655918426171</v>
      </c>
      <c r="AG55" s="100"/>
      <c r="AH55" s="22">
        <f ca="1">OFFSET('Dist Factors'!$B$15,$O55-1,AH$14)*$L55+OFFSET('Dist Factors'!$B$15,$K55-1,AH$14)*$H55</f>
        <v>0</v>
      </c>
      <c r="AI55" s="100"/>
      <c r="AJ55" s="100">
        <f ca="1">SUM(P55:AI55)</f>
        <v>-502053.48308767908</v>
      </c>
      <c r="AK55" s="97"/>
      <c r="AL55" s="35" t="str">
        <f t="shared" ca="1" si="19"/>
        <v/>
      </c>
      <c r="AM55" s="107"/>
      <c r="AN55" s="97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73"/>
    </row>
    <row r="56" spans="2:65" s="99" customFormat="1" ht="13" x14ac:dyDescent="0.3">
      <c r="B56" s="163"/>
      <c r="F56" s="94"/>
      <c r="G56" s="94"/>
      <c r="H56" s="94"/>
      <c r="I56" s="94"/>
      <c r="J56" s="94"/>
      <c r="K56" s="94"/>
      <c r="L56" s="94"/>
      <c r="M56" s="94"/>
      <c r="N56" s="28"/>
      <c r="O56" s="187"/>
      <c r="AJ56" s="8"/>
      <c r="AK56" s="97"/>
      <c r="AL56" s="35" t="str">
        <f t="shared" si="19"/>
        <v/>
      </c>
      <c r="AM56" s="107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73"/>
    </row>
    <row r="57" spans="2:65" s="99" customFormat="1" ht="13" x14ac:dyDescent="0.3">
      <c r="B57" s="163">
        <f>B55+1</f>
        <v>32</v>
      </c>
      <c r="D57" s="99" t="s">
        <v>476</v>
      </c>
      <c r="F57" s="79">
        <f ca="1">F53+F55</f>
        <v>-7222617.9503642302</v>
      </c>
      <c r="G57" s="94"/>
      <c r="H57" s="79">
        <f>H53+H55</f>
        <v>-94806.99793514605</v>
      </c>
      <c r="I57" s="94"/>
      <c r="J57" s="94"/>
      <c r="K57" s="94"/>
      <c r="L57" s="79">
        <f ca="1">L53+L55</f>
        <v>-7127810.9524290841</v>
      </c>
      <c r="M57" s="94"/>
      <c r="N57" s="28"/>
      <c r="O57" s="187"/>
      <c r="P57" s="10">
        <f ca="1">P53+P55</f>
        <v>-877217.78151217639</v>
      </c>
      <c r="Q57" s="14"/>
      <c r="R57" s="10">
        <f ca="1">R53+R55</f>
        <v>-167780.67334175418</v>
      </c>
      <c r="S57" s="8"/>
      <c r="T57" s="10">
        <f ca="1">T53+T55</f>
        <v>-1709875.8594824732</v>
      </c>
      <c r="U57" s="8"/>
      <c r="V57" s="10">
        <f ca="1">V53+V55</f>
        <v>-20083.641926033895</v>
      </c>
      <c r="W57" s="8"/>
      <c r="X57" s="10">
        <f ca="1">X53+X55</f>
        <v>-1211181.464523515</v>
      </c>
      <c r="Y57" s="8"/>
      <c r="Z57" s="10">
        <f ca="1">Z53+Z55</f>
        <v>-2275361.2812494561</v>
      </c>
      <c r="AA57" s="8"/>
      <c r="AB57" s="10">
        <f ca="1">AB53+AB55</f>
        <v>-716132.47394147469</v>
      </c>
      <c r="AC57" s="8"/>
      <c r="AD57" s="10">
        <f ca="1">AD53+AD55</f>
        <v>-176417.11846891948</v>
      </c>
      <c r="AE57" s="8"/>
      <c r="AF57" s="10">
        <f ca="1">AF53+AF55</f>
        <v>-68567.655918426171</v>
      </c>
      <c r="AG57" s="8"/>
      <c r="AH57" s="10">
        <f ca="1">AH53+AH55</f>
        <v>0</v>
      </c>
      <c r="AI57" s="8"/>
      <c r="AJ57" s="10">
        <f ca="1">AJ53+AJ55</f>
        <v>-7222617.9503642293</v>
      </c>
      <c r="AK57" s="97"/>
      <c r="AL57" s="35" t="str">
        <f t="shared" ca="1" si="19"/>
        <v/>
      </c>
      <c r="AM57" s="107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73"/>
    </row>
    <row r="58" spans="2:65" s="99" customFormat="1" ht="13" x14ac:dyDescent="0.3">
      <c r="B58" s="163"/>
      <c r="D58" s="6"/>
      <c r="E58" s="6"/>
      <c r="F58" s="219"/>
      <c r="G58" s="94"/>
      <c r="H58" s="219"/>
      <c r="I58" s="94"/>
      <c r="J58" s="94"/>
      <c r="K58" s="94"/>
      <c r="L58" s="219"/>
      <c r="M58" s="94"/>
      <c r="N58" s="28"/>
      <c r="O58" s="187"/>
      <c r="AK58" s="97"/>
      <c r="AL58" s="35" t="str">
        <f t="shared" si="19"/>
        <v/>
      </c>
      <c r="AM58" s="107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73"/>
    </row>
    <row r="59" spans="2:65" s="99" customFormat="1" ht="13" x14ac:dyDescent="0.3">
      <c r="B59" s="163"/>
      <c r="F59" s="94"/>
      <c r="G59" s="94"/>
      <c r="H59" s="94"/>
      <c r="I59" s="94"/>
      <c r="J59" s="94"/>
      <c r="K59" s="94"/>
      <c r="L59" s="94"/>
      <c r="M59" s="94"/>
      <c r="N59" s="28"/>
      <c r="O59" s="187"/>
      <c r="AK59" s="97"/>
      <c r="AL59" s="35" t="str">
        <f t="shared" si="19"/>
        <v/>
      </c>
      <c r="AM59" s="107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73"/>
    </row>
    <row r="60" spans="2:65" ht="13" x14ac:dyDescent="0.3">
      <c r="D60" s="6" t="s">
        <v>17</v>
      </c>
      <c r="E60" s="7"/>
      <c r="F60" s="220"/>
      <c r="AK60" s="24"/>
      <c r="AL60" s="37"/>
      <c r="AO60" s="170"/>
      <c r="AP60" s="170"/>
      <c r="AQ60" s="170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170"/>
      <c r="BL60" s="42"/>
    </row>
    <row r="61" spans="2:65" ht="13" x14ac:dyDescent="0.3">
      <c r="AK61" s="24"/>
      <c r="AL61" s="35" t="str">
        <f t="shared" ref="AL61" si="23">IF(ROUND(L61,4)=ROUND(AJ61,4), "", "check")</f>
        <v/>
      </c>
      <c r="AM61" s="107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</row>
    <row r="62" spans="2:65" ht="13" x14ac:dyDescent="0.3">
      <c r="B62" s="163">
        <f>B57+1</f>
        <v>33</v>
      </c>
      <c r="D62" s="99" t="s">
        <v>77</v>
      </c>
      <c r="F62" s="113">
        <f ca="1">Function!V62</f>
        <v>128207.8986233436</v>
      </c>
      <c r="H62" s="113"/>
      <c r="J62" s="91"/>
      <c r="K62" s="91">
        <f>_xlfn.IFNA(MATCH(J62,'Dist Factors'!$B$15:$B$431,0),0)</f>
        <v>0</v>
      </c>
      <c r="L62" s="113">
        <f ca="1">F62-H62</f>
        <v>128207.8986233436</v>
      </c>
      <c r="O62" s="186">
        <f>_xlfn.IFNA(MATCH(N62,'Dist Factors'!$B$15:$B$431,0),0)</f>
        <v>0</v>
      </c>
      <c r="P62" s="22">
        <f ca="1">P18+P40</f>
        <v>28358.643628527687</v>
      </c>
      <c r="Q62" s="24"/>
      <c r="R62" s="22">
        <f ca="1">R18+R40</f>
        <v>5424.0035066904065</v>
      </c>
      <c r="S62" s="22"/>
      <c r="T62" s="22">
        <f ca="1">T18+T40</f>
        <v>55276.763843634959</v>
      </c>
      <c r="U62" s="22"/>
      <c r="V62" s="22">
        <f ca="1">V18+V40</f>
        <v>0</v>
      </c>
      <c r="X62" s="22">
        <f ca="1">X18+X40</f>
        <v>39148.487644490539</v>
      </c>
      <c r="Y62" s="9"/>
      <c r="Z62" s="22">
        <f ca="1">Z18+Z40</f>
        <v>0</v>
      </c>
      <c r="AA62" s="22"/>
      <c r="AB62" s="22">
        <f ca="1">AB18+AB40</f>
        <v>0</v>
      </c>
      <c r="AC62" s="9"/>
      <c r="AD62" s="22">
        <f ca="1">AD18+AD40</f>
        <v>0</v>
      </c>
      <c r="AE62" s="9"/>
      <c r="AF62" s="22">
        <f ca="1">AF18+AF40</f>
        <v>0</v>
      </c>
      <c r="AG62" s="9"/>
      <c r="AH62" s="22">
        <f ca="1">AH18+AH40</f>
        <v>0</v>
      </c>
      <c r="AI62" s="9"/>
      <c r="AJ62" s="9">
        <f t="shared" ref="AJ62:AJ75" ca="1" si="24">SUM(P62:AI62)</f>
        <v>128207.8986233436</v>
      </c>
      <c r="AK62" s="24"/>
      <c r="AL62" s="35" t="str">
        <f ca="1">IF(ROUND(F62,4)=ROUND(AJ62,4), "", "check")</f>
        <v/>
      </c>
      <c r="AM62" s="107"/>
      <c r="AO62" s="66"/>
      <c r="AP62" s="170"/>
      <c r="AQ62" s="170"/>
      <c r="AR62" s="105"/>
      <c r="AS62" s="170"/>
      <c r="AT62" s="105"/>
      <c r="AU62" s="170"/>
      <c r="AV62" s="105"/>
      <c r="AW62" s="170"/>
      <c r="AX62" s="105"/>
      <c r="AY62" s="170"/>
      <c r="AZ62" s="105"/>
      <c r="BA62" s="170"/>
      <c r="BB62" s="105"/>
      <c r="BC62" s="170"/>
      <c r="BD62" s="105"/>
      <c r="BE62" s="170"/>
      <c r="BF62" s="105"/>
      <c r="BG62" s="170"/>
      <c r="BH62" s="105"/>
      <c r="BI62" s="170"/>
      <c r="BJ62" s="105"/>
      <c r="BK62" s="170"/>
      <c r="BL62" s="105"/>
    </row>
    <row r="63" spans="2:65" ht="13" x14ac:dyDescent="0.3">
      <c r="B63" s="163">
        <f>B62+1</f>
        <v>34</v>
      </c>
      <c r="D63" s="99" t="s">
        <v>76</v>
      </c>
      <c r="F63" s="113">
        <f ca="1">Function!V63</f>
        <v>99660.963997748491</v>
      </c>
      <c r="H63" s="113"/>
      <c r="J63" s="91"/>
      <c r="K63" s="91">
        <f>_xlfn.IFNA(MATCH(J63,'Dist Factors'!$B$15:$B$431,0),0)</f>
        <v>0</v>
      </c>
      <c r="L63" s="113">
        <f ca="1">F63-H63</f>
        <v>99660.963997748491</v>
      </c>
      <c r="N63" s="74"/>
      <c r="O63" s="186">
        <f>_xlfn.IFNA(MATCH(N63,'Dist Factors'!$B$15:$B$431,0),0)</f>
        <v>0</v>
      </c>
      <c r="P63" s="22">
        <f t="shared" ref="P63:R74" ca="1" si="25">P19+P41</f>
        <v>22044.271780717609</v>
      </c>
      <c r="Q63" s="24"/>
      <c r="R63" s="22">
        <f t="shared" ca="1" si="25"/>
        <v>4216.287951119346</v>
      </c>
      <c r="S63" s="22"/>
      <c r="T63" s="22">
        <f t="shared" ref="T63" ca="1" si="26">T19+T41</f>
        <v>42968.768933004751</v>
      </c>
      <c r="U63" s="22"/>
      <c r="V63" s="22">
        <f t="shared" ref="V63" ca="1" si="27">V19+V41</f>
        <v>0</v>
      </c>
      <c r="X63" s="22">
        <f t="shared" ref="X63" ca="1" si="28">X19+X41</f>
        <v>30431.635332906772</v>
      </c>
      <c r="Y63" s="9"/>
      <c r="Z63" s="22">
        <f t="shared" ref="Z63" ca="1" si="29">Z19+Z41</f>
        <v>0</v>
      </c>
      <c r="AA63" s="22"/>
      <c r="AB63" s="22">
        <f t="shared" ref="AB63" ca="1" si="30">AB19+AB41</f>
        <v>0</v>
      </c>
      <c r="AC63" s="9"/>
      <c r="AD63" s="22">
        <f t="shared" ref="AD63" ca="1" si="31">AD19+AD41</f>
        <v>0</v>
      </c>
      <c r="AE63" s="9"/>
      <c r="AF63" s="22">
        <f t="shared" ref="AF63" ca="1" si="32">AF19+AF41</f>
        <v>0</v>
      </c>
      <c r="AG63" s="9"/>
      <c r="AH63" s="22">
        <f t="shared" ref="AH63" ca="1" si="33">AH19+AH41</f>
        <v>0</v>
      </c>
      <c r="AI63" s="9"/>
      <c r="AJ63" s="9">
        <f t="shared" ca="1" si="24"/>
        <v>99660.963997748477</v>
      </c>
      <c r="AK63" s="24"/>
      <c r="AL63" s="35" t="str">
        <f t="shared" ref="AL63:AL122" ca="1" si="34">IF(ROUND(F63,4)=ROUND(AJ63,4), "", "check")</f>
        <v/>
      </c>
      <c r="AM63" s="107"/>
      <c r="AO63" s="66"/>
      <c r="AP63" s="170"/>
      <c r="AQ63" s="170"/>
      <c r="AR63" s="105"/>
      <c r="AS63" s="170"/>
      <c r="AT63" s="105"/>
      <c r="AU63" s="170"/>
      <c r="AV63" s="105"/>
      <c r="AW63" s="170"/>
      <c r="AX63" s="105"/>
      <c r="AY63" s="170"/>
      <c r="AZ63" s="105"/>
      <c r="BA63" s="170"/>
      <c r="BB63" s="105"/>
      <c r="BC63" s="170"/>
      <c r="BD63" s="105"/>
      <c r="BE63" s="170"/>
      <c r="BF63" s="105"/>
      <c r="BG63" s="170"/>
      <c r="BH63" s="105"/>
      <c r="BI63" s="170"/>
      <c r="BJ63" s="105"/>
      <c r="BK63" s="170"/>
      <c r="BL63" s="105"/>
    </row>
    <row r="64" spans="2:65" ht="13" x14ac:dyDescent="0.3">
      <c r="B64" s="163">
        <f t="shared" ref="B64:B75" si="35">B63+1</f>
        <v>35</v>
      </c>
      <c r="D64" s="99" t="s">
        <v>19</v>
      </c>
      <c r="F64" s="113">
        <f ca="1">Function!V64</f>
        <v>266223.7909278989</v>
      </c>
      <c r="H64" s="113"/>
      <c r="J64" s="91"/>
      <c r="K64" s="91">
        <f>_xlfn.IFNA(MATCH(J64,'Dist Factors'!$B$15:$B$431,0),0)</f>
        <v>0</v>
      </c>
      <c r="L64" s="113">
        <f t="shared" ref="L64:L74" ca="1" si="36">F64-H64</f>
        <v>266223.7909278989</v>
      </c>
      <c r="N64" s="28"/>
      <c r="O64" s="186">
        <f>_xlfn.IFNA(MATCH(N64,'Dist Factors'!$B$15:$B$431,0),0)</f>
        <v>0</v>
      </c>
      <c r="P64" s="22">
        <f t="shared" ca="1" si="25"/>
        <v>58886.743277339061</v>
      </c>
      <c r="Q64" s="24"/>
      <c r="R64" s="22">
        <f t="shared" ca="1" si="25"/>
        <v>11262.947065372302</v>
      </c>
      <c r="S64" s="22"/>
      <c r="T64" s="22">
        <f t="shared" ref="T64" ca="1" si="37">T20+T42</f>
        <v>114782.23868181616</v>
      </c>
      <c r="U64" s="22"/>
      <c r="V64" s="22">
        <f t="shared" ref="V64" ca="1" si="38">V20+V42</f>
        <v>0</v>
      </c>
      <c r="W64" s="9"/>
      <c r="X64" s="22">
        <f t="shared" ref="X64" ca="1" si="39">X20+X42</f>
        <v>81291.861903371362</v>
      </c>
      <c r="Y64" s="9"/>
      <c r="Z64" s="22">
        <f t="shared" ref="Z64" ca="1" si="40">Z20+Z42</f>
        <v>0</v>
      </c>
      <c r="AA64" s="22"/>
      <c r="AB64" s="22">
        <f t="shared" ref="AB64" ca="1" si="41">AB20+AB42</f>
        <v>0</v>
      </c>
      <c r="AC64" s="9"/>
      <c r="AD64" s="22">
        <f t="shared" ref="AD64" ca="1" si="42">AD20+AD42</f>
        <v>0</v>
      </c>
      <c r="AE64" s="9"/>
      <c r="AF64" s="22">
        <f t="shared" ref="AF64" ca="1" si="43">AF20+AF42</f>
        <v>0</v>
      </c>
      <c r="AG64" s="9"/>
      <c r="AH64" s="22">
        <f t="shared" ref="AH64" ca="1" si="44">AH20+AH42</f>
        <v>0</v>
      </c>
      <c r="AI64" s="9"/>
      <c r="AJ64" s="9">
        <f t="shared" ca="1" si="24"/>
        <v>266223.7909278989</v>
      </c>
      <c r="AK64" s="24"/>
      <c r="AL64" s="35" t="str">
        <f t="shared" ca="1" si="34"/>
        <v/>
      </c>
      <c r="AM64" s="107"/>
      <c r="AO64" s="66"/>
      <c r="AP64" s="170"/>
      <c r="AQ64" s="170"/>
      <c r="AR64" s="105"/>
      <c r="AS64" s="170"/>
      <c r="AT64" s="105"/>
      <c r="AU64" s="170"/>
      <c r="AV64" s="105"/>
      <c r="AW64" s="170"/>
      <c r="AX64" s="105"/>
      <c r="AY64" s="170"/>
      <c r="AZ64" s="105"/>
      <c r="BA64" s="170"/>
      <c r="BB64" s="105"/>
      <c r="BC64" s="170"/>
      <c r="BD64" s="105"/>
      <c r="BE64" s="170"/>
      <c r="BF64" s="105"/>
      <c r="BG64" s="170"/>
      <c r="BH64" s="105"/>
      <c r="BI64" s="170"/>
      <c r="BJ64" s="105"/>
      <c r="BK64" s="170"/>
      <c r="BL64" s="105"/>
    </row>
    <row r="65" spans="2:64" ht="13" x14ac:dyDescent="0.3">
      <c r="B65" s="163">
        <f t="shared" si="35"/>
        <v>36</v>
      </c>
      <c r="D65" s="99" t="s">
        <v>21</v>
      </c>
      <c r="F65" s="113">
        <f ca="1">Function!V65</f>
        <v>906639.32458782382</v>
      </c>
      <c r="H65" s="113"/>
      <c r="J65" s="91"/>
      <c r="K65" s="91">
        <f>_xlfn.IFNA(MATCH(J65,'Dist Factors'!$B$15:$B$431,0),0)</f>
        <v>0</v>
      </c>
      <c r="L65" s="113">
        <f t="shared" ca="1" si="36"/>
        <v>906639.32458782382</v>
      </c>
      <c r="N65" s="28"/>
      <c r="O65" s="186">
        <f>_xlfn.IFNA(MATCH(N65,'Dist Factors'!$B$15:$B$431,0),0)</f>
        <v>0</v>
      </c>
      <c r="P65" s="22">
        <f t="shared" ca="1" si="25"/>
        <v>230345.83057366405</v>
      </c>
      <c r="Q65" s="24"/>
      <c r="R65" s="22">
        <f t="shared" ca="1" si="25"/>
        <v>44056.994020906684</v>
      </c>
      <c r="S65" s="22"/>
      <c r="T65" s="22">
        <f t="shared" ref="T65" ca="1" si="45">T21+T43</f>
        <v>448990.87014788343</v>
      </c>
      <c r="U65" s="22"/>
      <c r="V65" s="22">
        <f t="shared" ref="V65" ca="1" si="46">V21+V43</f>
        <v>0</v>
      </c>
      <c r="W65" s="9"/>
      <c r="X65" s="22">
        <f t="shared" ref="X65" ca="1" si="47">X21+X43</f>
        <v>0</v>
      </c>
      <c r="Y65" s="9"/>
      <c r="Z65" s="22">
        <f t="shared" ref="Z65" ca="1" si="48">Z21+Z43</f>
        <v>0</v>
      </c>
      <c r="AA65" s="22"/>
      <c r="AB65" s="22">
        <f t="shared" ref="AB65" ca="1" si="49">AB21+AB43</f>
        <v>0</v>
      </c>
      <c r="AC65" s="9"/>
      <c r="AD65" s="22">
        <f t="shared" ref="AD65" ca="1" si="50">AD21+AD43</f>
        <v>183245.62984536967</v>
      </c>
      <c r="AE65" s="9"/>
      <c r="AF65" s="22">
        <f t="shared" ref="AF65" ca="1" si="51">AF21+AF43</f>
        <v>0</v>
      </c>
      <c r="AG65" s="9"/>
      <c r="AH65" s="22">
        <f t="shared" ref="AH65" ca="1" si="52">AH21+AH43</f>
        <v>0</v>
      </c>
      <c r="AI65" s="9"/>
      <c r="AJ65" s="9">
        <f t="shared" ca="1" si="24"/>
        <v>906639.32458782382</v>
      </c>
      <c r="AK65" s="24"/>
      <c r="AL65" s="35" t="str">
        <f t="shared" ca="1" si="34"/>
        <v/>
      </c>
      <c r="AM65" s="107"/>
      <c r="AO65" s="66"/>
      <c r="AP65" s="170"/>
      <c r="AQ65" s="170"/>
      <c r="AR65" s="105"/>
      <c r="AS65" s="170"/>
      <c r="AT65" s="105"/>
      <c r="AU65" s="170"/>
      <c r="AV65" s="105"/>
      <c r="AW65" s="170"/>
      <c r="AX65" s="105"/>
      <c r="AY65" s="170"/>
      <c r="AZ65" s="105"/>
      <c r="BA65" s="170"/>
      <c r="BB65" s="105"/>
      <c r="BC65" s="170"/>
      <c r="BD65" s="105"/>
      <c r="BE65" s="170"/>
      <c r="BF65" s="105"/>
      <c r="BG65" s="170"/>
      <c r="BH65" s="105"/>
      <c r="BI65" s="170"/>
      <c r="BJ65" s="105"/>
      <c r="BK65" s="170"/>
      <c r="BL65" s="105"/>
    </row>
    <row r="66" spans="2:64" ht="13" x14ac:dyDescent="0.3">
      <c r="B66" s="163">
        <f t="shared" si="35"/>
        <v>37</v>
      </c>
      <c r="D66" s="99" t="s">
        <v>23</v>
      </c>
      <c r="F66" s="113">
        <f ca="1">Function!V66</f>
        <v>5578151.5181530323</v>
      </c>
      <c r="H66" s="113"/>
      <c r="J66" s="91"/>
      <c r="K66" s="91">
        <f>_xlfn.IFNA(MATCH(J66,'Dist Factors'!$B$15:$B$431,0),0)</f>
        <v>0</v>
      </c>
      <c r="L66" s="113">
        <f t="shared" ca="1" si="36"/>
        <v>5578151.5181530323</v>
      </c>
      <c r="N66" s="28"/>
      <c r="O66" s="186">
        <f>_xlfn.IFNA(MATCH(N66,'Dist Factors'!$B$15:$B$431,0),0)</f>
        <v>0</v>
      </c>
      <c r="P66" s="22">
        <f t="shared" ca="1" si="25"/>
        <v>1163815.7195274895</v>
      </c>
      <c r="Q66" s="24"/>
      <c r="R66" s="22">
        <f t="shared" ca="1" si="25"/>
        <v>222596.70196314863</v>
      </c>
      <c r="S66" s="22"/>
      <c r="T66" s="22">
        <f t="shared" ref="T66" ca="1" si="53">T22+T44</f>
        <v>2268513.5272519058</v>
      </c>
      <c r="U66" s="22"/>
      <c r="V66" s="22">
        <f t="shared" ref="V66" ca="1" si="54">V22+V44</f>
        <v>0</v>
      </c>
      <c r="W66" s="9"/>
      <c r="X66" s="22">
        <f t="shared" ref="X66" ca="1" si="55">X22+X44</f>
        <v>1923225.5694104878</v>
      </c>
      <c r="Y66" s="9"/>
      <c r="Z66" s="22">
        <f t="shared" ref="Z66" ca="1" si="56">Z22+Z44</f>
        <v>0</v>
      </c>
      <c r="AA66" s="22"/>
      <c r="AB66" s="22">
        <f t="shared" ref="AB66" ca="1" si="57">AB22+AB44</f>
        <v>0</v>
      </c>
      <c r="AC66" s="9"/>
      <c r="AD66" s="22">
        <f t="shared" ref="AD66" ca="1" si="58">AD22+AD44</f>
        <v>0</v>
      </c>
      <c r="AE66" s="9"/>
      <c r="AF66" s="22">
        <f t="shared" ref="AF66" ca="1" si="59">AF22+AF44</f>
        <v>0</v>
      </c>
      <c r="AG66" s="9"/>
      <c r="AH66" s="22">
        <f t="shared" ref="AH66" ca="1" si="60">AH22+AH44</f>
        <v>0</v>
      </c>
      <c r="AI66" s="9"/>
      <c r="AJ66" s="9">
        <f t="shared" ca="1" si="24"/>
        <v>5578151.5181530314</v>
      </c>
      <c r="AK66" s="24"/>
      <c r="AL66" s="35" t="str">
        <f t="shared" ca="1" si="34"/>
        <v/>
      </c>
      <c r="AM66" s="107"/>
      <c r="AO66" s="66"/>
      <c r="AP66" s="170"/>
      <c r="AQ66" s="170"/>
      <c r="AR66" s="105"/>
      <c r="AS66" s="170"/>
      <c r="AT66" s="105"/>
      <c r="AU66" s="170"/>
      <c r="AV66" s="105"/>
      <c r="AW66" s="170"/>
      <c r="AX66" s="105"/>
      <c r="AY66" s="170"/>
      <c r="AZ66" s="105"/>
      <c r="BA66" s="170"/>
      <c r="BB66" s="105"/>
      <c r="BC66" s="170"/>
      <c r="BD66" s="105"/>
      <c r="BE66" s="170"/>
      <c r="BF66" s="105"/>
      <c r="BG66" s="170"/>
      <c r="BH66" s="105"/>
      <c r="BI66" s="170"/>
      <c r="BJ66" s="105"/>
      <c r="BK66" s="170"/>
      <c r="BL66" s="105"/>
    </row>
    <row r="67" spans="2:64" ht="13" x14ac:dyDescent="0.3">
      <c r="B67" s="163">
        <f t="shared" si="35"/>
        <v>38</v>
      </c>
      <c r="D67" s="99" t="s">
        <v>25</v>
      </c>
      <c r="F67" s="113">
        <f ca="1">Function!V67</f>
        <v>23533.724601800073</v>
      </c>
      <c r="H67" s="113"/>
      <c r="K67" s="91">
        <f>_xlfn.IFNA(MATCH(J67,'Dist Factors'!$B$15:$B$431,0),0)</f>
        <v>0</v>
      </c>
      <c r="L67" s="113">
        <f t="shared" ca="1" si="36"/>
        <v>23533.724601800073</v>
      </c>
      <c r="N67" s="28"/>
      <c r="O67" s="186">
        <f>_xlfn.IFNA(MATCH(N67,'Dist Factors'!$B$15:$B$431,0),0)</f>
        <v>0</v>
      </c>
      <c r="P67" s="22">
        <f t="shared" ca="1" si="25"/>
        <v>0</v>
      </c>
      <c r="Q67" s="24"/>
      <c r="R67" s="22">
        <f t="shared" ca="1" si="25"/>
        <v>0</v>
      </c>
      <c r="S67" s="22"/>
      <c r="T67" s="22">
        <f t="shared" ref="T67" ca="1" si="61">T23+T45</f>
        <v>0</v>
      </c>
      <c r="U67" s="22"/>
      <c r="V67" s="22">
        <f t="shared" ref="V67" ca="1" si="62">V23+V45</f>
        <v>0</v>
      </c>
      <c r="W67" s="9"/>
      <c r="X67" s="22">
        <f t="shared" ref="X67" ca="1" si="63">X23+X45</f>
        <v>0</v>
      </c>
      <c r="Y67" s="9"/>
      <c r="Z67" s="22">
        <f t="shared" ref="Z67" ca="1" si="64">Z23+Z45</f>
        <v>0</v>
      </c>
      <c r="AA67" s="22"/>
      <c r="AB67" s="22">
        <f t="shared" ref="AB67" ca="1" si="65">AB23+AB45</f>
        <v>0</v>
      </c>
      <c r="AC67" s="9"/>
      <c r="AD67" s="22">
        <f t="shared" ref="AD67" ca="1" si="66">AD23+AD45</f>
        <v>23533.724601800073</v>
      </c>
      <c r="AE67" s="9"/>
      <c r="AF67" s="22">
        <f t="shared" ref="AF67" ca="1" si="67">AF23+AF45</f>
        <v>0</v>
      </c>
      <c r="AG67" s="9"/>
      <c r="AH67" s="22">
        <f t="shared" ref="AH67" ca="1" si="68">AH23+AH45</f>
        <v>0</v>
      </c>
      <c r="AI67" s="9"/>
      <c r="AJ67" s="9">
        <f t="shared" ca="1" si="24"/>
        <v>23533.724601800073</v>
      </c>
      <c r="AK67" s="24"/>
      <c r="AL67" s="35" t="str">
        <f t="shared" ca="1" si="34"/>
        <v/>
      </c>
      <c r="AM67" s="107"/>
      <c r="AO67" s="66"/>
      <c r="AP67" s="170"/>
      <c r="AQ67" s="170"/>
      <c r="AR67" s="105"/>
      <c r="AS67" s="170"/>
      <c r="AT67" s="105"/>
      <c r="AU67" s="170"/>
      <c r="AV67" s="105"/>
      <c r="AW67" s="170"/>
      <c r="AX67" s="105"/>
      <c r="AY67" s="170"/>
      <c r="AZ67" s="105"/>
      <c r="BA67" s="170"/>
      <c r="BB67" s="105"/>
      <c r="BC67" s="170"/>
      <c r="BD67" s="105"/>
      <c r="BE67" s="170"/>
      <c r="BF67" s="105"/>
      <c r="BG67" s="170"/>
      <c r="BH67" s="105"/>
      <c r="BI67" s="170"/>
      <c r="BJ67" s="105"/>
      <c r="BK67" s="170"/>
      <c r="BL67" s="105"/>
    </row>
    <row r="68" spans="2:64" ht="13" x14ac:dyDescent="0.3">
      <c r="B68" s="163">
        <f t="shared" si="35"/>
        <v>39</v>
      </c>
      <c r="D68" s="99" t="s">
        <v>27</v>
      </c>
      <c r="F68" s="113">
        <f ca="1">Function!V68</f>
        <v>0</v>
      </c>
      <c r="H68" s="113"/>
      <c r="K68" s="91">
        <f>_xlfn.IFNA(MATCH(J68,'Dist Factors'!$B$15:$B$431,0),0)</f>
        <v>0</v>
      </c>
      <c r="L68" s="113">
        <f t="shared" ca="1" si="36"/>
        <v>0</v>
      </c>
      <c r="N68" s="28"/>
      <c r="O68" s="186">
        <f>_xlfn.IFNA(MATCH(N68,'Dist Factors'!$B$15:$B$431,0),0)</f>
        <v>0</v>
      </c>
      <c r="P68" s="22">
        <f t="shared" ca="1" si="25"/>
        <v>0</v>
      </c>
      <c r="Q68" s="24"/>
      <c r="R68" s="22">
        <f t="shared" ca="1" si="25"/>
        <v>0</v>
      </c>
      <c r="S68" s="22"/>
      <c r="T68" s="22">
        <f t="shared" ref="T68" ca="1" si="69">T24+T46</f>
        <v>0</v>
      </c>
      <c r="U68" s="22"/>
      <c r="V68" s="22">
        <f t="shared" ref="V68" ca="1" si="70">V24+V46</f>
        <v>0</v>
      </c>
      <c r="W68" s="9"/>
      <c r="X68" s="22">
        <f t="shared" ref="X68" ca="1" si="71">X24+X46</f>
        <v>0</v>
      </c>
      <c r="Y68" s="9"/>
      <c r="Z68" s="22">
        <f t="shared" ref="Z68" ca="1" si="72">Z24+Z46</f>
        <v>0</v>
      </c>
      <c r="AA68" s="22"/>
      <c r="AB68" s="22">
        <f t="shared" ref="AB68" ca="1" si="73">AB24+AB46</f>
        <v>0</v>
      </c>
      <c r="AC68" s="9"/>
      <c r="AD68" s="22">
        <f t="shared" ref="AD68" ca="1" si="74">AD24+AD46</f>
        <v>0</v>
      </c>
      <c r="AE68" s="9"/>
      <c r="AF68" s="22">
        <f t="shared" ref="AF68" ca="1" si="75">AF24+AF46</f>
        <v>0</v>
      </c>
      <c r="AG68" s="9"/>
      <c r="AH68" s="22">
        <f t="shared" ref="AH68" ca="1" si="76">AH24+AH46</f>
        <v>0</v>
      </c>
      <c r="AI68" s="9"/>
      <c r="AJ68" s="9">
        <f t="shared" ca="1" si="24"/>
        <v>0</v>
      </c>
      <c r="AK68" s="24"/>
      <c r="AL68" s="35" t="str">
        <f t="shared" ca="1" si="34"/>
        <v/>
      </c>
      <c r="AM68" s="107"/>
      <c r="AO68" s="66"/>
      <c r="AP68" s="170"/>
      <c r="AQ68" s="170"/>
      <c r="AR68" s="105"/>
      <c r="AS68" s="170"/>
      <c r="AT68" s="105"/>
      <c r="AU68" s="170"/>
      <c r="AV68" s="105"/>
      <c r="AW68" s="170"/>
      <c r="AX68" s="105"/>
      <c r="AY68" s="170"/>
      <c r="AZ68" s="105"/>
      <c r="BA68" s="170"/>
      <c r="BB68" s="105"/>
      <c r="BC68" s="170"/>
      <c r="BD68" s="105"/>
      <c r="BE68" s="170"/>
      <c r="BF68" s="105"/>
      <c r="BG68" s="170"/>
      <c r="BH68" s="105"/>
      <c r="BI68" s="170"/>
      <c r="BJ68" s="105"/>
      <c r="BK68" s="170"/>
      <c r="BL68" s="105"/>
    </row>
    <row r="69" spans="2:64" ht="13" x14ac:dyDescent="0.3">
      <c r="B69" s="163">
        <f t="shared" si="35"/>
        <v>40</v>
      </c>
      <c r="D69" s="99" t="s">
        <v>29</v>
      </c>
      <c r="F69" s="113">
        <f ca="1">Function!V69</f>
        <v>0</v>
      </c>
      <c r="H69" s="113"/>
      <c r="K69" s="91">
        <f>_xlfn.IFNA(MATCH(J69,'Dist Factors'!$B$15:$B$431,0),0)</f>
        <v>0</v>
      </c>
      <c r="L69" s="113">
        <f t="shared" ca="1" si="36"/>
        <v>0</v>
      </c>
      <c r="N69" s="28"/>
      <c r="O69" s="186">
        <f>_xlfn.IFNA(MATCH(N69,'Dist Factors'!$B$15:$B$431,0),0)</f>
        <v>0</v>
      </c>
      <c r="P69" s="22">
        <f t="shared" ca="1" si="25"/>
        <v>0</v>
      </c>
      <c r="Q69" s="24"/>
      <c r="R69" s="22">
        <f t="shared" ca="1" si="25"/>
        <v>0</v>
      </c>
      <c r="S69" s="22"/>
      <c r="T69" s="22">
        <f t="shared" ref="T69" ca="1" si="77">T25+T47</f>
        <v>0</v>
      </c>
      <c r="U69" s="22"/>
      <c r="V69" s="22">
        <f t="shared" ref="V69" ca="1" si="78">V25+V47</f>
        <v>0</v>
      </c>
      <c r="W69" s="9"/>
      <c r="X69" s="22">
        <f t="shared" ref="X69" ca="1" si="79">X25+X47</f>
        <v>0</v>
      </c>
      <c r="Y69" s="9"/>
      <c r="Z69" s="22">
        <f t="shared" ref="Z69" ca="1" si="80">Z25+Z47</f>
        <v>0</v>
      </c>
      <c r="AA69" s="22"/>
      <c r="AB69" s="22">
        <f t="shared" ref="AB69" ca="1" si="81">AB25+AB47</f>
        <v>0</v>
      </c>
      <c r="AC69" s="9"/>
      <c r="AD69" s="22">
        <f t="shared" ref="AD69" ca="1" si="82">AD25+AD47</f>
        <v>0</v>
      </c>
      <c r="AE69" s="9"/>
      <c r="AF69" s="22">
        <f t="shared" ref="AF69" ca="1" si="83">AF25+AF47</f>
        <v>0</v>
      </c>
      <c r="AG69" s="9"/>
      <c r="AH69" s="22">
        <f t="shared" ref="AH69" ca="1" si="84">AH25+AH47</f>
        <v>0</v>
      </c>
      <c r="AI69" s="9"/>
      <c r="AJ69" s="9">
        <f t="shared" ca="1" si="24"/>
        <v>0</v>
      </c>
      <c r="AK69" s="24"/>
      <c r="AL69" s="35" t="str">
        <f t="shared" ca="1" si="34"/>
        <v/>
      </c>
      <c r="AM69" s="107"/>
      <c r="AO69" s="66"/>
      <c r="AP69" s="170"/>
      <c r="AQ69" s="170"/>
      <c r="AR69" s="105"/>
      <c r="AS69" s="170"/>
      <c r="AT69" s="105"/>
      <c r="AU69" s="170"/>
      <c r="AV69" s="105"/>
      <c r="AW69" s="170"/>
      <c r="AX69" s="105"/>
      <c r="AY69" s="170"/>
      <c r="AZ69" s="105"/>
      <c r="BA69" s="170"/>
      <c r="BB69" s="105"/>
      <c r="BC69" s="170"/>
      <c r="BD69" s="105"/>
      <c r="BE69" s="170"/>
      <c r="BF69" s="105"/>
      <c r="BG69" s="170"/>
      <c r="BH69" s="105"/>
      <c r="BI69" s="170"/>
      <c r="BJ69" s="105"/>
      <c r="BK69" s="170"/>
      <c r="BL69" s="105"/>
    </row>
    <row r="70" spans="2:64" ht="13" x14ac:dyDescent="0.3">
      <c r="B70" s="163">
        <f t="shared" si="35"/>
        <v>41</v>
      </c>
      <c r="D70" s="99" t="s">
        <v>30</v>
      </c>
      <c r="F70" s="113">
        <f ca="1">Function!V70</f>
        <v>0</v>
      </c>
      <c r="H70" s="113"/>
      <c r="K70" s="91">
        <f>_xlfn.IFNA(MATCH(J70,'Dist Factors'!$B$15:$B$431,0),0)</f>
        <v>0</v>
      </c>
      <c r="L70" s="113">
        <f t="shared" ca="1" si="36"/>
        <v>0</v>
      </c>
      <c r="N70" s="28"/>
      <c r="O70" s="186">
        <f>_xlfn.IFNA(MATCH(N70,'Dist Factors'!$B$15:$B$431,0),0)</f>
        <v>0</v>
      </c>
      <c r="P70" s="22">
        <f t="shared" ca="1" si="25"/>
        <v>0</v>
      </c>
      <c r="Q70" s="24"/>
      <c r="R70" s="22">
        <f t="shared" ca="1" si="25"/>
        <v>0</v>
      </c>
      <c r="S70" s="22"/>
      <c r="T70" s="22">
        <f t="shared" ref="T70" ca="1" si="85">T26+T48</f>
        <v>0</v>
      </c>
      <c r="U70" s="22"/>
      <c r="V70" s="22">
        <f t="shared" ref="V70" ca="1" si="86">V26+V48</f>
        <v>0</v>
      </c>
      <c r="W70" s="9"/>
      <c r="X70" s="22">
        <f t="shared" ref="X70" ca="1" si="87">X26+X48</f>
        <v>0</v>
      </c>
      <c r="Y70" s="9"/>
      <c r="Z70" s="22">
        <f t="shared" ref="Z70" ca="1" si="88">Z26+Z48</f>
        <v>0</v>
      </c>
      <c r="AA70" s="22"/>
      <c r="AB70" s="22">
        <f t="shared" ref="AB70" ca="1" si="89">AB26+AB48</f>
        <v>0</v>
      </c>
      <c r="AC70" s="9"/>
      <c r="AD70" s="22">
        <f t="shared" ref="AD70" ca="1" si="90">AD26+AD48</f>
        <v>0</v>
      </c>
      <c r="AE70" s="9"/>
      <c r="AF70" s="22">
        <f t="shared" ref="AF70" ca="1" si="91">AF26+AF48</f>
        <v>0</v>
      </c>
      <c r="AG70" s="9"/>
      <c r="AH70" s="22">
        <f t="shared" ref="AH70" ca="1" si="92">AH26+AH48</f>
        <v>0</v>
      </c>
      <c r="AI70" s="9"/>
      <c r="AJ70" s="9">
        <f t="shared" ca="1" si="24"/>
        <v>0</v>
      </c>
      <c r="AK70" s="24"/>
      <c r="AL70" s="35" t="str">
        <f t="shared" ca="1" si="34"/>
        <v/>
      </c>
      <c r="AM70" s="107"/>
      <c r="AO70" s="66"/>
      <c r="AP70" s="170"/>
      <c r="AQ70" s="170"/>
      <c r="AR70" s="105"/>
      <c r="AS70" s="170"/>
      <c r="AT70" s="105"/>
      <c r="AU70" s="170"/>
      <c r="AV70" s="105"/>
      <c r="AW70" s="170"/>
      <c r="AX70" s="105"/>
      <c r="AY70" s="170"/>
      <c r="AZ70" s="105"/>
      <c r="BA70" s="170"/>
      <c r="BB70" s="105"/>
      <c r="BC70" s="170"/>
      <c r="BD70" s="105"/>
      <c r="BE70" s="170"/>
      <c r="BF70" s="105"/>
      <c r="BG70" s="170"/>
      <c r="BH70" s="105"/>
      <c r="BI70" s="170"/>
      <c r="BJ70" s="105"/>
      <c r="BK70" s="170"/>
      <c r="BL70" s="105"/>
    </row>
    <row r="71" spans="2:64" ht="13" x14ac:dyDescent="0.3">
      <c r="B71" s="163">
        <f t="shared" si="35"/>
        <v>42</v>
      </c>
      <c r="D71" s="99" t="s">
        <v>31</v>
      </c>
      <c r="F71" s="113">
        <f ca="1">Function!V71</f>
        <v>3435544.5545676993</v>
      </c>
      <c r="H71" s="113"/>
      <c r="K71" s="91">
        <f>_xlfn.IFNA(MATCH(J71,'Dist Factors'!$B$15:$B$431,0),0)</f>
        <v>0</v>
      </c>
      <c r="L71" s="113">
        <f t="shared" ca="1" si="36"/>
        <v>3435544.5545676993</v>
      </c>
      <c r="N71" s="28"/>
      <c r="O71" s="186">
        <f>_xlfn.IFNA(MATCH(N71,'Dist Factors'!$B$15:$B$431,0),0)</f>
        <v>0</v>
      </c>
      <c r="P71" s="22">
        <f t="shared" ca="1" si="25"/>
        <v>0</v>
      </c>
      <c r="Q71" s="24"/>
      <c r="R71" s="22">
        <f t="shared" ca="1" si="25"/>
        <v>0</v>
      </c>
      <c r="S71" s="22"/>
      <c r="T71" s="22">
        <f t="shared" ref="T71" ca="1" si="93">T27+T49</f>
        <v>0</v>
      </c>
      <c r="U71" s="22"/>
      <c r="V71" s="22">
        <f t="shared" ref="V71" ca="1" si="94">V27+V49</f>
        <v>0</v>
      </c>
      <c r="W71" s="9"/>
      <c r="X71" s="22">
        <f t="shared" ref="X71" ca="1" si="95">X27+X49</f>
        <v>0</v>
      </c>
      <c r="Y71" s="9"/>
      <c r="Z71" s="22">
        <f t="shared" ref="Z71" ca="1" si="96">Z27+Z49</f>
        <v>3435544.5545676993</v>
      </c>
      <c r="AA71" s="22"/>
      <c r="AB71" s="22">
        <f t="shared" ref="AB71" ca="1" si="97">AB27+AB49</f>
        <v>0</v>
      </c>
      <c r="AC71" s="9"/>
      <c r="AD71" s="22">
        <f t="shared" ref="AD71" ca="1" si="98">AD27+AD49</f>
        <v>0</v>
      </c>
      <c r="AE71" s="9"/>
      <c r="AF71" s="22">
        <f t="shared" ref="AF71" ca="1" si="99">AF27+AF49</f>
        <v>0</v>
      </c>
      <c r="AG71" s="9"/>
      <c r="AH71" s="22">
        <f t="shared" ref="AH71" ca="1" si="100">AH27+AH49</f>
        <v>0</v>
      </c>
      <c r="AI71" s="9"/>
      <c r="AJ71" s="9">
        <f t="shared" ca="1" si="24"/>
        <v>3435544.5545676993</v>
      </c>
      <c r="AK71" s="24"/>
      <c r="AL71" s="35" t="str">
        <f t="shared" ca="1" si="34"/>
        <v/>
      </c>
      <c r="AM71" s="107"/>
      <c r="AO71" s="66"/>
      <c r="AP71" s="170"/>
      <c r="AQ71" s="170"/>
      <c r="AR71" s="105"/>
      <c r="AS71" s="170"/>
      <c r="AT71" s="105"/>
      <c r="AU71" s="170"/>
      <c r="AV71" s="105"/>
      <c r="AW71" s="170"/>
      <c r="AX71" s="105"/>
      <c r="AY71" s="170"/>
      <c r="AZ71" s="105"/>
      <c r="BA71" s="170"/>
      <c r="BB71" s="105"/>
      <c r="BC71" s="170"/>
      <c r="BD71" s="105"/>
      <c r="BE71" s="170"/>
      <c r="BF71" s="105"/>
      <c r="BG71" s="170"/>
      <c r="BH71" s="105"/>
      <c r="BI71" s="170"/>
      <c r="BJ71" s="105"/>
      <c r="BK71" s="170"/>
      <c r="BL71" s="105"/>
    </row>
    <row r="72" spans="2:64" ht="13" x14ac:dyDescent="0.3">
      <c r="B72" s="163">
        <f t="shared" si="35"/>
        <v>43</v>
      </c>
      <c r="D72" s="99" t="s">
        <v>327</v>
      </c>
      <c r="F72" s="113">
        <f ca="1">Function!V72</f>
        <v>982006.79359896539</v>
      </c>
      <c r="H72" s="113"/>
      <c r="K72" s="91">
        <f>_xlfn.IFNA(MATCH(J72,'Dist Factors'!$B$15:$B$431,0),0)</f>
        <v>0</v>
      </c>
      <c r="L72" s="113">
        <f t="shared" ca="1" si="36"/>
        <v>982006.79359896539</v>
      </c>
      <c r="N72" s="28"/>
      <c r="O72" s="186">
        <f>_xlfn.IFNA(MATCH(N72,'Dist Factors'!$B$15:$B$431,0),0)</f>
        <v>0</v>
      </c>
      <c r="P72" s="22">
        <f t="shared" ca="1" si="25"/>
        <v>0</v>
      </c>
      <c r="Q72" s="24"/>
      <c r="R72" s="22">
        <f t="shared" ca="1" si="25"/>
        <v>0</v>
      </c>
      <c r="S72" s="22"/>
      <c r="T72" s="22">
        <f t="shared" ref="T72" ca="1" si="101">T28+T50</f>
        <v>0</v>
      </c>
      <c r="U72" s="22"/>
      <c r="V72" s="22">
        <f t="shared" ref="V72" ca="1" si="102">V28+V50</f>
        <v>0</v>
      </c>
      <c r="W72" s="9"/>
      <c r="X72" s="22">
        <f t="shared" ref="X72" ca="1" si="103">X28+X50</f>
        <v>0</v>
      </c>
      <c r="Y72" s="9"/>
      <c r="Z72" s="22">
        <f t="shared" ref="Z72" ca="1" si="104">Z28+Z50</f>
        <v>0</v>
      </c>
      <c r="AA72" s="22"/>
      <c r="AB72" s="22">
        <f t="shared" ref="AB72" ca="1" si="105">AB28+AB50</f>
        <v>982006.79359896539</v>
      </c>
      <c r="AC72" s="9"/>
      <c r="AD72" s="22">
        <f t="shared" ref="AD72" ca="1" si="106">AD28+AD50</f>
        <v>0</v>
      </c>
      <c r="AE72" s="9"/>
      <c r="AF72" s="22">
        <f t="shared" ref="AF72" ca="1" si="107">AF28+AF50</f>
        <v>0</v>
      </c>
      <c r="AG72" s="9"/>
      <c r="AH72" s="22">
        <f t="shared" ref="AH72" ca="1" si="108">AH28+AH50</f>
        <v>0</v>
      </c>
      <c r="AI72" s="9"/>
      <c r="AJ72" s="9">
        <f t="shared" ca="1" si="24"/>
        <v>982006.79359896539</v>
      </c>
      <c r="AK72" s="24"/>
      <c r="AL72" s="35" t="str">
        <f t="shared" ca="1" si="34"/>
        <v/>
      </c>
      <c r="AM72" s="107"/>
      <c r="AO72" s="66"/>
      <c r="AP72" s="170"/>
      <c r="AQ72" s="170"/>
      <c r="AR72" s="105"/>
      <c r="AS72" s="170"/>
      <c r="AT72" s="105"/>
      <c r="AU72" s="170"/>
      <c r="AV72" s="105"/>
      <c r="AW72" s="170"/>
      <c r="AX72" s="105"/>
      <c r="AY72" s="170"/>
      <c r="AZ72" s="105"/>
      <c r="BA72" s="170"/>
      <c r="BB72" s="105"/>
      <c r="BC72" s="170"/>
      <c r="BD72" s="105"/>
      <c r="BE72" s="170"/>
      <c r="BF72" s="105"/>
      <c r="BG72" s="170"/>
      <c r="BH72" s="105"/>
      <c r="BI72" s="170"/>
      <c r="BJ72" s="105"/>
      <c r="BK72" s="170"/>
      <c r="BL72" s="105"/>
    </row>
    <row r="73" spans="2:64" ht="13" x14ac:dyDescent="0.3">
      <c r="B73" s="163">
        <f>B72+1</f>
        <v>44</v>
      </c>
      <c r="D73" s="99" t="s">
        <v>34</v>
      </c>
      <c r="F73" s="113">
        <f ca="1">Function!V73</f>
        <v>107551.33975514246</v>
      </c>
      <c r="H73" s="113"/>
      <c r="K73" s="91">
        <f>_xlfn.IFNA(MATCH(J73,'Dist Factors'!$B$15:$B$431,0),0)</f>
        <v>0</v>
      </c>
      <c r="L73" s="113">
        <f t="shared" ca="1" si="36"/>
        <v>107551.33975514246</v>
      </c>
      <c r="N73" s="28"/>
      <c r="O73" s="186">
        <f>_xlfn.IFNA(MATCH(N73,'Dist Factors'!$B$15:$B$431,0),0)</f>
        <v>0</v>
      </c>
      <c r="P73" s="22">
        <f t="shared" ca="1" si="25"/>
        <v>0</v>
      </c>
      <c r="Q73" s="24"/>
      <c r="R73" s="22">
        <f t="shared" ca="1" si="25"/>
        <v>0</v>
      </c>
      <c r="S73" s="22"/>
      <c r="T73" s="22">
        <f t="shared" ref="T73" ca="1" si="109">T29+T51</f>
        <v>0</v>
      </c>
      <c r="U73" s="22"/>
      <c r="V73" s="22">
        <f t="shared" ref="V73" ca="1" si="110">V29+V51</f>
        <v>0</v>
      </c>
      <c r="W73" s="9"/>
      <c r="X73" s="22">
        <f t="shared" ref="X73" ca="1" si="111">X29+X51</f>
        <v>0</v>
      </c>
      <c r="Y73" s="9"/>
      <c r="Z73" s="22">
        <f t="shared" ref="Z73" ca="1" si="112">Z29+Z51</f>
        <v>0</v>
      </c>
      <c r="AA73" s="22"/>
      <c r="AB73" s="22">
        <f t="shared" ref="AB73" ca="1" si="113">AB29+AB51</f>
        <v>0</v>
      </c>
      <c r="AC73" s="9"/>
      <c r="AD73" s="22">
        <f t="shared" ref="AD73" ca="1" si="114">AD29+AD51</f>
        <v>107551.33975514246</v>
      </c>
      <c r="AE73" s="9"/>
      <c r="AF73" s="22">
        <f t="shared" ref="AF73" ca="1" si="115">AF29+AF51</f>
        <v>0</v>
      </c>
      <c r="AG73" s="9"/>
      <c r="AH73" s="22">
        <f t="shared" ref="AH73" ca="1" si="116">AH29+AH51</f>
        <v>0</v>
      </c>
      <c r="AI73" s="9"/>
      <c r="AJ73" s="9">
        <f t="shared" ca="1" si="24"/>
        <v>107551.33975514246</v>
      </c>
      <c r="AK73" s="24"/>
      <c r="AL73" s="35" t="str">
        <f t="shared" ca="1" si="34"/>
        <v/>
      </c>
      <c r="AM73" s="107"/>
      <c r="AO73" s="66"/>
      <c r="AP73" s="170"/>
      <c r="AQ73" s="170"/>
      <c r="AR73" s="105"/>
      <c r="AS73" s="170"/>
      <c r="AT73" s="105"/>
      <c r="AU73" s="170"/>
      <c r="AV73" s="105"/>
      <c r="AW73" s="170"/>
      <c r="AX73" s="105"/>
      <c r="AY73" s="170"/>
      <c r="AZ73" s="105"/>
      <c r="BA73" s="170"/>
      <c r="BB73" s="105"/>
      <c r="BC73" s="170"/>
      <c r="BD73" s="105"/>
      <c r="BE73" s="170"/>
      <c r="BF73" s="105"/>
      <c r="BG73" s="170"/>
      <c r="BH73" s="105"/>
      <c r="BI73" s="170"/>
      <c r="BJ73" s="105"/>
      <c r="BK73" s="170"/>
      <c r="BL73" s="105"/>
    </row>
    <row r="74" spans="2:64" ht="13" x14ac:dyDescent="0.3">
      <c r="B74" s="163">
        <f>B73+1</f>
        <v>45</v>
      </c>
      <c r="D74" s="99" t="s">
        <v>78</v>
      </c>
      <c r="F74" s="113">
        <f ca="1">Function!V74</f>
        <v>2499.8284116270188</v>
      </c>
      <c r="H74" s="113"/>
      <c r="K74" s="91">
        <f>_xlfn.IFNA(MATCH(J74,'Dist Factors'!$B$15:$B$431,0),0)</f>
        <v>0</v>
      </c>
      <c r="L74" s="113">
        <f t="shared" ca="1" si="36"/>
        <v>2499.8284116270188</v>
      </c>
      <c r="O74" s="186">
        <f>_xlfn.IFNA(MATCH(N74,'Dist Factors'!$B$15:$B$431,0),0)</f>
        <v>0</v>
      </c>
      <c r="P74" s="22">
        <f t="shared" ca="1" si="25"/>
        <v>1883.3252895578187</v>
      </c>
      <c r="Q74" s="24"/>
      <c r="R74" s="22">
        <f t="shared" ca="1" si="25"/>
        <v>360.21338356691638</v>
      </c>
      <c r="S74" s="22"/>
      <c r="T74" s="22">
        <f t="shared" ref="T74" ca="1" si="117">T30+T52</f>
        <v>256.28973850228374</v>
      </c>
      <c r="U74" s="22"/>
      <c r="V74" s="22">
        <f t="shared" ref="V74" ca="1" si="118">V30+V52</f>
        <v>0</v>
      </c>
      <c r="W74" s="9"/>
      <c r="X74" s="22">
        <f t="shared" ref="X74" ca="1" si="119">X30+X52</f>
        <v>0</v>
      </c>
      <c r="Y74" s="9"/>
      <c r="Z74" s="22">
        <f t="shared" ref="Z74" ca="1" si="120">Z30+Z52</f>
        <v>0</v>
      </c>
      <c r="AA74" s="22"/>
      <c r="AB74" s="22">
        <f t="shared" ref="AB74" ca="1" si="121">AB30+AB52</f>
        <v>0</v>
      </c>
      <c r="AC74" s="9"/>
      <c r="AD74" s="22">
        <f t="shared" ref="AD74" ca="1" si="122">AD30+AD52</f>
        <v>0</v>
      </c>
      <c r="AE74" s="9"/>
      <c r="AF74" s="22">
        <f t="shared" ref="AF74" ca="1" si="123">AF30+AF52</f>
        <v>0</v>
      </c>
      <c r="AG74" s="9"/>
      <c r="AH74" s="22">
        <f t="shared" ref="AH74" ca="1" si="124">AH30+AH52</f>
        <v>0</v>
      </c>
      <c r="AI74" s="9"/>
      <c r="AJ74" s="9">
        <f t="shared" ca="1" si="24"/>
        <v>2499.8284116270188</v>
      </c>
      <c r="AK74" s="24"/>
      <c r="AL74" s="35" t="str">
        <f t="shared" ca="1" si="34"/>
        <v/>
      </c>
      <c r="AM74" s="107"/>
      <c r="AO74" s="66"/>
      <c r="AP74" s="170"/>
      <c r="AQ74" s="170"/>
      <c r="AR74" s="105"/>
      <c r="AS74" s="170"/>
      <c r="AT74" s="105"/>
      <c r="AU74" s="170"/>
      <c r="AV74" s="105"/>
      <c r="AW74" s="170"/>
      <c r="AX74" s="105"/>
      <c r="AY74" s="170"/>
      <c r="AZ74" s="105"/>
      <c r="BA74" s="170"/>
      <c r="BB74" s="105"/>
      <c r="BC74" s="170"/>
      <c r="BD74" s="105"/>
      <c r="BE74" s="170"/>
      <c r="BF74" s="105"/>
      <c r="BG74" s="170"/>
      <c r="BH74" s="105"/>
      <c r="BI74" s="170"/>
      <c r="BJ74" s="105"/>
      <c r="BK74" s="170"/>
      <c r="BL74" s="105"/>
    </row>
    <row r="75" spans="2:64" ht="13" x14ac:dyDescent="0.3">
      <c r="B75" s="163">
        <f t="shared" si="35"/>
        <v>46</v>
      </c>
      <c r="D75" s="99" t="s">
        <v>477</v>
      </c>
      <c r="F75" s="79">
        <f ca="1">SUM(F62:F74)</f>
        <v>11530019.73722508</v>
      </c>
      <c r="H75" s="79">
        <f>SUM(H62:H74)</f>
        <v>0</v>
      </c>
      <c r="L75" s="79">
        <f ca="1">SUM(L62:L74)</f>
        <v>11530019.73722508</v>
      </c>
      <c r="N75" s="28"/>
      <c r="P75" s="11">
        <f ca="1">SUM(P62:P74)</f>
        <v>1505334.5340772958</v>
      </c>
      <c r="Q75" s="12"/>
      <c r="R75" s="11">
        <f ca="1">SUM(R62:R74)</f>
        <v>287917.14789080434</v>
      </c>
      <c r="S75" s="13"/>
      <c r="T75" s="11">
        <f ca="1">SUM(T62:T74)</f>
        <v>2930788.4585967474</v>
      </c>
      <c r="U75" s="13"/>
      <c r="V75" s="11">
        <f ca="1">SUM(V62:V74)</f>
        <v>0</v>
      </c>
      <c r="W75" s="13"/>
      <c r="X75" s="11">
        <f ca="1">SUM(X62:X74)</f>
        <v>2074097.5542912565</v>
      </c>
      <c r="Y75" s="13"/>
      <c r="Z75" s="11">
        <f ca="1">SUM(Z62:Z74)</f>
        <v>3435544.5545676993</v>
      </c>
      <c r="AA75" s="13"/>
      <c r="AB75" s="11">
        <f ca="1">SUM(AB62:AB74)</f>
        <v>982006.79359896539</v>
      </c>
      <c r="AC75" s="13"/>
      <c r="AD75" s="11">
        <f ca="1">SUM(AD62:AD74)</f>
        <v>314330.69420231221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11530019.73722508</v>
      </c>
      <c r="AK75" s="23"/>
      <c r="AL75" s="35" t="str">
        <f t="shared" ca="1" si="34"/>
        <v/>
      </c>
      <c r="AM75" s="107"/>
      <c r="AO75" s="66"/>
      <c r="AP75" s="170"/>
      <c r="AQ75" s="170"/>
      <c r="AR75" s="66"/>
      <c r="AS75" s="170"/>
      <c r="AT75" s="66"/>
      <c r="AU75" s="170"/>
      <c r="AV75" s="66"/>
      <c r="AW75" s="170"/>
      <c r="AX75" s="66"/>
      <c r="AY75" s="170"/>
      <c r="AZ75" s="66"/>
      <c r="BA75" s="170"/>
      <c r="BB75" s="66"/>
      <c r="BC75" s="170"/>
      <c r="BD75" s="66"/>
      <c r="BE75" s="170"/>
      <c r="BF75" s="66"/>
      <c r="BG75" s="170"/>
      <c r="BH75" s="66"/>
      <c r="BI75" s="170"/>
      <c r="BJ75" s="66"/>
      <c r="BK75" s="170"/>
      <c r="BL75" s="66"/>
    </row>
    <row r="76" spans="2:64" ht="13" x14ac:dyDescent="0.3">
      <c r="N76" s="28"/>
      <c r="R76" s="99"/>
      <c r="T76" s="99"/>
      <c r="V76" s="99"/>
      <c r="X76" s="99"/>
      <c r="Z76" s="99"/>
      <c r="AB76" s="99"/>
      <c r="AD76" s="99"/>
      <c r="AF76" s="99"/>
      <c r="AH76" s="99"/>
      <c r="AJ76" s="8"/>
      <c r="AK76" s="24"/>
      <c r="AL76" s="35" t="str">
        <f t="shared" si="34"/>
        <v/>
      </c>
      <c r="AM76" s="107"/>
    </row>
    <row r="77" spans="2:64" ht="13" x14ac:dyDescent="0.3">
      <c r="B77" s="163">
        <f>B75+1</f>
        <v>47</v>
      </c>
      <c r="D77" s="99" t="s">
        <v>221</v>
      </c>
      <c r="F77" s="113">
        <f ca="1">Function!V77</f>
        <v>454725.93111161515</v>
      </c>
      <c r="H77" s="113"/>
      <c r="K77" s="91">
        <f>_xlfn.IFNA(MATCH(J77,'Dist Factors'!$B$15:$B$431,0),0)</f>
        <v>0</v>
      </c>
      <c r="L77" s="113">
        <f t="shared" ref="L77" ca="1" si="125">F77-H77</f>
        <v>454725.93111161515</v>
      </c>
      <c r="N77" s="28"/>
      <c r="O77" s="186">
        <f>_xlfn.IFNA(MATCH(N77,'Dist Factors'!$B$15:$B$431,0),0)</f>
        <v>0</v>
      </c>
      <c r="P77" s="22">
        <f t="shared" ref="P77:R77" ca="1" si="126">P33+P55</f>
        <v>47974.066047011911</v>
      </c>
      <c r="Q77" s="24"/>
      <c r="R77" s="22">
        <f t="shared" ca="1" si="126"/>
        <v>9175.7386523037767</v>
      </c>
      <c r="S77" s="22"/>
      <c r="T77" s="22">
        <f t="shared" ref="T77" ca="1" si="127">T33+T55</f>
        <v>93511.211404764239</v>
      </c>
      <c r="U77" s="22"/>
      <c r="V77" s="22">
        <f t="shared" ref="V77" ca="1" si="128">V33+V55</f>
        <v>18190.39819973347</v>
      </c>
      <c r="W77" s="9"/>
      <c r="X77" s="22">
        <f t="shared" ref="X77" ca="1" si="129">X33+X55</f>
        <v>65156.136019480153</v>
      </c>
      <c r="Y77" s="9"/>
      <c r="Z77" s="22">
        <f t="shared" ref="Z77" ca="1" si="130">Z33+Z55</f>
        <v>109381.73367504378</v>
      </c>
      <c r="AA77" s="22"/>
      <c r="AB77" s="22">
        <f t="shared" ref="AB77" ca="1" si="131">AB33+AB55</f>
        <v>38602.421297818306</v>
      </c>
      <c r="AC77" s="9"/>
      <c r="AD77" s="22">
        <f t="shared" ref="AD77" ca="1" si="132">AD33+AD55</f>
        <v>10630.302165950761</v>
      </c>
      <c r="AE77" s="9"/>
      <c r="AF77" s="22">
        <f t="shared" ref="AF77" ca="1" si="133">AF33+AF55</f>
        <v>62103.923649508812</v>
      </c>
      <c r="AG77" s="9"/>
      <c r="AH77" s="22">
        <f t="shared" ref="AH77" ca="1" si="134">AH33+AH55</f>
        <v>0</v>
      </c>
      <c r="AI77" s="9"/>
      <c r="AJ77" s="9">
        <f ca="1">SUM(P77:AI77)</f>
        <v>454725.93111161521</v>
      </c>
      <c r="AK77" s="24"/>
      <c r="AL77" s="35" t="str">
        <f t="shared" ca="1" si="34"/>
        <v/>
      </c>
      <c r="AM77" s="107"/>
      <c r="AN77" s="24"/>
      <c r="AO77" s="94"/>
      <c r="AP77" s="94"/>
      <c r="AQ77" s="94"/>
      <c r="AR77" s="94"/>
      <c r="AS77" s="94"/>
      <c r="AT77" s="94"/>
      <c r="AV77" s="94"/>
    </row>
    <row r="78" spans="2:64" ht="13" x14ac:dyDescent="0.3">
      <c r="N78" s="28"/>
      <c r="R78" s="99"/>
      <c r="T78" s="99"/>
      <c r="V78" s="99"/>
      <c r="X78" s="99"/>
      <c r="Z78" s="99"/>
      <c r="AB78" s="99"/>
      <c r="AD78" s="99"/>
      <c r="AF78" s="99"/>
      <c r="AH78" s="99"/>
      <c r="AJ78" s="8"/>
      <c r="AK78" s="24"/>
      <c r="AL78" s="35" t="str">
        <f t="shared" si="34"/>
        <v/>
      </c>
      <c r="AM78" s="107"/>
    </row>
    <row r="79" spans="2:64" ht="13" x14ac:dyDescent="0.3">
      <c r="B79" s="163">
        <f>B77+1</f>
        <v>48</v>
      </c>
      <c r="D79" s="99" t="s">
        <v>478</v>
      </c>
      <c r="F79" s="79">
        <f ca="1">F75+F77</f>
        <v>11984745.668336695</v>
      </c>
      <c r="H79" s="79">
        <f>H75+H77</f>
        <v>0</v>
      </c>
      <c r="L79" s="79">
        <f ca="1">L75+L77</f>
        <v>11984745.668336695</v>
      </c>
      <c r="N79" s="28"/>
      <c r="P79" s="10">
        <f ca="1">P75+P77</f>
        <v>1553308.6001243077</v>
      </c>
      <c r="Q79" s="14"/>
      <c r="R79" s="10">
        <f ca="1">R75+R77</f>
        <v>297092.88654310809</v>
      </c>
      <c r="S79" s="8"/>
      <c r="T79" s="10">
        <f ca="1">T75+T77</f>
        <v>3024299.6700015115</v>
      </c>
      <c r="U79" s="8"/>
      <c r="V79" s="10">
        <f ca="1">V75+V77</f>
        <v>18190.39819973347</v>
      </c>
      <c r="W79" s="8"/>
      <c r="X79" s="10">
        <f ca="1">X75+X77</f>
        <v>2139253.6903107367</v>
      </c>
      <c r="Y79" s="8"/>
      <c r="Z79" s="10">
        <f ca="1">Z75+Z77</f>
        <v>3544926.2882427429</v>
      </c>
      <c r="AA79" s="8"/>
      <c r="AB79" s="10">
        <f ca="1">AB75+AB77</f>
        <v>1020609.2148967837</v>
      </c>
      <c r="AC79" s="8"/>
      <c r="AD79" s="10">
        <f ca="1">AD75+AD77</f>
        <v>324960.99636826298</v>
      </c>
      <c r="AE79" s="8"/>
      <c r="AF79" s="10">
        <f ca="1">AF75+AF77</f>
        <v>62103.923649508812</v>
      </c>
      <c r="AG79" s="8"/>
      <c r="AH79" s="10">
        <f ca="1">AH75+AH77</f>
        <v>0</v>
      </c>
      <c r="AI79" s="8"/>
      <c r="AJ79" s="10">
        <f ca="1">AJ75+AJ77</f>
        <v>11984745.668336695</v>
      </c>
      <c r="AK79" s="24"/>
      <c r="AL79" s="35" t="str">
        <f t="shared" ca="1" si="34"/>
        <v/>
      </c>
      <c r="AM79" s="107"/>
    </row>
    <row r="80" spans="2:64" ht="13" x14ac:dyDescent="0.3">
      <c r="C80" s="99"/>
      <c r="D80" s="6"/>
      <c r="E80" s="6"/>
      <c r="F80" s="219"/>
      <c r="H80" s="219"/>
      <c r="L80" s="219"/>
      <c r="N80" s="28"/>
      <c r="AK80" s="24"/>
      <c r="AL80" s="35" t="str">
        <f t="shared" si="34"/>
        <v/>
      </c>
      <c r="AM80" s="107"/>
    </row>
    <row r="81" spans="2:46" ht="13" x14ac:dyDescent="0.3">
      <c r="C81" s="99"/>
      <c r="E81" s="28"/>
      <c r="F81" s="91"/>
      <c r="G81" s="91"/>
      <c r="H81" s="91"/>
      <c r="I81" s="91"/>
      <c r="J81" s="91"/>
      <c r="K81" s="91"/>
      <c r="L81" s="91"/>
      <c r="M81" s="91"/>
      <c r="N81" s="28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7"/>
      <c r="AL81" s="35" t="str">
        <f t="shared" si="34"/>
        <v/>
      </c>
      <c r="AM81" s="107"/>
    </row>
    <row r="82" spans="2:46" ht="13" x14ac:dyDescent="0.3">
      <c r="C82" s="99"/>
      <c r="D82" s="6" t="s">
        <v>36</v>
      </c>
      <c r="E82" s="28"/>
      <c r="F82" s="91"/>
      <c r="G82" s="91"/>
      <c r="H82" s="91"/>
      <c r="I82" s="91"/>
      <c r="J82" s="91"/>
      <c r="K82" s="91"/>
      <c r="L82" s="91"/>
      <c r="M82" s="91"/>
      <c r="N82" s="28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7"/>
      <c r="AL82" s="35" t="str">
        <f t="shared" si="34"/>
        <v/>
      </c>
      <c r="AM82" s="107"/>
      <c r="AN82" s="24"/>
      <c r="AO82" s="94"/>
      <c r="AP82" s="94"/>
      <c r="AQ82" s="94"/>
      <c r="AR82" s="94"/>
      <c r="AS82" s="94"/>
    </row>
    <row r="83" spans="2:46" ht="13" x14ac:dyDescent="0.3">
      <c r="C83" s="99"/>
      <c r="D83" s="97"/>
      <c r="N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7"/>
      <c r="AL83" s="35" t="str">
        <f t="shared" si="34"/>
        <v/>
      </c>
      <c r="AM83" s="107"/>
      <c r="AN83" s="24"/>
      <c r="AO83" s="94"/>
      <c r="AP83" s="94"/>
      <c r="AQ83" s="94"/>
      <c r="AR83" s="94"/>
      <c r="AS83" s="94"/>
    </row>
    <row r="84" spans="2:46" ht="13" x14ac:dyDescent="0.3">
      <c r="B84" s="163">
        <f>B79+1</f>
        <v>49</v>
      </c>
      <c r="C84" s="99"/>
      <c r="D84" s="97" t="s">
        <v>41</v>
      </c>
      <c r="F84" s="113">
        <f ca="1">+Function!V84</f>
        <v>81931.33568225526</v>
      </c>
      <c r="H84" s="113"/>
      <c r="K84" s="91">
        <f>_xlfn.IFNA(MATCH(J84,'Dist Factors'!$B$15:$B$431,0),0)</f>
        <v>0</v>
      </c>
      <c r="L84" s="113">
        <f t="shared" ref="L84:L88" ca="1" si="135">F84-H84</f>
        <v>81931.33568225526</v>
      </c>
      <c r="N84" s="28" t="s">
        <v>270</v>
      </c>
      <c r="O84" s="186">
        <f>_xlfn.IFNA(MATCH(N84,'Dist Factors'!$B$15:$B$431,0),0)</f>
        <v>38</v>
      </c>
      <c r="P84" s="22">
        <f ca="1">OFFSET('Dist Factors'!$B$15,$O84-1,P$14)*$L84+OFFSET('Dist Factors'!$B$15,$K84-1,P$14)*$H84</f>
        <v>10685.71268091262</v>
      </c>
      <c r="Q84" s="24"/>
      <c r="R84" s="22">
        <f ca="1">OFFSET('Dist Factors'!$B$15,$O84-1,R$14)*$L84+OFFSET('Dist Factors'!$B$15,$K84-1,R$14)*$H84</f>
        <v>2043.7981383020506</v>
      </c>
      <c r="S84" s="22"/>
      <c r="T84" s="22">
        <f ca="1">OFFSET('Dist Factors'!$B$15,$O84-1,T$14)*$L84+OFFSET('Dist Factors'!$B$15,$K84-1,T$14)*$H84</f>
        <v>20828.627211547933</v>
      </c>
      <c r="U84" s="22"/>
      <c r="V84" s="22">
        <f ca="1">OFFSET('Dist Factors'!$B$15,$O84-1,V$14)*$L84+OFFSET('Dist Factors'!$B$15,$K84-1,V$14)*$H84</f>
        <v>0</v>
      </c>
      <c r="W84" s="9"/>
      <c r="X84" s="22">
        <f ca="1">OFFSET('Dist Factors'!$B$15,$O84-1,X$14)*$L84+OFFSET('Dist Factors'!$B$15,$K84-1,X$14)*$H84</f>
        <v>14741.556232616662</v>
      </c>
      <c r="Y84" s="9"/>
      <c r="Z84" s="22">
        <f ca="1">OFFSET('Dist Factors'!$B$15,$O84-1,Z$14)*$L84+OFFSET('Dist Factors'!$B$15,$K84-1,Z$14)*$H84</f>
        <v>24417.980309574101</v>
      </c>
      <c r="AA84" s="22"/>
      <c r="AB84" s="22">
        <f ca="1">OFFSET('Dist Factors'!$B$15,$O84-1,AB$14)*$L84+OFFSET('Dist Factors'!$B$15,$K84-1,AB$14)*$H84</f>
        <v>6979.5696632974696</v>
      </c>
      <c r="AC84" s="9"/>
      <c r="AD84" s="22">
        <f ca="1">OFFSET('Dist Factors'!$B$15,$O84-1,AD$14)*$L84+OFFSET('Dist Factors'!$B$15,$K84-1,AD$14)*$H84</f>
        <v>2234.091446004436</v>
      </c>
      <c r="AE84" s="9"/>
      <c r="AF84" s="22">
        <f ca="1">OFFSET('Dist Factors'!$B$15,$O84-1,AF$14)*$L84+OFFSET('Dist Factors'!$B$15,$K84-1,AF$14)*$H84</f>
        <v>0</v>
      </c>
      <c r="AG84" s="9"/>
      <c r="AH84" s="22">
        <f ca="1">OFFSET('Dist Factors'!$B$15,$O84-1,AH$14)*$L84+OFFSET('Dist Factors'!$B$15,$K84-1,AH$14)*$H84</f>
        <v>0</v>
      </c>
      <c r="AI84" s="9"/>
      <c r="AJ84" s="22">
        <f t="shared" ref="AJ84:AJ88" ca="1" si="136">SUM(P84:AI84)</f>
        <v>81931.335682255274</v>
      </c>
      <c r="AK84" s="24"/>
      <c r="AL84" s="35" t="str">
        <f t="shared" ca="1" si="34"/>
        <v/>
      </c>
      <c r="AM84" s="107"/>
      <c r="AN84" s="24"/>
      <c r="AO84" s="94"/>
      <c r="AP84" s="94"/>
      <c r="AQ84" s="94"/>
      <c r="AR84" s="94"/>
      <c r="AS84" s="94"/>
    </row>
    <row r="85" spans="2:46" ht="13" x14ac:dyDescent="0.3">
      <c r="B85" s="163">
        <f>B84+1</f>
        <v>50</v>
      </c>
      <c r="C85" s="99"/>
      <c r="D85" s="97" t="s">
        <v>457</v>
      </c>
      <c r="F85" s="113">
        <f ca="1">+Function!V85</f>
        <v>-3887.429631239329</v>
      </c>
      <c r="H85" s="113"/>
      <c r="K85" s="91">
        <f>_xlfn.IFNA(MATCH(J85,'Dist Factors'!$B$15:$B$431,0),0)</f>
        <v>0</v>
      </c>
      <c r="L85" s="113">
        <f t="shared" ca="1" si="135"/>
        <v>-3887.429631239329</v>
      </c>
      <c r="N85" s="28" t="s">
        <v>270</v>
      </c>
      <c r="O85" s="186">
        <f>_xlfn.IFNA(MATCH(N85,'Dist Factors'!$B$15:$B$431,0),0)</f>
        <v>38</v>
      </c>
      <c r="P85" s="22">
        <f ca="1">OFFSET('Dist Factors'!$B$15,$O85-1,P$14)*$L85+OFFSET('Dist Factors'!$B$15,$K85-1,P$14)*$H85</f>
        <v>-507.00938488039708</v>
      </c>
      <c r="Q85" s="24"/>
      <c r="R85" s="22">
        <f ca="1">OFFSET('Dist Factors'!$B$15,$O85-1,R$14)*$L85+OFFSET('Dist Factors'!$B$15,$K85-1,R$14)*$H85</f>
        <v>-96.97292710959583</v>
      </c>
      <c r="S85" s="22"/>
      <c r="T85" s="22">
        <f ca="1">OFFSET('Dist Factors'!$B$15,$O85-1,T$14)*$L85+OFFSET('Dist Factors'!$B$15,$K85-1,T$14)*$H85</f>
        <v>-988.26440367364501</v>
      </c>
      <c r="U85" s="22"/>
      <c r="V85" s="22">
        <f ca="1">OFFSET('Dist Factors'!$B$15,$O85-1,V$14)*$L85+OFFSET('Dist Factors'!$B$15,$K85-1,V$14)*$H85</f>
        <v>0</v>
      </c>
      <c r="W85" s="9"/>
      <c r="X85" s="22">
        <f ca="1">OFFSET('Dist Factors'!$B$15,$O85-1,X$14)*$L85+OFFSET('Dist Factors'!$B$15,$K85-1,X$14)*$H85</f>
        <v>-699.44865455997137</v>
      </c>
      <c r="Y85" s="9"/>
      <c r="Z85" s="22">
        <f ca="1">OFFSET('Dist Factors'!$B$15,$O85-1,Z$14)*$L85+OFFSET('Dist Factors'!$B$15,$K85-1,Z$14)*$H85</f>
        <v>-1158.5699097911249</v>
      </c>
      <c r="AA85" s="22"/>
      <c r="AB85" s="22">
        <f ca="1">OFFSET('Dist Factors'!$B$15,$O85-1,AB$14)*$L85+OFFSET('Dist Factors'!$B$15,$K85-1,AB$14)*$H85</f>
        <v>-331.16249962806455</v>
      </c>
      <c r="AC85" s="9"/>
      <c r="AD85" s="22">
        <f ca="1">OFFSET('Dist Factors'!$B$15,$O85-1,AD$14)*$L85+OFFSET('Dist Factors'!$B$15,$K85-1,AD$14)*$H85</f>
        <v>-106.00185159653071</v>
      </c>
      <c r="AE85" s="9"/>
      <c r="AF85" s="22">
        <f ca="1">OFFSET('Dist Factors'!$B$15,$O85-1,AF$14)*$L85+OFFSET('Dist Factors'!$B$15,$K85-1,AF$14)*$H85</f>
        <v>0</v>
      </c>
      <c r="AG85" s="9"/>
      <c r="AH85" s="22">
        <f ca="1">OFFSET('Dist Factors'!$B$15,$O85-1,AH$14)*$L85+OFFSET('Dist Factors'!$B$15,$K85-1,AH$14)*$H85</f>
        <v>0</v>
      </c>
      <c r="AI85" s="9"/>
      <c r="AJ85" s="22">
        <f t="shared" ca="1" si="136"/>
        <v>-3887.4296312393294</v>
      </c>
      <c r="AK85" s="24"/>
      <c r="AL85" s="35" t="str">
        <f t="shared" ca="1" si="34"/>
        <v/>
      </c>
      <c r="AM85" s="107"/>
      <c r="AN85" s="24"/>
      <c r="AO85" s="94"/>
      <c r="AP85" s="94"/>
      <c r="AQ85" s="94"/>
      <c r="AR85" s="94"/>
      <c r="AS85" s="94"/>
    </row>
    <row r="86" spans="2:46" ht="13" x14ac:dyDescent="0.3">
      <c r="B86" s="163">
        <f t="shared" ref="B86:B89" si="137">B85+1</f>
        <v>51</v>
      </c>
      <c r="C86" s="99"/>
      <c r="D86" s="97" t="s">
        <v>42</v>
      </c>
      <c r="F86" s="113">
        <f ca="1">+Function!V86</f>
        <v>-46089.459949432538</v>
      </c>
      <c r="H86" s="113"/>
      <c r="K86" s="91">
        <f>_xlfn.IFNA(MATCH(J86,'Dist Factors'!$B$15:$B$431,0),0)</f>
        <v>0</v>
      </c>
      <c r="L86" s="113">
        <f t="shared" ca="1" si="135"/>
        <v>-46089.459949432538</v>
      </c>
      <c r="N86" s="28" t="s">
        <v>270</v>
      </c>
      <c r="O86" s="186">
        <f>_xlfn.IFNA(MATCH(N86,'Dist Factors'!$B$15:$B$431,0),0)</f>
        <v>38</v>
      </c>
      <c r="P86" s="22">
        <f ca="1">OFFSET('Dist Factors'!$B$15,$O86-1,P$14)*$L86+OFFSET('Dist Factors'!$B$15,$K86-1,P$14)*$H86</f>
        <v>-6011.1155583751979</v>
      </c>
      <c r="Q86" s="24"/>
      <c r="R86" s="22">
        <f ca="1">OFFSET('Dist Factors'!$B$15,$O86-1,R$14)*$L86+OFFSET('Dist Factors'!$B$15,$K86-1,R$14)*$H86</f>
        <v>-1149.7133746886846</v>
      </c>
      <c r="S86" s="22"/>
      <c r="T86" s="22">
        <f ca="1">OFFSET('Dist Factors'!$B$15,$O86-1,T$14)*$L86+OFFSET('Dist Factors'!$B$15,$K86-1,T$14)*$H86</f>
        <v>-11716.886728067979</v>
      </c>
      <c r="U86" s="22"/>
      <c r="V86" s="22">
        <f ca="1">OFFSET('Dist Factors'!$B$15,$O86-1,V$14)*$L86+OFFSET('Dist Factors'!$B$15,$K86-1,V$14)*$H86</f>
        <v>0</v>
      </c>
      <c r="W86" s="9"/>
      <c r="X86" s="22">
        <f ca="1">OFFSET('Dist Factors'!$B$15,$O86-1,X$14)*$L86+OFFSET('Dist Factors'!$B$15,$K86-1,X$14)*$H86</f>
        <v>-8292.6802049273156</v>
      </c>
      <c r="Y86" s="9"/>
      <c r="Z86" s="22">
        <f ca="1">OFFSET('Dist Factors'!$B$15,$O86-1,Z$14)*$L86+OFFSET('Dist Factors'!$B$15,$K86-1,Z$14)*$H86</f>
        <v>-13736.032937247601</v>
      </c>
      <c r="AA86" s="22"/>
      <c r="AB86" s="22">
        <f ca="1">OFFSET('Dist Factors'!$B$15,$O86-1,AB$14)*$L86+OFFSET('Dist Factors'!$B$15,$K86-1,AB$14)*$H86</f>
        <v>-3926.270623835243</v>
      </c>
      <c r="AC86" s="9"/>
      <c r="AD86" s="22">
        <f ca="1">OFFSET('Dist Factors'!$B$15,$O86-1,AD$14)*$L86+OFFSET('Dist Factors'!$B$15,$K86-1,AD$14)*$H86</f>
        <v>-1256.7605222905229</v>
      </c>
      <c r="AE86" s="9"/>
      <c r="AF86" s="22">
        <f ca="1">OFFSET('Dist Factors'!$B$15,$O86-1,AF$14)*$L86+OFFSET('Dist Factors'!$B$15,$K86-1,AF$14)*$H86</f>
        <v>0</v>
      </c>
      <c r="AG86" s="9"/>
      <c r="AH86" s="22">
        <f ca="1">OFFSET('Dist Factors'!$B$15,$O86-1,AH$14)*$L86+OFFSET('Dist Factors'!$B$15,$K86-1,AH$14)*$H86</f>
        <v>0</v>
      </c>
      <c r="AI86" s="9"/>
      <c r="AJ86" s="22">
        <f t="shared" ca="1" si="136"/>
        <v>-46089.459949432538</v>
      </c>
      <c r="AK86" s="24"/>
      <c r="AL86" s="35" t="str">
        <f t="shared" ca="1" si="34"/>
        <v/>
      </c>
      <c r="AM86" s="107"/>
      <c r="AN86" s="24"/>
      <c r="AO86" s="94"/>
      <c r="AP86" s="94"/>
      <c r="AQ86" s="94"/>
      <c r="AR86" s="94"/>
      <c r="AS86" s="94"/>
      <c r="AT86" s="94"/>
    </row>
    <row r="87" spans="2:46" ht="13" x14ac:dyDescent="0.3">
      <c r="B87" s="163">
        <f t="shared" si="137"/>
        <v>52</v>
      </c>
      <c r="C87" s="99"/>
      <c r="D87" s="97" t="s">
        <v>458</v>
      </c>
      <c r="F87" s="113">
        <f ca="1">+Function!V87</f>
        <v>0</v>
      </c>
      <c r="H87" s="113"/>
      <c r="K87" s="91">
        <f>_xlfn.IFNA(MATCH(J87,'Dist Factors'!$B$15:$B$431,0),0)</f>
        <v>0</v>
      </c>
      <c r="L87" s="113">
        <f t="shared" ca="1" si="135"/>
        <v>0</v>
      </c>
      <c r="N87" s="28"/>
      <c r="O87" s="186">
        <f>_xlfn.IFNA(MATCH(N87,'Dist Factors'!$B$15:$B$431,0),0)</f>
        <v>0</v>
      </c>
      <c r="P87" s="22">
        <f ca="1">OFFSET('Dist Factors'!$B$15,$O87-1,P$14)*$L87+OFFSET('Dist Factors'!$B$15,$K87-1,P$14)*$H87</f>
        <v>0</v>
      </c>
      <c r="Q87" s="24"/>
      <c r="R87" s="22">
        <f ca="1">OFFSET('Dist Factors'!$B$15,$O87-1,R$14)*$L87+OFFSET('Dist Factors'!$B$15,$K87-1,R$14)*$H87</f>
        <v>0</v>
      </c>
      <c r="S87" s="22"/>
      <c r="T87" s="22">
        <f ca="1">OFFSET('Dist Factors'!$B$15,$O87-1,T$14)*$L87+OFFSET('Dist Factors'!$B$15,$K87-1,T$14)*$H87</f>
        <v>0</v>
      </c>
      <c r="U87" s="22"/>
      <c r="V87" s="22">
        <f ca="1">OFFSET('Dist Factors'!$B$15,$O87-1,V$14)*$L87+OFFSET('Dist Factors'!$B$15,$K87-1,V$14)*$H87</f>
        <v>0</v>
      </c>
      <c r="W87" s="9"/>
      <c r="X87" s="22">
        <f ca="1">OFFSET('Dist Factors'!$B$15,$O87-1,X$14)*$L87+OFFSET('Dist Factors'!$B$15,$K87-1,X$14)*$H87</f>
        <v>0</v>
      </c>
      <c r="Y87" s="9"/>
      <c r="Z87" s="22">
        <f ca="1">OFFSET('Dist Factors'!$B$15,$O87-1,Z$14)*$L87+OFFSET('Dist Factors'!$B$15,$K87-1,Z$14)*$H87</f>
        <v>0</v>
      </c>
      <c r="AA87" s="22"/>
      <c r="AB87" s="22">
        <f ca="1">OFFSET('Dist Factors'!$B$15,$O87-1,AB$14)*$L87+OFFSET('Dist Factors'!$B$15,$K87-1,AB$14)*$H87</f>
        <v>0</v>
      </c>
      <c r="AC87" s="9"/>
      <c r="AD87" s="22">
        <f ca="1">OFFSET('Dist Factors'!$B$15,$O87-1,AD$14)*$L87+OFFSET('Dist Factors'!$B$15,$K87-1,AD$14)*$H87</f>
        <v>0</v>
      </c>
      <c r="AE87" s="9"/>
      <c r="AF87" s="22">
        <f ca="1">OFFSET('Dist Factors'!$B$15,$O87-1,AF$14)*$L87+OFFSET('Dist Factors'!$B$15,$K87-1,AF$14)*$H87</f>
        <v>0</v>
      </c>
      <c r="AG87" s="9"/>
      <c r="AH87" s="22">
        <f ca="1">OFFSET('Dist Factors'!$B$15,$O87-1,AH$14)*$L87+OFFSET('Dist Factors'!$B$15,$K87-1,AH$14)*$H87</f>
        <v>0</v>
      </c>
      <c r="AI87" s="9"/>
      <c r="AJ87" s="22">
        <f t="shared" ca="1" si="136"/>
        <v>0</v>
      </c>
      <c r="AK87" s="24"/>
      <c r="AL87" s="35" t="str">
        <f t="shared" ca="1" si="34"/>
        <v/>
      </c>
      <c r="AM87" s="107"/>
      <c r="AN87" s="24"/>
      <c r="AO87" s="94"/>
      <c r="AP87" s="94"/>
      <c r="AQ87" s="94"/>
      <c r="AR87" s="94"/>
      <c r="AS87" s="94"/>
      <c r="AT87" s="94"/>
    </row>
    <row r="88" spans="2:46" ht="13" x14ac:dyDescent="0.3">
      <c r="B88" s="163">
        <f t="shared" si="137"/>
        <v>53</v>
      </c>
      <c r="C88" s="99"/>
      <c r="D88" s="97" t="s">
        <v>459</v>
      </c>
      <c r="F88" s="113">
        <f ca="1">+Function!V88</f>
        <v>-101942.94895827069</v>
      </c>
      <c r="H88" s="113"/>
      <c r="K88" s="91">
        <f>_xlfn.IFNA(MATCH(J88,'Dist Factors'!$B$15:$B$431,0),0)</f>
        <v>0</v>
      </c>
      <c r="L88" s="113">
        <f t="shared" ca="1" si="135"/>
        <v>-101942.94895827069</v>
      </c>
      <c r="N88" s="28" t="s">
        <v>270</v>
      </c>
      <c r="O88" s="186">
        <f>_xlfn.IFNA(MATCH(N88,'Dist Factors'!$B$15:$B$431,0),0)</f>
        <v>38</v>
      </c>
      <c r="P88" s="22">
        <f ca="1">OFFSET('Dist Factors'!$B$15,$O88-1,P$14)*$L88+OFFSET('Dist Factors'!$B$15,$K88-1,P$14)*$H88</f>
        <v>-13295.682944040536</v>
      </c>
      <c r="Q88" s="24"/>
      <c r="R88" s="22">
        <f ca="1">OFFSET('Dist Factors'!$B$15,$O88-1,R$14)*$L88+OFFSET('Dist Factors'!$B$15,$K88-1,R$14)*$H88</f>
        <v>-2542.9929532939291</v>
      </c>
      <c r="S88" s="22"/>
      <c r="T88" s="22">
        <f ca="1">OFFSET('Dist Factors'!$B$15,$O88-1,T$14)*$L88+OFFSET('Dist Factors'!$B$15,$K88-1,T$14)*$H88</f>
        <v>-25915.990054554321</v>
      </c>
      <c r="U88" s="22"/>
      <c r="V88" s="22">
        <f ca="1">OFFSET('Dist Factors'!$B$15,$O88-1,V$14)*$L88+OFFSET('Dist Factors'!$B$15,$K88-1,V$14)*$H88</f>
        <v>0</v>
      </c>
      <c r="W88" s="9"/>
      <c r="X88" s="22">
        <f ca="1">OFFSET('Dist Factors'!$B$15,$O88-1,X$14)*$L88+OFFSET('Dist Factors'!$B$15,$K88-1,X$14)*$H88</f>
        <v>-18342.160567420047</v>
      </c>
      <c r="Y88" s="9"/>
      <c r="Z88" s="22">
        <f ca="1">OFFSET('Dist Factors'!$B$15,$O88-1,Z$14)*$L88+OFFSET('Dist Factors'!$B$15,$K88-1,Z$14)*$H88</f>
        <v>-30382.037588361844</v>
      </c>
      <c r="AA88" s="22"/>
      <c r="AB88" s="22">
        <f ca="1">OFFSET('Dist Factors'!$B$15,$O88-1,AB$14)*$L88+OFFSET('Dist Factors'!$B$15,$K88-1,AB$14)*$H88</f>
        <v>-8684.3197173743793</v>
      </c>
      <c r="AC88" s="9"/>
      <c r="AD88" s="22">
        <f ca="1">OFFSET('Dist Factors'!$B$15,$O88-1,AD$14)*$L88+OFFSET('Dist Factors'!$B$15,$K88-1,AD$14)*$H88</f>
        <v>-2779.7651332256455</v>
      </c>
      <c r="AE88" s="9"/>
      <c r="AF88" s="22">
        <f ca="1">OFFSET('Dist Factors'!$B$15,$O88-1,AF$14)*$L88+OFFSET('Dist Factors'!$B$15,$K88-1,AF$14)*$H88</f>
        <v>0</v>
      </c>
      <c r="AG88" s="9"/>
      <c r="AH88" s="22">
        <f ca="1">OFFSET('Dist Factors'!$B$15,$O88-1,AH$14)*$L88+OFFSET('Dist Factors'!$B$15,$K88-1,AH$14)*$H88</f>
        <v>0</v>
      </c>
      <c r="AI88" s="9"/>
      <c r="AJ88" s="22">
        <f t="shared" ca="1" si="136"/>
        <v>-101942.94895827072</v>
      </c>
      <c r="AK88" s="24"/>
      <c r="AL88" s="35" t="str">
        <f t="shared" ca="1" si="34"/>
        <v/>
      </c>
      <c r="AM88" s="107"/>
    </row>
    <row r="89" spans="2:46" ht="13" x14ac:dyDescent="0.3">
      <c r="B89" s="163">
        <f t="shared" si="137"/>
        <v>54</v>
      </c>
      <c r="C89" s="99"/>
      <c r="D89" s="97" t="s">
        <v>479</v>
      </c>
      <c r="F89" s="79">
        <f ca="1">SUM(F81:F88)</f>
        <v>-69988.502856687293</v>
      </c>
      <c r="H89" s="79">
        <f>SUM(H81:H88)</f>
        <v>0</v>
      </c>
      <c r="L89" s="79">
        <f ca="1">SUM(L81:L88)</f>
        <v>-69988.502856687293</v>
      </c>
      <c r="N89" s="28"/>
      <c r="P89" s="11">
        <f ca="1">SUM(P81:P88)</f>
        <v>-9128.0952063835102</v>
      </c>
      <c r="Q89" s="13"/>
      <c r="R89" s="11">
        <f ca="1">SUM(R81:R88)</f>
        <v>-1745.8811167901588</v>
      </c>
      <c r="S89" s="13"/>
      <c r="T89" s="11">
        <f ca="1">SUM(T81:T88)</f>
        <v>-17792.513974748013</v>
      </c>
      <c r="U89" s="13"/>
      <c r="V89" s="11">
        <f ca="1">SUM(V81:V88)</f>
        <v>0</v>
      </c>
      <c r="W89" s="13"/>
      <c r="X89" s="11">
        <f ca="1">SUM(X81:X88)</f>
        <v>-12592.733194290673</v>
      </c>
      <c r="Y89" s="13"/>
      <c r="Z89" s="11">
        <f ca="1">SUM(Z81:Z88)</f>
        <v>-20858.660125826467</v>
      </c>
      <c r="AA89" s="13"/>
      <c r="AB89" s="11">
        <f ca="1">SUM(AB81:AB88)</f>
        <v>-5962.183177540217</v>
      </c>
      <c r="AC89" s="13"/>
      <c r="AD89" s="11">
        <f ca="1">SUM(AD81:AD88)</f>
        <v>-1908.4360611082632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-69988.502856687308</v>
      </c>
      <c r="AK89" s="24"/>
      <c r="AL89" s="35" t="str">
        <f t="shared" ca="1" si="34"/>
        <v/>
      </c>
      <c r="AM89" s="107"/>
    </row>
    <row r="90" spans="2:46" ht="13" x14ac:dyDescent="0.3">
      <c r="D90" s="97"/>
      <c r="N90" s="28"/>
      <c r="Z90" s="99"/>
      <c r="AB90" s="99"/>
      <c r="AD90" s="99"/>
      <c r="AF90" s="99"/>
      <c r="AH90" s="99"/>
      <c r="AJ90" s="99"/>
      <c r="AK90" s="24"/>
      <c r="AL90" s="35" t="str">
        <f t="shared" si="34"/>
        <v/>
      </c>
      <c r="AM90" s="107"/>
    </row>
    <row r="91" spans="2:46" ht="13" x14ac:dyDescent="0.3">
      <c r="N91" s="28"/>
      <c r="Z91" s="99"/>
      <c r="AB91" s="99"/>
      <c r="AD91" s="99"/>
      <c r="AF91" s="99"/>
      <c r="AH91" s="99"/>
      <c r="AJ91" s="99"/>
      <c r="AK91" s="24"/>
      <c r="AL91" s="35" t="str">
        <f t="shared" si="34"/>
        <v/>
      </c>
      <c r="AM91" s="107"/>
    </row>
    <row r="92" spans="2:46" ht="13" x14ac:dyDescent="0.3">
      <c r="B92" s="163">
        <f>B89+1</f>
        <v>55</v>
      </c>
      <c r="D92" s="97" t="s">
        <v>480</v>
      </c>
      <c r="F92" s="79">
        <f ca="1">F79+F89</f>
        <v>11914757.165480008</v>
      </c>
      <c r="H92" s="79">
        <f>H79+H89</f>
        <v>0</v>
      </c>
      <c r="L92" s="79">
        <f ca="1">L79+L89</f>
        <v>11914757.165480008</v>
      </c>
      <c r="N92" s="28"/>
      <c r="P92" s="233">
        <f ca="1">P79+P89</f>
        <v>1544180.5049179241</v>
      </c>
      <c r="Q92" s="14"/>
      <c r="R92" s="10">
        <f ca="1">R79+R89</f>
        <v>295347.00542631792</v>
      </c>
      <c r="S92" s="8"/>
      <c r="T92" s="10">
        <f ca="1">T79+T89</f>
        <v>3006507.1560267634</v>
      </c>
      <c r="U92" s="8"/>
      <c r="V92" s="10">
        <f ca="1">V79+V89</f>
        <v>18190.39819973347</v>
      </c>
      <c r="W92" s="8"/>
      <c r="X92" s="10">
        <f ca="1">X79+X89</f>
        <v>2126660.957116446</v>
      </c>
      <c r="Y92" s="8"/>
      <c r="Z92" s="10">
        <f ca="1">Z79+Z89</f>
        <v>3524067.6281169164</v>
      </c>
      <c r="AA92" s="8"/>
      <c r="AB92" s="10">
        <f ca="1">AB79+AB89</f>
        <v>1014647.0317192435</v>
      </c>
      <c r="AC92" s="8"/>
      <c r="AD92" s="10">
        <f ca="1">AD79+AD89</f>
        <v>323052.56030715472</v>
      </c>
      <c r="AE92" s="8"/>
      <c r="AF92" s="10">
        <f ca="1">AF79+AF89</f>
        <v>62103.923649508812</v>
      </c>
      <c r="AG92" s="8"/>
      <c r="AH92" s="10">
        <f ca="1">AH79+AH89</f>
        <v>0</v>
      </c>
      <c r="AI92" s="8"/>
      <c r="AJ92" s="10">
        <f ca="1">AJ79+AJ89</f>
        <v>11914757.165480008</v>
      </c>
      <c r="AK92" s="24"/>
      <c r="AL92" s="35" t="str">
        <f t="shared" ca="1" si="34"/>
        <v/>
      </c>
      <c r="AM92" s="107"/>
    </row>
    <row r="93" spans="2:46" ht="13" x14ac:dyDescent="0.3">
      <c r="N93" s="28"/>
      <c r="Z93" s="99"/>
      <c r="AB93" s="99"/>
      <c r="AD93" s="99"/>
      <c r="AF93" s="99"/>
      <c r="AH93" s="99"/>
      <c r="AJ93" s="99"/>
      <c r="AK93" s="24"/>
      <c r="AL93" s="35" t="str">
        <f t="shared" si="34"/>
        <v/>
      </c>
      <c r="AM93" s="107"/>
    </row>
    <row r="94" spans="2:46" ht="13" x14ac:dyDescent="0.3">
      <c r="N94" s="28"/>
      <c r="Z94" s="99"/>
      <c r="AB94" s="99"/>
      <c r="AD94" s="99"/>
      <c r="AF94" s="99"/>
      <c r="AH94" s="99"/>
      <c r="AJ94" s="99"/>
      <c r="AK94" s="24"/>
      <c r="AL94" s="35" t="str">
        <f t="shared" si="34"/>
        <v/>
      </c>
      <c r="AM94" s="107"/>
    </row>
    <row r="95" spans="2:46" ht="13" x14ac:dyDescent="0.3">
      <c r="B95" s="163">
        <f>B92+1</f>
        <v>56</v>
      </c>
      <c r="D95" s="99" t="s">
        <v>38</v>
      </c>
      <c r="F95" s="226">
        <f>Function!$F$95</f>
        <v>5.8701360377304071E-2</v>
      </c>
      <c r="H95" s="226">
        <f>Function!$F$95</f>
        <v>5.8701360377304071E-2</v>
      </c>
      <c r="L95" s="226">
        <f>Function!$F$95</f>
        <v>5.8701360377304071E-2</v>
      </c>
      <c r="N95" s="28"/>
      <c r="O95" s="188"/>
      <c r="P95" s="33">
        <f>$F$95</f>
        <v>5.8701360377304071E-2</v>
      </c>
      <c r="R95" s="33">
        <f>$F$95</f>
        <v>5.8701360377304071E-2</v>
      </c>
      <c r="T95" s="33">
        <f>$F$95</f>
        <v>5.8701360377304071E-2</v>
      </c>
      <c r="V95" s="33">
        <f>$F$95</f>
        <v>5.8701360377304071E-2</v>
      </c>
      <c r="X95" s="33">
        <f>$F$95</f>
        <v>5.8701360377304071E-2</v>
      </c>
      <c r="Z95" s="33">
        <f>$F$95</f>
        <v>5.8701360377304071E-2</v>
      </c>
      <c r="AB95" s="33">
        <f>$F$95</f>
        <v>5.8701360377304071E-2</v>
      </c>
      <c r="AD95" s="33">
        <f>$F$95</f>
        <v>5.8701360377304071E-2</v>
      </c>
      <c r="AF95" s="33">
        <f>$F$95</f>
        <v>5.8701360377304071E-2</v>
      </c>
      <c r="AH95" s="33">
        <f>$F$95</f>
        <v>5.8701360377304071E-2</v>
      </c>
      <c r="AJ95" s="33"/>
      <c r="AK95" s="24"/>
      <c r="AL95" s="35"/>
      <c r="AM95" s="107"/>
    </row>
    <row r="96" spans="2:46" ht="13" x14ac:dyDescent="0.3">
      <c r="N96" s="28"/>
      <c r="Z96" s="99"/>
      <c r="AB96" s="99"/>
      <c r="AD96" s="99"/>
      <c r="AF96" s="99"/>
      <c r="AH96" s="99"/>
      <c r="AJ96" s="99"/>
      <c r="AK96" s="24"/>
      <c r="AL96" s="35" t="str">
        <f t="shared" si="34"/>
        <v/>
      </c>
      <c r="AM96" s="107"/>
    </row>
    <row r="97" spans="2:66" ht="13" x14ac:dyDescent="0.3">
      <c r="B97" s="163">
        <f>B95+1</f>
        <v>57</v>
      </c>
      <c r="D97" s="99" t="s">
        <v>481</v>
      </c>
      <c r="F97" s="79">
        <f ca="1">F92*F95</f>
        <v>699412.45417890791</v>
      </c>
      <c r="H97" s="79">
        <f>H92*H95</f>
        <v>0</v>
      </c>
      <c r="L97" s="79">
        <f ca="1">L92*L95</f>
        <v>699412.45417890791</v>
      </c>
      <c r="N97" s="111"/>
      <c r="P97" s="45">
        <f ca="1">P92*P95</f>
        <v>90645.496306794419</v>
      </c>
      <c r="Q97" s="24"/>
      <c r="R97" s="45">
        <f ca="1">R92*R95</f>
        <v>17337.271001887868</v>
      </c>
      <c r="S97" s="22"/>
      <c r="T97" s="45">
        <f ca="1">T92*T95</f>
        <v>176486.06004287061</v>
      </c>
      <c r="U97" s="22"/>
      <c r="V97" s="45">
        <f ca="1">V92*V95</f>
        <v>1067.8011201292177</v>
      </c>
      <c r="W97" s="9"/>
      <c r="X97" s="45">
        <f ca="1">X92*X95</f>
        <v>124837.89124403489</v>
      </c>
      <c r="Y97" s="9"/>
      <c r="Z97" s="45">
        <f ca="1">Z92*Z95</f>
        <v>206867.56383208229</v>
      </c>
      <c r="AA97" s="22"/>
      <c r="AB97" s="45">
        <f ca="1">AB92*AB95</f>
        <v>59561.161064713189</v>
      </c>
      <c r="AC97" s="9"/>
      <c r="AD97" s="45">
        <f ca="1">AD92*AD95</f>
        <v>18963.624763401047</v>
      </c>
      <c r="AE97" s="9"/>
      <c r="AF97" s="45">
        <f ca="1">AF92*AF95</f>
        <v>3645.5848029943936</v>
      </c>
      <c r="AG97" s="9"/>
      <c r="AH97" s="45">
        <f ca="1">AH92*AH95</f>
        <v>0</v>
      </c>
      <c r="AI97" s="9"/>
      <c r="AJ97" s="45">
        <f ca="1">SUM(P97:AI97)</f>
        <v>699412.45417890791</v>
      </c>
      <c r="AK97" s="24"/>
      <c r="AL97" s="35" t="str">
        <f t="shared" ca="1" si="34"/>
        <v/>
      </c>
      <c r="AM97" s="107"/>
    </row>
    <row r="98" spans="2:66" ht="13" x14ac:dyDescent="0.3">
      <c r="F98" s="113"/>
      <c r="H98" s="113"/>
      <c r="L98" s="113"/>
      <c r="Z98" s="99"/>
      <c r="AB98" s="99"/>
      <c r="AD98" s="99"/>
      <c r="AF98" s="99"/>
      <c r="AH98" s="99"/>
      <c r="AJ98" s="99"/>
      <c r="AK98" s="24"/>
      <c r="AL98" s="35" t="str">
        <f t="shared" si="34"/>
        <v/>
      </c>
      <c r="AM98" s="107"/>
      <c r="AN98" s="24"/>
      <c r="AO98" s="94"/>
      <c r="AP98" s="94"/>
      <c r="AQ98" s="94"/>
      <c r="AR98" s="94"/>
      <c r="AS98" s="94"/>
    </row>
    <row r="99" spans="2:66" ht="13" x14ac:dyDescent="0.3">
      <c r="F99" s="113"/>
      <c r="H99" s="113"/>
      <c r="L99" s="113"/>
      <c r="Z99" s="99"/>
      <c r="AB99" s="99"/>
      <c r="AD99" s="99"/>
      <c r="AF99" s="99"/>
      <c r="AH99" s="99"/>
      <c r="AJ99" s="99"/>
      <c r="AK99" s="24"/>
      <c r="AL99" s="35" t="str">
        <f t="shared" si="34"/>
        <v/>
      </c>
      <c r="AM99" s="107"/>
    </row>
    <row r="100" spans="2:66" ht="13" x14ac:dyDescent="0.3">
      <c r="D100" s="6" t="s">
        <v>70</v>
      </c>
      <c r="N100" s="28"/>
      <c r="Z100" s="99"/>
      <c r="AB100" s="99"/>
      <c r="AD100" s="99"/>
      <c r="AF100" s="99"/>
      <c r="AH100" s="99"/>
      <c r="AJ100" s="99"/>
      <c r="AK100" s="24"/>
      <c r="AL100" s="35" t="str">
        <f t="shared" si="34"/>
        <v/>
      </c>
      <c r="AM100" s="107"/>
    </row>
    <row r="101" spans="2:66" ht="13" x14ac:dyDescent="0.3">
      <c r="N101" s="28"/>
      <c r="Z101" s="99"/>
      <c r="AB101" s="99"/>
      <c r="AD101" s="99"/>
      <c r="AF101" s="99"/>
      <c r="AH101" s="99"/>
      <c r="AJ101" s="99"/>
      <c r="AK101" s="24"/>
      <c r="AL101" s="35" t="str">
        <f t="shared" si="34"/>
        <v/>
      </c>
      <c r="AM101" s="107"/>
    </row>
    <row r="102" spans="2:66" ht="13" x14ac:dyDescent="0.3">
      <c r="B102" s="163">
        <f>B97+1</f>
        <v>58</v>
      </c>
      <c r="D102" s="99" t="s">
        <v>220</v>
      </c>
      <c r="F102" s="113">
        <f ca="1">Function!V102</f>
        <v>660084.74657633237</v>
      </c>
      <c r="H102" s="113"/>
      <c r="J102" s="91"/>
      <c r="K102" s="91">
        <f>_xlfn.IFNA(MATCH(J102,'Dist Factors'!$B$15:$B$431,0),0)</f>
        <v>0</v>
      </c>
      <c r="L102" s="113">
        <f t="shared" ref="L102" ca="1" si="138">F102-H102</f>
        <v>660084.74657633237</v>
      </c>
      <c r="N102" s="28" t="s">
        <v>278</v>
      </c>
      <c r="O102" s="186">
        <f>_xlfn.IFNA(MATCH(N102,'Dist Factors'!$B$15:$B$431,0),0)</f>
        <v>23</v>
      </c>
      <c r="P102" s="22">
        <f ca="1">OFFSET('Dist Factors'!$B$15,$O102-1,P$14)*$L102+OFFSET('Dist Factors'!$B$15,$K102-1,P$14)*$H102</f>
        <v>71500.592140392255</v>
      </c>
      <c r="Q102" s="24"/>
      <c r="R102" s="22">
        <f ca="1">OFFSET('Dist Factors'!$B$15,$O102-1,R$14)*$L102+OFFSET('Dist Factors'!$B$15,$K102-1,R$14)*$H102</f>
        <v>13675.529322911509</v>
      </c>
      <c r="S102" s="22"/>
      <c r="T102" s="22">
        <f ca="1">OFFSET('Dist Factors'!$B$15,$O102-1,T$14)*$L102+OFFSET('Dist Factors'!$B$15,$K102-1,T$14)*$H102</f>
        <v>139369.19544518142</v>
      </c>
      <c r="U102" s="22"/>
      <c r="V102" s="22">
        <f ca="1">OFFSET('Dist Factors'!$B$15,$O102-1,V$14)*$L102+OFFSET('Dist Factors'!$B$15,$K102-1,V$14)*$H102</f>
        <v>0</v>
      </c>
      <c r="W102" s="9"/>
      <c r="X102" s="22">
        <f ca="1">OFFSET('Dist Factors'!$B$15,$O102-1,X$14)*$L102+OFFSET('Dist Factors'!$B$15,$K102-1,X$14)*$H102</f>
        <v>99131.303688005602</v>
      </c>
      <c r="Y102" s="9"/>
      <c r="Z102" s="22">
        <f ca="1">OFFSET('Dist Factors'!$B$15,$O102-1,Z$14)*$L102+OFFSET('Dist Factors'!$B$15,$K102-1,Z$14)*$H102</f>
        <v>158270.5671030712</v>
      </c>
      <c r="AA102" s="22"/>
      <c r="AB102" s="22">
        <f ca="1">OFFSET('Dist Factors'!$B$15,$O102-1,AB$14)*$L102+OFFSET('Dist Factors'!$B$15,$K102-1,AB$14)*$H102</f>
        <v>163104.39484024676</v>
      </c>
      <c r="AC102" s="9"/>
      <c r="AD102" s="22">
        <f ca="1">OFFSET('Dist Factors'!$B$15,$O102-1,AD$14)*$L102+OFFSET('Dist Factors'!$B$15,$K102-1,AD$14)*$H102</f>
        <v>15033.16403652362</v>
      </c>
      <c r="AE102" s="9"/>
      <c r="AF102" s="22">
        <f ca="1">OFFSET('Dist Factors'!$B$15,$O102-1,AF$14)*$L102+OFFSET('Dist Factors'!$B$15,$K102-1,AF$14)*$H102</f>
        <v>0</v>
      </c>
      <c r="AG102" s="9"/>
      <c r="AH102" s="22">
        <f ca="1">OFFSET('Dist Factors'!$B$15,$O102-1,AH$14)*$L102+OFFSET('Dist Factors'!$B$15,$K102-1,AH$14)*$H102</f>
        <v>0</v>
      </c>
      <c r="AI102" s="9"/>
      <c r="AJ102" s="22">
        <f ca="1">SUM(P102:AI102)</f>
        <v>660084.74657633237</v>
      </c>
      <c r="AK102" s="24"/>
      <c r="AL102" s="35" t="str">
        <f t="shared" ca="1" si="34"/>
        <v/>
      </c>
      <c r="AM102" s="107"/>
    </row>
    <row r="103" spans="2:66" ht="13" x14ac:dyDescent="0.3">
      <c r="B103" s="163">
        <f>B102+1</f>
        <v>59</v>
      </c>
      <c r="D103" s="99" t="s">
        <v>221</v>
      </c>
      <c r="F103" s="227">
        <f ca="1">Function!V103</f>
        <v>75342.795693990163</v>
      </c>
      <c r="H103" s="227"/>
      <c r="K103" s="91">
        <f>_xlfn.IFNA(MATCH(J103,'Dist Factors'!$B$15:$B$431,0),0)</f>
        <v>0</v>
      </c>
      <c r="L103" s="227">
        <f t="shared" ref="L103" ca="1" si="139">F103-H103</f>
        <v>75342.795693990163</v>
      </c>
      <c r="N103" s="28" t="s">
        <v>144</v>
      </c>
      <c r="O103" s="186">
        <f>_xlfn.IFNA(MATCH(N103,'Dist Factors'!$B$15:$B$431,0),0)</f>
        <v>26</v>
      </c>
      <c r="P103" s="22">
        <f ca="1">OFFSET('Dist Factors'!$B$15,$O103-1,P$14)*$L103+OFFSET('Dist Factors'!$B$15,$K103-1,P$14)*$H103</f>
        <v>7948.744528278964</v>
      </c>
      <c r="Q103" s="24"/>
      <c r="R103" s="22">
        <f ca="1">OFFSET('Dist Factors'!$B$15,$O103-1,R$14)*$L103+OFFSET('Dist Factors'!$B$15,$K103-1,R$14)*$H103</f>
        <v>1520.3131278041899</v>
      </c>
      <c r="S103" s="22"/>
      <c r="T103" s="22">
        <f ca="1">OFFSET('Dist Factors'!$B$15,$O103-1,T$14)*$L103+OFFSET('Dist Factors'!$B$15,$K103-1,T$14)*$H103</f>
        <v>15493.719653822294</v>
      </c>
      <c r="U103" s="22"/>
      <c r="V103" s="22">
        <f ca="1">OFFSET('Dist Factors'!$B$15,$O103-1,V$14)*$L103+OFFSET('Dist Factors'!$B$15,$K103-1,V$14)*$H103</f>
        <v>3013.9373222118807</v>
      </c>
      <c r="W103" s="9"/>
      <c r="X103" s="22">
        <f ca="1">OFFSET('Dist Factors'!$B$15,$O103-1,X$14)*$L103+OFFSET('Dist Factors'!$B$15,$K103-1,X$14)*$H103</f>
        <v>10795.613595919107</v>
      </c>
      <c r="Y103" s="9"/>
      <c r="Z103" s="22">
        <f ca="1">OFFSET('Dist Factors'!$B$15,$O103-1,Z$14)*$L103+OFFSET('Dist Factors'!$B$15,$K103-1,Z$14)*$H103</f>
        <v>18123.280528091185</v>
      </c>
      <c r="AA103" s="22"/>
      <c r="AB103" s="22">
        <f ca="1">OFFSET('Dist Factors'!$B$15,$O103-1,AB$14)*$L103+OFFSET('Dist Factors'!$B$15,$K103-1,AB$14)*$H103</f>
        <v>6395.9720397405072</v>
      </c>
      <c r="AC103" s="9"/>
      <c r="AD103" s="22">
        <f ca="1">OFFSET('Dist Factors'!$B$15,$O103-1,AD$14)*$L103+OFFSET('Dist Factors'!$B$15,$K103-1,AD$14)*$H103</f>
        <v>1761.3173770334633</v>
      </c>
      <c r="AE103" s="9"/>
      <c r="AF103" s="22">
        <f ca="1">OFFSET('Dist Factors'!$B$15,$O103-1,AF$14)*$L103+OFFSET('Dist Factors'!$B$15,$K103-1,AF$14)*$H103</f>
        <v>10289.897521088586</v>
      </c>
      <c r="AG103" s="9"/>
      <c r="AH103" s="22">
        <f ca="1">OFFSET('Dist Factors'!$B$15,$O103-1,AH$14)*$L103+OFFSET('Dist Factors'!$B$15,$K103-1,AH$14)*$H103</f>
        <v>0</v>
      </c>
      <c r="AI103" s="9"/>
      <c r="AJ103" s="22">
        <f ca="1">SUM(P103:AI103)</f>
        <v>75342.795693990178</v>
      </c>
      <c r="AK103" s="24"/>
      <c r="AL103" s="35" t="str">
        <f t="shared" ca="1" si="34"/>
        <v/>
      </c>
      <c r="AM103" s="107"/>
    </row>
    <row r="104" spans="2:66" ht="13" x14ac:dyDescent="0.3">
      <c r="B104" s="163">
        <f>B103+1</f>
        <v>60</v>
      </c>
      <c r="D104" s="99" t="s">
        <v>222</v>
      </c>
      <c r="F104" s="79">
        <f ca="1">F102+F103</f>
        <v>735427.54227032256</v>
      </c>
      <c r="H104" s="79">
        <f>H102+H103</f>
        <v>0</v>
      </c>
      <c r="L104" s="79">
        <f ca="1">L102+L103</f>
        <v>735427.54227032256</v>
      </c>
      <c r="N104" s="28"/>
      <c r="P104" s="10">
        <f ca="1">P102+P103</f>
        <v>79449.336668671225</v>
      </c>
      <c r="R104" s="10">
        <f ca="1">R102+R103</f>
        <v>15195.842450715698</v>
      </c>
      <c r="T104" s="10">
        <f ca="1">T102+T103</f>
        <v>154862.91509900373</v>
      </c>
      <c r="V104" s="10">
        <f ca="1">V102+V103</f>
        <v>3013.9373222118807</v>
      </c>
      <c r="X104" s="10">
        <f ca="1">X102+X103</f>
        <v>109926.9172839247</v>
      </c>
      <c r="Z104" s="10">
        <f ca="1">Z102+Z103</f>
        <v>176393.84763116238</v>
      </c>
      <c r="AB104" s="10">
        <f ca="1">AB102+AB103</f>
        <v>169500.36687998727</v>
      </c>
      <c r="AD104" s="10">
        <f ca="1">AD102+AD103</f>
        <v>16794.481413557085</v>
      </c>
      <c r="AF104" s="10">
        <f ca="1">AF102+AF103</f>
        <v>10289.897521088586</v>
      </c>
      <c r="AH104" s="10">
        <f ca="1">AH102+AH103</f>
        <v>0</v>
      </c>
      <c r="AJ104" s="10">
        <f ca="1">AJ102+AJ103</f>
        <v>735427.54227032256</v>
      </c>
      <c r="AK104" s="24"/>
      <c r="AL104" s="35" t="str">
        <f t="shared" ca="1" si="34"/>
        <v/>
      </c>
      <c r="AM104" s="107"/>
    </row>
    <row r="105" spans="2:66" ht="13" x14ac:dyDescent="0.3">
      <c r="N105" s="28"/>
      <c r="AK105" s="24"/>
      <c r="AL105" s="35" t="str">
        <f t="shared" si="34"/>
        <v/>
      </c>
      <c r="AM105" s="107"/>
    </row>
    <row r="106" spans="2:66" ht="13" x14ac:dyDescent="0.3">
      <c r="D106" s="6" t="s">
        <v>69</v>
      </c>
      <c r="F106" s="113"/>
      <c r="H106" s="113"/>
      <c r="L106" s="113"/>
      <c r="AK106" s="24"/>
      <c r="AL106" s="35" t="str">
        <f t="shared" ref="AL106:AL111" si="140">IF(ROUND(F106,4)=ROUND(AJ106,4), "", "check")</f>
        <v/>
      </c>
      <c r="AM106" s="107"/>
    </row>
    <row r="107" spans="2:66" ht="13" x14ac:dyDescent="0.3">
      <c r="F107" s="113"/>
      <c r="H107" s="113"/>
      <c r="L107" s="113"/>
      <c r="AK107" s="24"/>
      <c r="AL107" s="35" t="str">
        <f t="shared" si="140"/>
        <v/>
      </c>
      <c r="AM107" s="107"/>
    </row>
    <row r="108" spans="2:66" ht="13" x14ac:dyDescent="0.3">
      <c r="B108" s="163">
        <f>B104+1</f>
        <v>61</v>
      </c>
      <c r="D108" s="99" t="s">
        <v>39</v>
      </c>
      <c r="F108" s="113">
        <f ca="1">Function!V108</f>
        <v>89101.353171520663</v>
      </c>
      <c r="H108" s="113"/>
      <c r="K108" s="91">
        <f>_xlfn.IFNA(MATCH(J108,'Dist Factors'!$B$15:$B$431,0),0)</f>
        <v>0</v>
      </c>
      <c r="L108" s="113">
        <f t="shared" ref="L108:L109" ca="1" si="141">F108-H108</f>
        <v>89101.353171520663</v>
      </c>
      <c r="N108" s="70" t="s">
        <v>109</v>
      </c>
      <c r="O108" s="186">
        <f>_xlfn.IFNA(MATCH(N108,'Dist Factors'!$B$15:$B$431,0),0)</f>
        <v>47</v>
      </c>
      <c r="P108" s="22">
        <f ca="1">OFFSET('Dist Factors'!$B$15,$O108-1,P$14)*$L108+OFFSET('Dist Factors'!$B$15,$K108-1,P$14)*$H108</f>
        <v>11547.744584161321</v>
      </c>
      <c r="Q108" s="24"/>
      <c r="R108" s="22">
        <f ca="1">OFFSET('Dist Factors'!$B$15,$O108-1,R$14)*$L108+OFFSET('Dist Factors'!$B$15,$K108-1,R$14)*$H108</f>
        <v>2208.6742913136995</v>
      </c>
      <c r="S108" s="22"/>
      <c r="T108" s="22">
        <f ca="1">OFFSET('Dist Factors'!$B$15,$O108-1,T$14)*$L108+OFFSET('Dist Factors'!$B$15,$K108-1,T$14)*$H108</f>
        <v>22483.366819927345</v>
      </c>
      <c r="U108" s="22"/>
      <c r="V108" s="22">
        <f ca="1">OFFSET('Dist Factors'!$B$15,$O108-1,V$14)*$L108+OFFSET('Dist Factors'!$B$15,$K108-1,V$14)*$H108</f>
        <v>136.03207113787198</v>
      </c>
      <c r="W108" s="9"/>
      <c r="X108" s="22">
        <f ca="1">OFFSET('Dist Factors'!$B$15,$O108-1,X$14)*$L108+OFFSET('Dist Factors'!$B$15,$K108-1,X$14)*$H108</f>
        <v>15903.670245593523</v>
      </c>
      <c r="Y108" s="9"/>
      <c r="Z108" s="22">
        <f ca="1">OFFSET('Dist Factors'!$B$15,$O108-1,Z$14)*$L108+OFFSET('Dist Factors'!$B$15,$K108-1,Z$14)*$H108</f>
        <v>26353.805618708007</v>
      </c>
      <c r="AA108" s="22"/>
      <c r="AB108" s="22">
        <f ca="1">OFFSET('Dist Factors'!$B$15,$O108-1,AB$14)*$L108+OFFSET('Dist Factors'!$B$15,$K108-1,AB$14)*$H108</f>
        <v>7587.7688703200065</v>
      </c>
      <c r="AC108" s="9"/>
      <c r="AD108" s="22">
        <f ca="1">OFFSET('Dist Factors'!$B$15,$O108-1,AD$14)*$L108+OFFSET('Dist Factors'!$B$15,$K108-1,AD$14)*$H108</f>
        <v>2415.8629394720137</v>
      </c>
      <c r="AE108" s="9"/>
      <c r="AF108" s="22">
        <f ca="1">OFFSET('Dist Factors'!$B$15,$O108-1,AF$14)*$L108+OFFSET('Dist Factors'!$B$15,$K108-1,AF$14)*$H108</f>
        <v>464.42773088687727</v>
      </c>
      <c r="AG108" s="9"/>
      <c r="AH108" s="22">
        <f ca="1">OFFSET('Dist Factors'!$B$15,$O108-1,AH$14)*$L108+OFFSET('Dist Factors'!$B$15,$K108-1,AH$14)*$H108</f>
        <v>0</v>
      </c>
      <c r="AI108" s="9"/>
      <c r="AJ108" s="9">
        <f ca="1">SUM(P108:AI108)</f>
        <v>89101.353171520677</v>
      </c>
      <c r="AK108" s="24"/>
      <c r="AL108" s="35" t="str">
        <f t="shared" ca="1" si="140"/>
        <v/>
      </c>
      <c r="AM108" s="107"/>
    </row>
    <row r="109" spans="2:66" ht="13" x14ac:dyDescent="0.3">
      <c r="B109" s="163">
        <f>B108+1</f>
        <v>62</v>
      </c>
      <c r="D109" s="99" t="s">
        <v>40</v>
      </c>
      <c r="F109" s="113">
        <f ca="1">Function!V109</f>
        <v>96492.693751194718</v>
      </c>
      <c r="H109" s="113"/>
      <c r="K109" s="91">
        <f>_xlfn.IFNA(MATCH(J109,'Dist Factors'!$B$15:$B$431,0),0)</f>
        <v>0</v>
      </c>
      <c r="L109" s="113">
        <f t="shared" ca="1" si="141"/>
        <v>96492.693751194718</v>
      </c>
      <c r="N109" s="70" t="s">
        <v>274</v>
      </c>
      <c r="O109" s="186">
        <f>_xlfn.IFNA(MATCH(N109,'Dist Factors'!$B$15:$B$431,0),0)</f>
        <v>44</v>
      </c>
      <c r="P109" s="22">
        <f ca="1">OFFSET('Dist Factors'!$B$15,$O109-1,P$14)*$L109+OFFSET('Dist Factors'!$B$15,$K109-1,P$14)*$H109</f>
        <v>16321.23583212674</v>
      </c>
      <c r="Q109" s="24"/>
      <c r="R109" s="22">
        <f ca="1">OFFSET('Dist Factors'!$B$15,$O109-1,R$14)*$L109+OFFSET('Dist Factors'!$B$15,$K109-1,R$14)*$H109</f>
        <v>3121.6739963515897</v>
      </c>
      <c r="S109" s="22"/>
      <c r="T109" s="22">
        <f ca="1">OFFSET('Dist Factors'!$B$15,$O109-1,T$14)*$L109+OFFSET('Dist Factors'!$B$15,$K109-1,T$14)*$H109</f>
        <v>31813.407952317582</v>
      </c>
      <c r="U109" s="22"/>
      <c r="V109" s="22">
        <f ca="1">OFFSET('Dist Factors'!$B$15,$O109-1,V$14)*$L109+OFFSET('Dist Factors'!$B$15,$K109-1,V$14)*$H109</f>
        <v>0</v>
      </c>
      <c r="W109" s="9"/>
      <c r="X109" s="22">
        <f ca="1">OFFSET('Dist Factors'!$B$15,$O109-1,X$14)*$L109+OFFSET('Dist Factors'!$B$15,$K109-1,X$14)*$H109</f>
        <v>26584.662616819718</v>
      </c>
      <c r="Y109" s="9"/>
      <c r="Z109" s="22">
        <f ca="1">OFFSET('Dist Factors'!$B$15,$O109-1,Z$14)*$L109+OFFSET('Dist Factors'!$B$15,$K109-1,Z$14)*$H109</f>
        <v>18651.713353579093</v>
      </c>
      <c r="AA109" s="22"/>
      <c r="AB109" s="22">
        <f ca="1">OFFSET('Dist Factors'!$B$15,$O109-1,AB$14)*$L109+OFFSET('Dist Factors'!$B$15,$K109-1,AB$14)*$H109</f>
        <v>0</v>
      </c>
      <c r="AC109" s="9"/>
      <c r="AD109" s="22">
        <f ca="1">OFFSET('Dist Factors'!$B$15,$O109-1,AD$14)*$L109+OFFSET('Dist Factors'!$B$15,$K109-1,AD$14)*$H109</f>
        <v>0</v>
      </c>
      <c r="AE109" s="9"/>
      <c r="AF109" s="22">
        <f ca="1">OFFSET('Dist Factors'!$B$15,$O109-1,AF$14)*$L109+OFFSET('Dist Factors'!$B$15,$K109-1,AF$14)*$H109</f>
        <v>0</v>
      </c>
      <c r="AG109" s="9"/>
      <c r="AH109" s="22">
        <f ca="1">OFFSET('Dist Factors'!$B$15,$O109-1,AH$14)*$L109+OFFSET('Dist Factors'!$B$15,$K109-1,AH$14)*$H109</f>
        <v>0</v>
      </c>
      <c r="AI109" s="9"/>
      <c r="AJ109" s="9">
        <f ca="1">SUM(P109:AI109)</f>
        <v>96492.693751194733</v>
      </c>
      <c r="AK109" s="24"/>
      <c r="AL109" s="35" t="str">
        <f t="shared" ca="1" si="140"/>
        <v/>
      </c>
      <c r="AM109" s="107"/>
    </row>
    <row r="110" spans="2:66" ht="13" x14ac:dyDescent="0.3">
      <c r="B110" s="163">
        <f>B109+1</f>
        <v>63</v>
      </c>
      <c r="D110" s="99" t="s">
        <v>328</v>
      </c>
      <c r="F110" s="79">
        <f ca="1">F108+F109</f>
        <v>185594.04692271538</v>
      </c>
      <c r="H110" s="79">
        <f>H108+H109</f>
        <v>0</v>
      </c>
      <c r="L110" s="79">
        <f ca="1">L108+L109</f>
        <v>185594.04692271538</v>
      </c>
      <c r="N110" s="28"/>
      <c r="P110" s="10">
        <f ca="1">P108+P109</f>
        <v>27868.980416288061</v>
      </c>
      <c r="Q110" s="99"/>
      <c r="R110" s="10">
        <f ca="1">R108+R109</f>
        <v>5330.3482876652888</v>
      </c>
      <c r="S110" s="99"/>
      <c r="T110" s="10">
        <f ca="1">T108+T109</f>
        <v>54296.774772244928</v>
      </c>
      <c r="U110" s="99"/>
      <c r="V110" s="10">
        <f ca="1">V108+V109</f>
        <v>136.03207113787198</v>
      </c>
      <c r="W110" s="99"/>
      <c r="X110" s="10">
        <f ca="1">X108+X109</f>
        <v>42488.332862413241</v>
      </c>
      <c r="Y110" s="99"/>
      <c r="Z110" s="10">
        <f ca="1">Z108+Z109</f>
        <v>45005.5189722871</v>
      </c>
      <c r="AA110" s="99"/>
      <c r="AB110" s="10">
        <f ca="1">AB108+AB109</f>
        <v>7587.7688703200065</v>
      </c>
      <c r="AC110" s="99"/>
      <c r="AD110" s="10">
        <f ca="1">AD108+AD109</f>
        <v>2415.8629394720137</v>
      </c>
      <c r="AE110" s="99"/>
      <c r="AF110" s="10">
        <f ca="1">AF108+AF109</f>
        <v>464.42773088687727</v>
      </c>
      <c r="AG110" s="99"/>
      <c r="AH110" s="10">
        <f ca="1">AH108+AH109</f>
        <v>0</v>
      </c>
      <c r="AI110" s="99"/>
      <c r="AJ110" s="10">
        <f ca="1">AJ108+AJ109</f>
        <v>185594.04692271541</v>
      </c>
      <c r="AK110" s="24"/>
      <c r="AL110" s="35" t="str">
        <f t="shared" ca="1" si="140"/>
        <v/>
      </c>
      <c r="AM110" s="107"/>
    </row>
    <row r="111" spans="2:66" ht="13" x14ac:dyDescent="0.3">
      <c r="N111" s="28"/>
      <c r="AK111" s="24"/>
      <c r="AL111" s="35" t="str">
        <f t="shared" si="140"/>
        <v/>
      </c>
      <c r="AM111" s="107"/>
      <c r="BN111" s="99"/>
    </row>
    <row r="112" spans="2:66" ht="13" x14ac:dyDescent="0.3">
      <c r="N112" s="28"/>
      <c r="AK112" s="24"/>
      <c r="AL112" s="35" t="str">
        <f t="shared" si="34"/>
        <v/>
      </c>
      <c r="AM112" s="107"/>
      <c r="AR112" s="2" t="s">
        <v>364</v>
      </c>
      <c r="AT112" s="2" t="s">
        <v>364</v>
      </c>
      <c r="AV112" s="2" t="s">
        <v>365</v>
      </c>
      <c r="AX112" s="2" t="s">
        <v>137</v>
      </c>
      <c r="AY112" s="54"/>
      <c r="AZ112" s="54"/>
      <c r="BA112" s="54"/>
      <c r="BB112" s="54"/>
      <c r="BC112" s="54"/>
      <c r="BD112" s="54"/>
      <c r="BE112" s="54"/>
      <c r="BF112" s="54"/>
      <c r="BG112" s="54"/>
      <c r="BH112" s="56" t="s">
        <v>68</v>
      </c>
      <c r="BI112" s="54"/>
      <c r="BN112" s="99"/>
    </row>
    <row r="113" spans="2:66" ht="13" x14ac:dyDescent="0.3">
      <c r="D113" s="6" t="s">
        <v>74</v>
      </c>
      <c r="N113" s="28"/>
      <c r="AK113" s="24"/>
      <c r="AL113" s="35" t="str">
        <f t="shared" si="34"/>
        <v/>
      </c>
      <c r="AM113" s="107"/>
      <c r="AO113" s="56" t="s">
        <v>206</v>
      </c>
      <c r="AP113" s="56" t="s">
        <v>214</v>
      </c>
      <c r="AR113" s="2" t="s">
        <v>152</v>
      </c>
      <c r="AS113" s="2"/>
      <c r="AT113" s="2" t="s">
        <v>152</v>
      </c>
      <c r="AU113" s="2"/>
      <c r="AV113" s="2" t="s">
        <v>152</v>
      </c>
      <c r="AW113" s="2"/>
      <c r="AX113" s="2" t="s">
        <v>151</v>
      </c>
      <c r="AY113" s="2"/>
      <c r="AZ113" s="2" t="s">
        <v>10</v>
      </c>
      <c r="BA113" s="2"/>
      <c r="BB113" s="2" t="s">
        <v>10</v>
      </c>
      <c r="BC113" s="2"/>
      <c r="BD113" s="2" t="s">
        <v>10</v>
      </c>
      <c r="BE113" s="2"/>
      <c r="BF113" s="2" t="s">
        <v>10</v>
      </c>
      <c r="BG113" s="2"/>
      <c r="BH113" s="2" t="s">
        <v>151</v>
      </c>
      <c r="BI113" s="2"/>
      <c r="BJ113" s="2" t="s">
        <v>10</v>
      </c>
      <c r="BN113" s="99"/>
    </row>
    <row r="114" spans="2:66" ht="13" x14ac:dyDescent="0.3">
      <c r="N114" s="28"/>
      <c r="AK114" s="24"/>
      <c r="AL114" s="35" t="str">
        <f t="shared" si="34"/>
        <v/>
      </c>
      <c r="AM114" s="107"/>
      <c r="AO114" s="57" t="s">
        <v>212</v>
      </c>
      <c r="AP114" s="57" t="s">
        <v>213</v>
      </c>
      <c r="AR114" s="57" t="s">
        <v>66</v>
      </c>
      <c r="AS114" s="2"/>
      <c r="AT114" s="57" t="s">
        <v>65</v>
      </c>
      <c r="AU114" s="2"/>
      <c r="AV114" s="57" t="s">
        <v>67</v>
      </c>
      <c r="AW114" s="2"/>
      <c r="AX114" s="57" t="s">
        <v>127</v>
      </c>
      <c r="AY114" s="2"/>
      <c r="AZ114" s="57" t="s">
        <v>23</v>
      </c>
      <c r="BA114" s="2"/>
      <c r="BB114" s="57" t="s">
        <v>31</v>
      </c>
      <c r="BC114" s="2"/>
      <c r="BD114" s="57" t="s">
        <v>33</v>
      </c>
      <c r="BE114" s="2"/>
      <c r="BF114" s="57" t="s">
        <v>208</v>
      </c>
      <c r="BG114" s="2"/>
      <c r="BH114" s="57" t="s">
        <v>127</v>
      </c>
      <c r="BI114" s="2"/>
      <c r="BJ114" s="57" t="s">
        <v>49</v>
      </c>
      <c r="BL114" s="57" t="s">
        <v>11</v>
      </c>
      <c r="BN114" s="99"/>
    </row>
    <row r="115" spans="2:66" ht="13" x14ac:dyDescent="0.3">
      <c r="D115" s="97" t="s">
        <v>7</v>
      </c>
      <c r="N115" s="28"/>
      <c r="AL115" s="35" t="str">
        <f t="shared" si="34"/>
        <v/>
      </c>
      <c r="AM115" s="107"/>
      <c r="BN115" s="99"/>
    </row>
    <row r="116" spans="2:66" ht="13" x14ac:dyDescent="0.3">
      <c r="B116" s="28">
        <f>B110+1</f>
        <v>64</v>
      </c>
      <c r="D116" s="63" t="s">
        <v>352</v>
      </c>
      <c r="F116" s="113">
        <f ca="1">Function!V116</f>
        <v>0</v>
      </c>
      <c r="H116" s="200"/>
      <c r="K116" s="91">
        <f>_xlfn.IFNA(MATCH(J116,'Dist Factors'!$B$15:$B$431,0),0)</f>
        <v>0</v>
      </c>
      <c r="L116" s="113">
        <f t="shared" ref="L116:L119" ca="1" si="142">F116-H116</f>
        <v>0</v>
      </c>
      <c r="O116" s="186">
        <f>_xlfn.IFNA(MATCH(N116,'Dist Factors'!$B$15:$B$431,0),0)</f>
        <v>0</v>
      </c>
      <c r="P116" s="22">
        <f ca="1">OFFSET('Dist Factors'!$B$15,$O116-1,P$14)*$L116+OFFSET('Dist Factors'!$B$15,$K116-1,P$14)*$H116</f>
        <v>0</v>
      </c>
      <c r="Q116" s="24"/>
      <c r="R116" s="22">
        <f ca="1">OFFSET('Dist Factors'!$B$15,$O116-1,R$14)*$L116+OFFSET('Dist Factors'!$B$15,$K116-1,R$14)*$H116</f>
        <v>0</v>
      </c>
      <c r="S116" s="22"/>
      <c r="T116" s="22">
        <f ca="1">OFFSET('Dist Factors'!$B$15,$O116-1,T$14)*$L116+OFFSET('Dist Factors'!$B$15,$K116-1,T$14)*$H116</f>
        <v>0</v>
      </c>
      <c r="U116" s="22"/>
      <c r="V116" s="22">
        <f ca="1">OFFSET('Dist Factors'!$B$15,$O116-1,V$14)*$L116+OFFSET('Dist Factors'!$B$15,$K116-1,V$14)*$H116</f>
        <v>0</v>
      </c>
      <c r="W116" s="9"/>
      <c r="X116" s="22">
        <f ca="1">OFFSET('Dist Factors'!$B$15,$O116-1,X$14)*$L116+OFFSET('Dist Factors'!$B$15,$K116-1,X$14)*$H116</f>
        <v>0</v>
      </c>
      <c r="Y116" s="9"/>
      <c r="Z116" s="22">
        <f ca="1">OFFSET('Dist Factors'!$B$15,$O116-1,Z$14)*$L116+OFFSET('Dist Factors'!$B$15,$K116-1,Z$14)*$H116</f>
        <v>0</v>
      </c>
      <c r="AA116" s="22"/>
      <c r="AB116" s="22">
        <f ca="1">OFFSET('Dist Factors'!$B$15,$O116-1,AB$14)*$L116+OFFSET('Dist Factors'!$B$15,$K116-1,AB$14)*$H116</f>
        <v>0</v>
      </c>
      <c r="AC116" s="9"/>
      <c r="AD116" s="22">
        <f ca="1">OFFSET('Dist Factors'!$B$15,$O116-1,AD$14)*$L116+OFFSET('Dist Factors'!$B$15,$K116-1,AD$14)*$H116</f>
        <v>0</v>
      </c>
      <c r="AE116" s="9"/>
      <c r="AF116" s="22">
        <f ca="1">OFFSET('Dist Factors'!$B$15,$O116-1,AF$14)*$L116+OFFSET('Dist Factors'!$B$15,$K116-1,AF$14)*$H116</f>
        <v>0</v>
      </c>
      <c r="AG116" s="9"/>
      <c r="AH116" s="22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35" t="str">
        <f t="shared" ca="1" si="34"/>
        <v/>
      </c>
      <c r="AM116" s="107"/>
      <c r="AO116" s="235">
        <f ca="1">Function!AL116</f>
        <v>0</v>
      </c>
      <c r="AP116" s="242">
        <f t="shared" ref="AP116:AP122" ca="1" si="143">IFERROR(AO116/F116,0)</f>
        <v>0</v>
      </c>
      <c r="AR116" s="199">
        <f t="shared" ref="AR116:AR158" ca="1" si="144">$AP116*P116</f>
        <v>0</v>
      </c>
      <c r="AT116" s="199">
        <f t="shared" ref="AT116:AT158" ca="1" si="145">$AP116*R116</f>
        <v>0</v>
      </c>
      <c r="AV116" s="199">
        <f t="shared" ref="AV116:AV158" ca="1" si="146">$AP116*T116</f>
        <v>0</v>
      </c>
      <c r="AX116" s="199">
        <f t="shared" ref="AX116:AX158" ca="1" si="147">$AP116*V116</f>
        <v>0</v>
      </c>
      <c r="AZ116" s="199">
        <f t="shared" ref="AZ116:AZ158" ca="1" si="148">$AP116*X116</f>
        <v>0</v>
      </c>
      <c r="BB116" s="199">
        <f t="shared" ref="BB116:BB158" ca="1" si="149">$AP116*Z116</f>
        <v>0</v>
      </c>
      <c r="BD116" s="199">
        <f t="shared" ref="BD116:BD158" ca="1" si="150">$AP116*AB116</f>
        <v>0</v>
      </c>
      <c r="BF116" s="199">
        <f t="shared" ref="BF116:BF158" ca="1" si="151">$AP116*AD116</f>
        <v>0</v>
      </c>
      <c r="BH116" s="199">
        <f t="shared" ref="BH116:BH158" ca="1" si="152">$AP116*AF116</f>
        <v>0</v>
      </c>
      <c r="BJ116" s="199">
        <f t="shared" ref="BJ116:BJ158" ca="1" si="153">$AP116*AH116</f>
        <v>0</v>
      </c>
      <c r="BL116" s="199">
        <f ca="1">SUM(AR116:BJ116)</f>
        <v>0</v>
      </c>
      <c r="BN116" s="99"/>
    </row>
    <row r="117" spans="2:66" ht="13" x14ac:dyDescent="0.3">
      <c r="B117" s="28">
        <f t="shared" ref="B117:B122" si="154">B116+1</f>
        <v>65</v>
      </c>
      <c r="D117" s="63" t="s">
        <v>128</v>
      </c>
      <c r="F117" s="113">
        <f ca="1">Function!V117</f>
        <v>0</v>
      </c>
      <c r="H117" s="200"/>
      <c r="K117" s="91">
        <f>_xlfn.IFNA(MATCH(J117,'Dist Factors'!$B$15:$B$431,0),0)</f>
        <v>0</v>
      </c>
      <c r="L117" s="113">
        <f t="shared" ca="1" si="142"/>
        <v>0</v>
      </c>
      <c r="O117" s="186">
        <f>_xlfn.IFNA(MATCH(N117,'Dist Factors'!$B$15:$B$431,0),0)</f>
        <v>0</v>
      </c>
      <c r="P117" s="22">
        <f ca="1">OFFSET('Dist Factors'!$B$15,$O117-1,P$14)*$L117+OFFSET('Dist Factors'!$B$15,$K117-1,P$14)*$H117</f>
        <v>0</v>
      </c>
      <c r="Q117" s="24"/>
      <c r="R117" s="22">
        <f ca="1">OFFSET('Dist Factors'!$B$15,$O117-1,R$14)*$L117+OFFSET('Dist Factors'!$B$15,$K117-1,R$14)*$H117</f>
        <v>0</v>
      </c>
      <c r="S117" s="22"/>
      <c r="T117" s="22">
        <f ca="1">OFFSET('Dist Factors'!$B$15,$O117-1,T$14)*$L117+OFFSET('Dist Factors'!$B$15,$K117-1,T$14)*$H117</f>
        <v>0</v>
      </c>
      <c r="U117" s="22"/>
      <c r="V117" s="22">
        <f ca="1">OFFSET('Dist Factors'!$B$15,$O117-1,V$14)*$L117+OFFSET('Dist Factors'!$B$15,$K117-1,V$14)*$H117</f>
        <v>0</v>
      </c>
      <c r="W117" s="9"/>
      <c r="X117" s="22">
        <f ca="1">OFFSET('Dist Factors'!$B$15,$O117-1,X$14)*$L117+OFFSET('Dist Factors'!$B$15,$K117-1,X$14)*$H117</f>
        <v>0</v>
      </c>
      <c r="Y117" s="9"/>
      <c r="Z117" s="22">
        <f ca="1">OFFSET('Dist Factors'!$B$15,$O117-1,Z$14)*$L117+OFFSET('Dist Factors'!$B$15,$K117-1,Z$14)*$H117</f>
        <v>0</v>
      </c>
      <c r="AA117" s="22"/>
      <c r="AB117" s="22">
        <f ca="1">OFFSET('Dist Factors'!$B$15,$O117-1,AB$14)*$L117+OFFSET('Dist Factors'!$B$15,$K117-1,AB$14)*$H117</f>
        <v>0</v>
      </c>
      <c r="AC117" s="9"/>
      <c r="AD117" s="22">
        <f ca="1">OFFSET('Dist Factors'!$B$15,$O117-1,AD$14)*$L117+OFFSET('Dist Factors'!$B$15,$K117-1,AD$14)*$H117</f>
        <v>0</v>
      </c>
      <c r="AE117" s="9"/>
      <c r="AF117" s="22">
        <f ca="1">OFFSET('Dist Factors'!$B$15,$O117-1,AF$14)*$L117+OFFSET('Dist Factors'!$B$15,$K117-1,AF$14)*$H117</f>
        <v>0</v>
      </c>
      <c r="AG117" s="9"/>
      <c r="AH117" s="22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35" t="str">
        <f t="shared" ca="1" si="34"/>
        <v/>
      </c>
      <c r="AM117" s="107"/>
      <c r="AO117" s="235">
        <f ca="1">Function!AL117</f>
        <v>0</v>
      </c>
      <c r="AP117" s="242">
        <f t="shared" ca="1" si="143"/>
        <v>0</v>
      </c>
      <c r="AR117" s="199">
        <f t="shared" ca="1" si="144"/>
        <v>0</v>
      </c>
      <c r="AT117" s="199">
        <f t="shared" ca="1" si="145"/>
        <v>0</v>
      </c>
      <c r="AV117" s="199">
        <f t="shared" ca="1" si="146"/>
        <v>0</v>
      </c>
      <c r="AX117" s="199">
        <f t="shared" ca="1" si="147"/>
        <v>0</v>
      </c>
      <c r="AZ117" s="199">
        <f t="shared" ca="1" si="148"/>
        <v>0</v>
      </c>
      <c r="BB117" s="199">
        <f t="shared" ca="1" si="149"/>
        <v>0</v>
      </c>
      <c r="BD117" s="199">
        <f t="shared" ca="1" si="150"/>
        <v>0</v>
      </c>
      <c r="BF117" s="199">
        <f t="shared" ca="1" si="151"/>
        <v>0</v>
      </c>
      <c r="BH117" s="199">
        <f t="shared" ca="1" si="152"/>
        <v>0</v>
      </c>
      <c r="BJ117" s="199">
        <f t="shared" ca="1" si="153"/>
        <v>0</v>
      </c>
      <c r="BL117" s="199">
        <f t="shared" ref="BL117:BL160" ca="1" si="155">SUM(AR117:BJ117)</f>
        <v>0</v>
      </c>
      <c r="BN117" s="99"/>
    </row>
    <row r="118" spans="2:66" ht="13" x14ac:dyDescent="0.3">
      <c r="B118" s="28">
        <f t="shared" si="154"/>
        <v>66</v>
      </c>
      <c r="D118" s="63" t="s">
        <v>129</v>
      </c>
      <c r="F118" s="113">
        <f ca="1">Function!V118</f>
        <v>26808.799065455016</v>
      </c>
      <c r="H118" s="200"/>
      <c r="K118" s="91">
        <f>_xlfn.IFNA(MATCH(J118,'Dist Factors'!$B$15:$B$431,0),0)</f>
        <v>0</v>
      </c>
      <c r="L118" s="113">
        <f t="shared" ca="1" si="142"/>
        <v>26808.799065455016</v>
      </c>
      <c r="N118" s="70" t="s">
        <v>293</v>
      </c>
      <c r="O118" s="186">
        <f>_xlfn.IFNA(MATCH(N118,'Dist Factors'!$B$15:$B$431,0),0)</f>
        <v>20</v>
      </c>
      <c r="P118" s="22">
        <f ca="1">OFFSET('Dist Factors'!$B$15,$O118-1,P$14)*$L118+OFFSET('Dist Factors'!$B$15,$K118-1,P$14)*$H118</f>
        <v>0</v>
      </c>
      <c r="Q118" s="24"/>
      <c r="R118" s="22">
        <f ca="1">OFFSET('Dist Factors'!$B$15,$O118-1,R$14)*$L118+OFFSET('Dist Factors'!$B$15,$K118-1,R$14)*$H118</f>
        <v>0</v>
      </c>
      <c r="S118" s="22"/>
      <c r="T118" s="22">
        <f ca="1">OFFSET('Dist Factors'!$B$15,$O118-1,T$14)*$L118+OFFSET('Dist Factors'!$B$15,$K118-1,T$14)*$H118</f>
        <v>0</v>
      </c>
      <c r="U118" s="22"/>
      <c r="V118" s="22">
        <f ca="1">OFFSET('Dist Factors'!$B$15,$O118-1,V$14)*$L118+OFFSET('Dist Factors'!$B$15,$K118-1,V$14)*$H118</f>
        <v>0</v>
      </c>
      <c r="W118" s="9"/>
      <c r="X118" s="22">
        <f ca="1">OFFSET('Dist Factors'!$B$15,$O118-1,X$14)*$L118+OFFSET('Dist Factors'!$B$15,$K118-1,X$14)*$H118</f>
        <v>0</v>
      </c>
      <c r="Y118" s="9"/>
      <c r="Z118" s="22">
        <f ca="1">OFFSET('Dist Factors'!$B$15,$O118-1,Z$14)*$L118+OFFSET('Dist Factors'!$B$15,$K118-1,Z$14)*$H118</f>
        <v>0</v>
      </c>
      <c r="AA118" s="22"/>
      <c r="AB118" s="22">
        <f ca="1">OFFSET('Dist Factors'!$B$15,$O118-1,AB$14)*$L118+OFFSET('Dist Factors'!$B$15,$K118-1,AB$14)*$H118</f>
        <v>0</v>
      </c>
      <c r="AC118" s="9"/>
      <c r="AD118" s="22">
        <f ca="1">OFFSET('Dist Factors'!$B$15,$O118-1,AD$14)*$L118+OFFSET('Dist Factors'!$B$15,$K118-1,AD$14)*$H118</f>
        <v>0</v>
      </c>
      <c r="AE118" s="9"/>
      <c r="AF118" s="22">
        <f ca="1">OFFSET('Dist Factors'!$B$15,$O118-1,AF$14)*$L118+OFFSET('Dist Factors'!$B$15,$K118-1,AF$14)*$H118</f>
        <v>0</v>
      </c>
      <c r="AG118" s="9"/>
      <c r="AH118" s="22">
        <f ca="1">OFFSET('Dist Factors'!$B$15,$O118-1,AH$14)*$L118+OFFSET('Dist Factors'!$B$15,$K118-1,AH$14)*$H118</f>
        <v>26808.799065455016</v>
      </c>
      <c r="AI118" s="9"/>
      <c r="AJ118" s="9">
        <f ca="1">SUM(P118:AI118)</f>
        <v>26808.799065455016</v>
      </c>
      <c r="AL118" s="35" t="str">
        <f t="shared" ca="1" si="34"/>
        <v/>
      </c>
      <c r="AM118" s="107"/>
      <c r="AO118" s="235">
        <f ca="1">Function!AL118</f>
        <v>0</v>
      </c>
      <c r="AP118" s="242">
        <f t="shared" ca="1" si="143"/>
        <v>0</v>
      </c>
      <c r="AR118" s="199">
        <f t="shared" ca="1" si="144"/>
        <v>0</v>
      </c>
      <c r="AT118" s="199">
        <f t="shared" ca="1" si="145"/>
        <v>0</v>
      </c>
      <c r="AV118" s="199">
        <f t="shared" ca="1" si="146"/>
        <v>0</v>
      </c>
      <c r="AX118" s="199">
        <f t="shared" ca="1" si="147"/>
        <v>0</v>
      </c>
      <c r="AZ118" s="199">
        <f t="shared" ca="1" si="148"/>
        <v>0</v>
      </c>
      <c r="BB118" s="199">
        <f t="shared" ca="1" si="149"/>
        <v>0</v>
      </c>
      <c r="BD118" s="199">
        <f t="shared" ca="1" si="150"/>
        <v>0</v>
      </c>
      <c r="BF118" s="199">
        <f t="shared" ca="1" si="151"/>
        <v>0</v>
      </c>
      <c r="BH118" s="199">
        <f t="shared" ca="1" si="152"/>
        <v>0</v>
      </c>
      <c r="BJ118" s="199">
        <f t="shared" ca="1" si="153"/>
        <v>0</v>
      </c>
      <c r="BL118" s="199">
        <f t="shared" ca="1" si="155"/>
        <v>0</v>
      </c>
      <c r="BN118" s="99"/>
    </row>
    <row r="119" spans="2:66" ht="13" x14ac:dyDescent="0.3">
      <c r="B119" s="28">
        <f t="shared" si="154"/>
        <v>67</v>
      </c>
      <c r="D119" s="63" t="s">
        <v>253</v>
      </c>
      <c r="F119" s="113">
        <f ca="1">Function!V119</f>
        <v>2497.5353312915377</v>
      </c>
      <c r="H119" s="200"/>
      <c r="K119" s="91">
        <f>_xlfn.IFNA(MATCH(J119,'Dist Factors'!$B$15:$B$431,0),0)</f>
        <v>0</v>
      </c>
      <c r="L119" s="113">
        <f t="shared" ca="1" si="142"/>
        <v>2497.5353312915377</v>
      </c>
      <c r="N119" s="28" t="s">
        <v>293</v>
      </c>
      <c r="O119" s="186">
        <f>_xlfn.IFNA(MATCH(N119,'Dist Factors'!$B$15:$B$431,0),0)</f>
        <v>20</v>
      </c>
      <c r="P119" s="22">
        <f ca="1">OFFSET('Dist Factors'!$B$15,$O119-1,P$14)*$L119+OFFSET('Dist Factors'!$B$15,$K119-1,P$14)*$H119</f>
        <v>0</v>
      </c>
      <c r="Q119" s="24"/>
      <c r="R119" s="22">
        <f ca="1">OFFSET('Dist Factors'!$B$15,$O119-1,R$14)*$L119+OFFSET('Dist Factors'!$B$15,$K119-1,R$14)*$H119</f>
        <v>0</v>
      </c>
      <c r="S119" s="22"/>
      <c r="T119" s="22">
        <f ca="1">OFFSET('Dist Factors'!$B$15,$O119-1,T$14)*$L119+OFFSET('Dist Factors'!$B$15,$K119-1,T$14)*$H119</f>
        <v>0</v>
      </c>
      <c r="U119" s="22"/>
      <c r="V119" s="22">
        <f ca="1">OFFSET('Dist Factors'!$B$15,$O119-1,V$14)*$L119+OFFSET('Dist Factors'!$B$15,$K119-1,V$14)*$H119</f>
        <v>0</v>
      </c>
      <c r="W119" s="9"/>
      <c r="X119" s="22">
        <f ca="1">OFFSET('Dist Factors'!$B$15,$O119-1,X$14)*$L119+OFFSET('Dist Factors'!$B$15,$K119-1,X$14)*$H119</f>
        <v>0</v>
      </c>
      <c r="Y119" s="9"/>
      <c r="Z119" s="22">
        <f ca="1">OFFSET('Dist Factors'!$B$15,$O119-1,Z$14)*$L119+OFFSET('Dist Factors'!$B$15,$K119-1,Z$14)*$H119</f>
        <v>0</v>
      </c>
      <c r="AA119" s="22"/>
      <c r="AB119" s="22">
        <f ca="1">OFFSET('Dist Factors'!$B$15,$O119-1,AB$14)*$L119+OFFSET('Dist Factors'!$B$15,$K119-1,AB$14)*$H119</f>
        <v>0</v>
      </c>
      <c r="AC119" s="9"/>
      <c r="AD119" s="22">
        <f ca="1">OFFSET('Dist Factors'!$B$15,$O119-1,AD$14)*$L119+OFFSET('Dist Factors'!$B$15,$K119-1,AD$14)*$H119</f>
        <v>0</v>
      </c>
      <c r="AE119" s="9"/>
      <c r="AF119" s="22">
        <f ca="1">OFFSET('Dist Factors'!$B$15,$O119-1,AF$14)*$L119+OFFSET('Dist Factors'!$B$15,$K119-1,AF$14)*$H119</f>
        <v>0</v>
      </c>
      <c r="AG119" s="9"/>
      <c r="AH119" s="22">
        <f ca="1">OFFSET('Dist Factors'!$B$15,$O119-1,AH$14)*$L119+OFFSET('Dist Factors'!$B$15,$K119-1,AH$14)*$H119</f>
        <v>2497.5353312915377</v>
      </c>
      <c r="AI119" s="9"/>
      <c r="AJ119" s="9">
        <f t="shared" ref="AJ119:AJ161" ca="1" si="156">SUM(P119:AI119)</f>
        <v>2497.5353312915377</v>
      </c>
      <c r="AL119" s="35"/>
      <c r="AM119" s="107"/>
      <c r="AO119" s="235">
        <f ca="1">Function!AL119</f>
        <v>0</v>
      </c>
      <c r="AP119" s="242">
        <f t="shared" ca="1" si="143"/>
        <v>0</v>
      </c>
      <c r="AR119" s="199">
        <f t="shared" ca="1" si="144"/>
        <v>0</v>
      </c>
      <c r="AT119" s="199">
        <f t="shared" ca="1" si="145"/>
        <v>0</v>
      </c>
      <c r="AV119" s="199">
        <f t="shared" ca="1" si="146"/>
        <v>0</v>
      </c>
      <c r="AX119" s="199">
        <f t="shared" ca="1" si="147"/>
        <v>0</v>
      </c>
      <c r="AZ119" s="199">
        <f t="shared" ca="1" si="148"/>
        <v>0</v>
      </c>
      <c r="BB119" s="199">
        <f t="shared" ca="1" si="149"/>
        <v>0</v>
      </c>
      <c r="BD119" s="199">
        <f t="shared" ca="1" si="150"/>
        <v>0</v>
      </c>
      <c r="BF119" s="199">
        <f t="shared" ca="1" si="151"/>
        <v>0</v>
      </c>
      <c r="BH119" s="199">
        <f t="shared" ca="1" si="152"/>
        <v>0</v>
      </c>
      <c r="BJ119" s="199">
        <f t="shared" ca="1" si="153"/>
        <v>0</v>
      </c>
      <c r="BL119" s="199">
        <f t="shared" ca="1" si="155"/>
        <v>0</v>
      </c>
    </row>
    <row r="120" spans="2:66" ht="13" x14ac:dyDescent="0.3">
      <c r="B120" s="28">
        <f t="shared" si="154"/>
        <v>68</v>
      </c>
      <c r="D120" s="63" t="s">
        <v>382</v>
      </c>
      <c r="F120" s="113">
        <f ca="1">Function!V120</f>
        <v>0</v>
      </c>
      <c r="H120" s="200"/>
      <c r="K120" s="91">
        <f>_xlfn.IFNA(MATCH(J120,'Dist Factors'!$B$15:$B$431,0),0)</f>
        <v>0</v>
      </c>
      <c r="L120" s="113">
        <f t="shared" ref="L120:L122" ca="1" si="157">F120-H120</f>
        <v>0</v>
      </c>
      <c r="O120" s="186">
        <f>_xlfn.IFNA(MATCH(N120,'Dist Factors'!$B$15:$B$431,0),0)</f>
        <v>0</v>
      </c>
      <c r="P120" s="22">
        <f ca="1">OFFSET('Dist Factors'!$B$15,$O120-1,P$14)*$L120+OFFSET('Dist Factors'!$B$15,$K120-1,P$14)*$H120</f>
        <v>0</v>
      </c>
      <c r="Q120" s="24"/>
      <c r="R120" s="22">
        <f ca="1">OFFSET('Dist Factors'!$B$15,$O120-1,R$14)*$L120+OFFSET('Dist Factors'!$B$15,$K120-1,R$14)*$H120</f>
        <v>0</v>
      </c>
      <c r="S120" s="22"/>
      <c r="T120" s="22">
        <f ca="1">OFFSET('Dist Factors'!$B$15,$O120-1,T$14)*$L120+OFFSET('Dist Factors'!$B$15,$K120-1,T$14)*$H120</f>
        <v>0</v>
      </c>
      <c r="U120" s="22"/>
      <c r="V120" s="22">
        <f ca="1">OFFSET('Dist Factors'!$B$15,$O120-1,V$14)*$L120+OFFSET('Dist Factors'!$B$15,$K120-1,V$14)*$H120</f>
        <v>0</v>
      </c>
      <c r="W120" s="9"/>
      <c r="X120" s="22">
        <f ca="1">OFFSET('Dist Factors'!$B$15,$O120-1,X$14)*$L120+OFFSET('Dist Factors'!$B$15,$K120-1,X$14)*$H120</f>
        <v>0</v>
      </c>
      <c r="Y120" s="9"/>
      <c r="Z120" s="22">
        <f ca="1">OFFSET('Dist Factors'!$B$15,$O120-1,Z$14)*$L120+OFFSET('Dist Factors'!$B$15,$K120-1,Z$14)*$H120</f>
        <v>0</v>
      </c>
      <c r="AA120" s="22"/>
      <c r="AB120" s="22">
        <f ca="1">OFFSET('Dist Factors'!$B$15,$O120-1,AB$14)*$L120+OFFSET('Dist Factors'!$B$15,$K120-1,AB$14)*$H120</f>
        <v>0</v>
      </c>
      <c r="AC120" s="9"/>
      <c r="AD120" s="22">
        <f ca="1">OFFSET('Dist Factors'!$B$15,$O120-1,AD$14)*$L120+OFFSET('Dist Factors'!$B$15,$K120-1,AD$14)*$H120</f>
        <v>0</v>
      </c>
      <c r="AE120" s="9"/>
      <c r="AF120" s="22">
        <f ca="1">OFFSET('Dist Factors'!$B$15,$O120-1,AF$14)*$L120+OFFSET('Dist Factors'!$B$15,$K120-1,AF$14)*$H120</f>
        <v>0</v>
      </c>
      <c r="AG120" s="9"/>
      <c r="AH120" s="22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35" t="str">
        <f t="shared" ca="1" si="34"/>
        <v/>
      </c>
      <c r="AM120" s="107"/>
      <c r="AO120" s="235">
        <f ca="1">Function!AL120</f>
        <v>0</v>
      </c>
      <c r="AP120" s="242">
        <f t="shared" ca="1" si="143"/>
        <v>0</v>
      </c>
      <c r="AR120" s="199">
        <f t="shared" ca="1" si="144"/>
        <v>0</v>
      </c>
      <c r="AT120" s="199">
        <f t="shared" ca="1" si="145"/>
        <v>0</v>
      </c>
      <c r="AV120" s="199">
        <f t="shared" ca="1" si="146"/>
        <v>0</v>
      </c>
      <c r="AX120" s="199">
        <f t="shared" ca="1" si="147"/>
        <v>0</v>
      </c>
      <c r="AZ120" s="199">
        <f t="shared" ca="1" si="148"/>
        <v>0</v>
      </c>
      <c r="BB120" s="199">
        <f t="shared" ca="1" si="149"/>
        <v>0</v>
      </c>
      <c r="BD120" s="199">
        <f t="shared" ca="1" si="150"/>
        <v>0</v>
      </c>
      <c r="BF120" s="199">
        <f t="shared" ca="1" si="151"/>
        <v>0</v>
      </c>
      <c r="BH120" s="199">
        <f t="shared" ca="1" si="152"/>
        <v>0</v>
      </c>
      <c r="BJ120" s="199">
        <f t="shared" ca="1" si="153"/>
        <v>0</v>
      </c>
      <c r="BL120" s="199">
        <f t="shared" ca="1" si="155"/>
        <v>0</v>
      </c>
    </row>
    <row r="121" spans="2:66" ht="13" x14ac:dyDescent="0.3">
      <c r="B121" s="28">
        <f t="shared" si="154"/>
        <v>69</v>
      </c>
      <c r="D121" s="63" t="s">
        <v>228</v>
      </c>
      <c r="F121" s="113"/>
      <c r="H121" s="200"/>
      <c r="K121" s="91">
        <f>_xlfn.IFNA(MATCH(J121,'Dist Factors'!$B$15:$B$431,0),0)</f>
        <v>0</v>
      </c>
      <c r="L121" s="113"/>
      <c r="N121" s="78"/>
      <c r="O121" s="186">
        <f>_xlfn.IFNA(MATCH(N121,'Dist Factors'!$B$15:$B$431,0),0)</f>
        <v>0</v>
      </c>
      <c r="P121" s="22">
        <f ca="1">OFFSET('Dist Factors'!$B$15,$O121-1,P$14)*$L121+OFFSET('Dist Factors'!$B$15,$K121-1,P$14)*$H121</f>
        <v>0</v>
      </c>
      <c r="Q121" s="24"/>
      <c r="R121" s="22">
        <f ca="1">OFFSET('Dist Factors'!$B$15,$O121-1,R$14)*$L121+OFFSET('Dist Factors'!$B$15,$K121-1,R$14)*$H121</f>
        <v>0</v>
      </c>
      <c r="S121" s="22"/>
      <c r="T121" s="22">
        <f ca="1">OFFSET('Dist Factors'!$B$15,$O121-1,T$14)*$L121+OFFSET('Dist Factors'!$B$15,$K121-1,T$14)*$H121</f>
        <v>0</v>
      </c>
      <c r="U121" s="22"/>
      <c r="V121" s="22">
        <f ca="1">OFFSET('Dist Factors'!$B$15,$O121-1,V$14)*$L121+OFFSET('Dist Factors'!$B$15,$K121-1,V$14)*$H121</f>
        <v>0</v>
      </c>
      <c r="W121" s="9"/>
      <c r="X121" s="22">
        <f ca="1">OFFSET('Dist Factors'!$B$15,$O121-1,X$14)*$L121+OFFSET('Dist Factors'!$B$15,$K121-1,X$14)*$H121</f>
        <v>0</v>
      </c>
      <c r="Y121" s="9"/>
      <c r="Z121" s="22">
        <f ca="1">OFFSET('Dist Factors'!$B$15,$O121-1,Z$14)*$L121+OFFSET('Dist Factors'!$B$15,$K121-1,Z$14)*$H121</f>
        <v>0</v>
      </c>
      <c r="AA121" s="22"/>
      <c r="AB121" s="22">
        <f ca="1">OFFSET('Dist Factors'!$B$15,$O121-1,AB$14)*$L121+OFFSET('Dist Factors'!$B$15,$K121-1,AB$14)*$H121</f>
        <v>0</v>
      </c>
      <c r="AC121" s="9"/>
      <c r="AD121" s="22">
        <f ca="1">OFFSET('Dist Factors'!$B$15,$O121-1,AD$14)*$L121+OFFSET('Dist Factors'!$B$15,$K121-1,AD$14)*$H121</f>
        <v>0</v>
      </c>
      <c r="AE121" s="9"/>
      <c r="AF121" s="22">
        <f ca="1">OFFSET('Dist Factors'!$B$15,$O121-1,AF$14)*$L121+OFFSET('Dist Factors'!$B$15,$K121-1,AF$14)*$H121</f>
        <v>0</v>
      </c>
      <c r="AG121" s="9"/>
      <c r="AH121" s="22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35"/>
      <c r="AM121" s="107"/>
      <c r="AO121" s="235">
        <f ca="1">Function!AL121</f>
        <v>0</v>
      </c>
      <c r="AP121" s="242">
        <f t="shared" ca="1" si="143"/>
        <v>0</v>
      </c>
      <c r="AR121" s="199">
        <f t="shared" ca="1" si="144"/>
        <v>0</v>
      </c>
      <c r="AT121" s="199">
        <f t="shared" ca="1" si="145"/>
        <v>0</v>
      </c>
      <c r="AV121" s="199">
        <f t="shared" ca="1" si="146"/>
        <v>0</v>
      </c>
      <c r="AX121" s="199">
        <f t="shared" ca="1" si="147"/>
        <v>0</v>
      </c>
      <c r="AZ121" s="199">
        <f t="shared" ca="1" si="148"/>
        <v>0</v>
      </c>
      <c r="BB121" s="199">
        <f t="shared" ca="1" si="149"/>
        <v>0</v>
      </c>
      <c r="BD121" s="199">
        <f t="shared" ca="1" si="150"/>
        <v>0</v>
      </c>
      <c r="BF121" s="199">
        <f t="shared" ca="1" si="151"/>
        <v>0</v>
      </c>
      <c r="BH121" s="199">
        <f t="shared" ca="1" si="152"/>
        <v>0</v>
      </c>
      <c r="BJ121" s="199">
        <f t="shared" ca="1" si="153"/>
        <v>0</v>
      </c>
      <c r="BL121" s="199">
        <f t="shared" ca="1" si="155"/>
        <v>0</v>
      </c>
    </row>
    <row r="122" spans="2:66" ht="13" x14ac:dyDescent="0.3">
      <c r="B122" s="28">
        <f t="shared" si="154"/>
        <v>70</v>
      </c>
      <c r="D122" s="63" t="s">
        <v>140</v>
      </c>
      <c r="F122" s="113">
        <f ca="1">Function!V122</f>
        <v>10937.610449326283</v>
      </c>
      <c r="H122" s="200"/>
      <c r="K122" s="91">
        <f>_xlfn.IFNA(MATCH(J122,'Dist Factors'!$B$15:$B$431,0),0)</f>
        <v>0</v>
      </c>
      <c r="L122" s="113">
        <f t="shared" ca="1" si="157"/>
        <v>10937.610449326283</v>
      </c>
      <c r="N122" s="70" t="s">
        <v>242</v>
      </c>
      <c r="O122" s="186">
        <f>_xlfn.IFNA(MATCH(N122,'Dist Factors'!$B$15:$B$431,0),0)</f>
        <v>59</v>
      </c>
      <c r="P122" s="22">
        <f ca="1">OFFSET('Dist Factors'!$B$15,$O122-1,P$14)*$L122+OFFSET('Dist Factors'!$B$15,$K122-1,P$14)*$H122</f>
        <v>10937.610449326283</v>
      </c>
      <c r="Q122" s="24"/>
      <c r="R122" s="22">
        <f ca="1">OFFSET('Dist Factors'!$B$15,$O122-1,R$14)*$L122+OFFSET('Dist Factors'!$B$15,$K122-1,R$14)*$H122</f>
        <v>0</v>
      </c>
      <c r="S122" s="22"/>
      <c r="T122" s="22">
        <f ca="1">OFFSET('Dist Factors'!$B$15,$O122-1,T$14)*$L122+OFFSET('Dist Factors'!$B$15,$K122-1,T$14)*$H122</f>
        <v>0</v>
      </c>
      <c r="U122" s="22"/>
      <c r="V122" s="22">
        <f ca="1">OFFSET('Dist Factors'!$B$15,$O122-1,V$14)*$L122+OFFSET('Dist Factors'!$B$15,$K122-1,V$14)*$H122</f>
        <v>0</v>
      </c>
      <c r="W122" s="9"/>
      <c r="X122" s="22">
        <f ca="1">OFFSET('Dist Factors'!$B$15,$O122-1,X$14)*$L122+OFFSET('Dist Factors'!$B$15,$K122-1,X$14)*$H122</f>
        <v>0</v>
      </c>
      <c r="Y122" s="9"/>
      <c r="Z122" s="22">
        <f ca="1">OFFSET('Dist Factors'!$B$15,$O122-1,Z$14)*$L122+OFFSET('Dist Factors'!$B$15,$K122-1,Z$14)*$H122</f>
        <v>0</v>
      </c>
      <c r="AA122" s="22"/>
      <c r="AB122" s="22">
        <f ca="1">OFFSET('Dist Factors'!$B$15,$O122-1,AB$14)*$L122+OFFSET('Dist Factors'!$B$15,$K122-1,AB$14)*$H122</f>
        <v>0</v>
      </c>
      <c r="AC122" s="9"/>
      <c r="AD122" s="22">
        <f ca="1">OFFSET('Dist Factors'!$B$15,$O122-1,AD$14)*$L122+OFFSET('Dist Factors'!$B$15,$K122-1,AD$14)*$H122</f>
        <v>0</v>
      </c>
      <c r="AE122" s="9"/>
      <c r="AF122" s="22">
        <f ca="1">OFFSET('Dist Factors'!$B$15,$O122-1,AF$14)*$L122+OFFSET('Dist Factors'!$B$15,$K122-1,AF$14)*$H122</f>
        <v>0</v>
      </c>
      <c r="AG122" s="9"/>
      <c r="AH122" s="22">
        <f ca="1">OFFSET('Dist Factors'!$B$15,$O122-1,AH$14)*$L122+OFFSET('Dist Factors'!$B$15,$K122-1,AH$14)*$H122</f>
        <v>0</v>
      </c>
      <c r="AI122" s="9"/>
      <c r="AJ122" s="9">
        <f t="shared" ca="1" si="156"/>
        <v>10937.610449326283</v>
      </c>
      <c r="AL122" s="35" t="str">
        <f t="shared" ca="1" si="34"/>
        <v/>
      </c>
      <c r="AM122" s="107"/>
      <c r="AO122" s="235">
        <f ca="1">Function!AL122</f>
        <v>0</v>
      </c>
      <c r="AP122" s="242">
        <f t="shared" ca="1" si="143"/>
        <v>0</v>
      </c>
      <c r="AR122" s="199">
        <f t="shared" ca="1" si="144"/>
        <v>0</v>
      </c>
      <c r="AT122" s="199">
        <f t="shared" ca="1" si="145"/>
        <v>0</v>
      </c>
      <c r="AV122" s="199">
        <f t="shared" ca="1" si="146"/>
        <v>0</v>
      </c>
      <c r="AX122" s="199">
        <f t="shared" ca="1" si="147"/>
        <v>0</v>
      </c>
      <c r="AZ122" s="199">
        <f t="shared" ca="1" si="148"/>
        <v>0</v>
      </c>
      <c r="BB122" s="199">
        <f t="shared" ca="1" si="149"/>
        <v>0</v>
      </c>
      <c r="BD122" s="199">
        <f t="shared" ca="1" si="150"/>
        <v>0</v>
      </c>
      <c r="BF122" s="199">
        <f t="shared" ca="1" si="151"/>
        <v>0</v>
      </c>
      <c r="BH122" s="199">
        <f t="shared" ca="1" si="152"/>
        <v>0</v>
      </c>
      <c r="BJ122" s="199">
        <f t="shared" ca="1" si="153"/>
        <v>0</v>
      </c>
      <c r="BL122" s="199">
        <f t="shared" ca="1" si="155"/>
        <v>0</v>
      </c>
    </row>
    <row r="123" spans="2:66" ht="13" x14ac:dyDescent="0.3">
      <c r="B123" s="28"/>
      <c r="D123" s="97" t="s">
        <v>8</v>
      </c>
      <c r="O123" s="186"/>
      <c r="AD123" s="9"/>
      <c r="AE123" s="9"/>
      <c r="AF123" s="9"/>
      <c r="AG123" s="9"/>
      <c r="AH123" s="9"/>
      <c r="AJ123" s="9">
        <f t="shared" si="156"/>
        <v>0</v>
      </c>
      <c r="AL123" s="35" t="str">
        <f t="shared" ref="AL123:AL180" si="158">IF(ROUND(F123,4)=ROUND(AJ123,4), "", "check")</f>
        <v/>
      </c>
      <c r="AM123" s="107"/>
      <c r="AR123" s="199">
        <f t="shared" si="144"/>
        <v>0</v>
      </c>
      <c r="AT123" s="199">
        <f t="shared" si="145"/>
        <v>0</v>
      </c>
      <c r="AV123" s="199">
        <f t="shared" si="146"/>
        <v>0</v>
      </c>
      <c r="AX123" s="199">
        <f t="shared" si="147"/>
        <v>0</v>
      </c>
      <c r="AZ123" s="199">
        <f t="shared" si="148"/>
        <v>0</v>
      </c>
      <c r="BB123" s="199">
        <f t="shared" si="149"/>
        <v>0</v>
      </c>
      <c r="BD123" s="199">
        <f t="shared" si="150"/>
        <v>0</v>
      </c>
      <c r="BF123" s="199">
        <f t="shared" si="151"/>
        <v>0</v>
      </c>
      <c r="BH123" s="199">
        <f t="shared" si="152"/>
        <v>0</v>
      </c>
      <c r="BJ123" s="199">
        <f t="shared" si="153"/>
        <v>0</v>
      </c>
      <c r="BL123" s="199">
        <f t="shared" si="155"/>
        <v>0</v>
      </c>
    </row>
    <row r="124" spans="2:66" ht="13" x14ac:dyDescent="0.3">
      <c r="B124" s="28">
        <f>B122+1</f>
        <v>71</v>
      </c>
      <c r="D124" s="63" t="s">
        <v>71</v>
      </c>
      <c r="F124" s="113">
        <f ca="1">Function!V124</f>
        <v>0</v>
      </c>
      <c r="H124" s="200"/>
      <c r="K124" s="91">
        <f>_xlfn.IFNA(MATCH(J124,'Dist Factors'!$B$15:$B$431,0),0)</f>
        <v>0</v>
      </c>
      <c r="L124" s="113">
        <f t="shared" ref="L124" ca="1" si="159">F124-H124</f>
        <v>0</v>
      </c>
      <c r="O124" s="186">
        <f>_xlfn.IFNA(MATCH(N124,'Dist Factors'!$B$15:$B$431,0),0)</f>
        <v>0</v>
      </c>
      <c r="P124" s="22">
        <f ca="1">OFFSET('Dist Factors'!$B$15,$O124-1,P$14)*$L124+OFFSET('Dist Factors'!$B$15,$K124-1,P$14)*$H124</f>
        <v>0</v>
      </c>
      <c r="Q124" s="24"/>
      <c r="R124" s="22">
        <f ca="1">OFFSET('Dist Factors'!$B$15,$O124-1,R$14)*$L124+OFFSET('Dist Factors'!$B$15,$K124-1,R$14)*$H124</f>
        <v>0</v>
      </c>
      <c r="S124" s="22"/>
      <c r="T124" s="22">
        <f ca="1">OFFSET('Dist Factors'!$B$15,$O124-1,T$14)*$L124+OFFSET('Dist Factors'!$B$15,$K124-1,T$14)*$H124</f>
        <v>0</v>
      </c>
      <c r="U124" s="22"/>
      <c r="V124" s="22">
        <f ca="1">OFFSET('Dist Factors'!$B$15,$O124-1,V$14)*$L124+OFFSET('Dist Factors'!$B$15,$K124-1,V$14)*$H124</f>
        <v>0</v>
      </c>
      <c r="W124" s="9"/>
      <c r="X124" s="22">
        <f ca="1">OFFSET('Dist Factors'!$B$15,$O124-1,X$14)*$L124+OFFSET('Dist Factors'!$B$15,$K124-1,X$14)*$H124</f>
        <v>0</v>
      </c>
      <c r="Y124" s="9"/>
      <c r="Z124" s="22">
        <f ca="1">OFFSET('Dist Factors'!$B$15,$O124-1,Z$14)*$L124+OFFSET('Dist Factors'!$B$15,$K124-1,Z$14)*$H124</f>
        <v>0</v>
      </c>
      <c r="AA124" s="22"/>
      <c r="AB124" s="22">
        <f ca="1">OFFSET('Dist Factors'!$B$15,$O124-1,AB$14)*$L124+OFFSET('Dist Factors'!$B$15,$K124-1,AB$14)*$H124</f>
        <v>0</v>
      </c>
      <c r="AC124" s="9"/>
      <c r="AD124" s="22">
        <f ca="1">OFFSET('Dist Factors'!$B$15,$O124-1,AD$14)*$L124+OFFSET('Dist Factors'!$B$15,$K124-1,AD$14)*$H124</f>
        <v>0</v>
      </c>
      <c r="AE124" s="9"/>
      <c r="AF124" s="22">
        <f ca="1">OFFSET('Dist Factors'!$B$15,$O124-1,AF$14)*$L124+OFFSET('Dist Factors'!$B$15,$K124-1,AF$14)*$H124</f>
        <v>0</v>
      </c>
      <c r="AG124" s="9"/>
      <c r="AH124" s="22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35" t="str">
        <f t="shared" ca="1" si="158"/>
        <v/>
      </c>
      <c r="AM124" s="107"/>
      <c r="AO124" s="235">
        <f ca="1">Function!AL124</f>
        <v>0</v>
      </c>
      <c r="AP124" s="242">
        <f t="shared" ref="AP124:AP131" ca="1" si="160">IFERROR(AO124/F124,0)</f>
        <v>0</v>
      </c>
      <c r="AR124" s="199">
        <f t="shared" ca="1" si="144"/>
        <v>0</v>
      </c>
      <c r="AT124" s="199">
        <f t="shared" ca="1" si="145"/>
        <v>0</v>
      </c>
      <c r="AV124" s="199">
        <f t="shared" ca="1" si="146"/>
        <v>0</v>
      </c>
      <c r="AX124" s="199">
        <f t="shared" ca="1" si="147"/>
        <v>0</v>
      </c>
      <c r="AZ124" s="199">
        <f t="shared" ca="1" si="148"/>
        <v>0</v>
      </c>
      <c r="BB124" s="199">
        <f t="shared" ca="1" si="149"/>
        <v>0</v>
      </c>
      <c r="BD124" s="199">
        <f t="shared" ca="1" si="150"/>
        <v>0</v>
      </c>
      <c r="BF124" s="199">
        <f t="shared" ca="1" si="151"/>
        <v>0</v>
      </c>
      <c r="BH124" s="199">
        <f t="shared" ca="1" si="152"/>
        <v>0</v>
      </c>
      <c r="BJ124" s="199">
        <f t="shared" ca="1" si="153"/>
        <v>0</v>
      </c>
      <c r="BL124" s="199">
        <f t="shared" ca="1" si="155"/>
        <v>0</v>
      </c>
    </row>
    <row r="125" spans="2:66" ht="13" x14ac:dyDescent="0.3">
      <c r="B125" s="28">
        <f t="shared" ref="B125:B131" si="161">B124+1</f>
        <v>72</v>
      </c>
      <c r="D125" s="63" t="s">
        <v>196</v>
      </c>
      <c r="F125" s="113">
        <f ca="1">Function!V125</f>
        <v>0</v>
      </c>
      <c r="H125" s="200"/>
      <c r="K125" s="91">
        <f>_xlfn.IFNA(MATCH(J125,'Dist Factors'!$B$15:$B$431,0),0)</f>
        <v>0</v>
      </c>
      <c r="L125" s="113"/>
      <c r="N125" s="72"/>
      <c r="O125" s="186">
        <f>_xlfn.IFNA(MATCH(N125,'Dist Factors'!$B$15:$B$431,0),0)</f>
        <v>0</v>
      </c>
      <c r="P125" s="22">
        <f ca="1">OFFSET('Dist Factors'!$B$15,$O125-1,P$14)*$L125+OFFSET('Dist Factors'!$B$15,$K125-1,P$14)*$H125</f>
        <v>0</v>
      </c>
      <c r="Q125" s="24"/>
      <c r="R125" s="22">
        <f ca="1">OFFSET('Dist Factors'!$B$15,$O125-1,R$14)*$L125+OFFSET('Dist Factors'!$B$15,$K125-1,R$14)*$H125</f>
        <v>0</v>
      </c>
      <c r="S125" s="22"/>
      <c r="T125" s="22">
        <f ca="1">OFFSET('Dist Factors'!$B$15,$O125-1,T$14)*$L125+OFFSET('Dist Factors'!$B$15,$K125-1,T$14)*$H125</f>
        <v>0</v>
      </c>
      <c r="U125" s="22"/>
      <c r="V125" s="22">
        <f ca="1">OFFSET('Dist Factors'!$B$15,$O125-1,V$14)*$L125+OFFSET('Dist Factors'!$B$15,$K125-1,V$14)*$H125</f>
        <v>0</v>
      </c>
      <c r="W125" s="9"/>
      <c r="X125" s="22">
        <f ca="1">OFFSET('Dist Factors'!$B$15,$O125-1,X$14)*$L125+OFFSET('Dist Factors'!$B$15,$K125-1,X$14)*$H125</f>
        <v>0</v>
      </c>
      <c r="Y125" s="9"/>
      <c r="Z125" s="22">
        <f ca="1">OFFSET('Dist Factors'!$B$15,$O125-1,Z$14)*$L125+OFFSET('Dist Factors'!$B$15,$K125-1,Z$14)*$H125</f>
        <v>0</v>
      </c>
      <c r="AA125" s="22"/>
      <c r="AB125" s="22">
        <f ca="1">OFFSET('Dist Factors'!$B$15,$O125-1,AB$14)*$L125+OFFSET('Dist Factors'!$B$15,$K125-1,AB$14)*$H125</f>
        <v>0</v>
      </c>
      <c r="AC125" s="9"/>
      <c r="AD125" s="22">
        <f ca="1">OFFSET('Dist Factors'!$B$15,$O125-1,AD$14)*$L125+OFFSET('Dist Factors'!$B$15,$K125-1,AD$14)*$H125</f>
        <v>0</v>
      </c>
      <c r="AE125" s="9"/>
      <c r="AF125" s="22">
        <f ca="1">OFFSET('Dist Factors'!$B$15,$O125-1,AF$14)*$L125+OFFSET('Dist Factors'!$B$15,$K125-1,AF$14)*$H125</f>
        <v>0</v>
      </c>
      <c r="AG125" s="9"/>
      <c r="AH125" s="22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35" t="str">
        <f t="shared" ca="1" si="158"/>
        <v/>
      </c>
      <c r="AM125" s="107"/>
      <c r="AO125" s="235">
        <f ca="1">Function!AL125</f>
        <v>0</v>
      </c>
      <c r="AP125" s="242">
        <f t="shared" ca="1" si="160"/>
        <v>0</v>
      </c>
      <c r="AR125" s="199">
        <f t="shared" ca="1" si="144"/>
        <v>0</v>
      </c>
      <c r="AT125" s="199">
        <f t="shared" ca="1" si="145"/>
        <v>0</v>
      </c>
      <c r="AV125" s="199">
        <f t="shared" ca="1" si="146"/>
        <v>0</v>
      </c>
      <c r="AX125" s="199">
        <f t="shared" ca="1" si="147"/>
        <v>0</v>
      </c>
      <c r="AZ125" s="199">
        <f t="shared" ca="1" si="148"/>
        <v>0</v>
      </c>
      <c r="BB125" s="199">
        <f t="shared" ca="1" si="149"/>
        <v>0</v>
      </c>
      <c r="BD125" s="199">
        <f t="shared" ca="1" si="150"/>
        <v>0</v>
      </c>
      <c r="BF125" s="199">
        <f t="shared" ca="1" si="151"/>
        <v>0</v>
      </c>
      <c r="BH125" s="199">
        <f t="shared" ca="1" si="152"/>
        <v>0</v>
      </c>
      <c r="BJ125" s="199">
        <f t="shared" ca="1" si="153"/>
        <v>0</v>
      </c>
      <c r="BL125" s="199">
        <f t="shared" ca="1" si="155"/>
        <v>0</v>
      </c>
    </row>
    <row r="126" spans="2:66" ht="13" x14ac:dyDescent="0.3">
      <c r="B126" s="28">
        <f t="shared" si="161"/>
        <v>73</v>
      </c>
      <c r="D126" s="63" t="s">
        <v>204</v>
      </c>
      <c r="F126" s="113">
        <f ca="1">Function!V126</f>
        <v>0</v>
      </c>
      <c r="H126" s="200"/>
      <c r="K126" s="91">
        <f>_xlfn.IFNA(MATCH(J126,'Dist Factors'!$B$15:$B$431,0),0)</f>
        <v>0</v>
      </c>
      <c r="L126" s="113">
        <f t="shared" ref="L126:L131" ca="1" si="162">F126-H126</f>
        <v>0</v>
      </c>
      <c r="O126" s="186">
        <f>_xlfn.IFNA(MATCH(N126,'Dist Factors'!$B$15:$B$431,0),0)</f>
        <v>0</v>
      </c>
      <c r="P126" s="22">
        <f ca="1">OFFSET('Dist Factors'!$B$15,$O126-1,P$14)*$L126+OFFSET('Dist Factors'!$B$15,$K126-1,P$14)*$H126</f>
        <v>0</v>
      </c>
      <c r="Q126" s="24"/>
      <c r="R126" s="22">
        <f ca="1">OFFSET('Dist Factors'!$B$15,$O126-1,R$14)*$L126+OFFSET('Dist Factors'!$B$15,$K126-1,R$14)*$H126</f>
        <v>0</v>
      </c>
      <c r="S126" s="22"/>
      <c r="T126" s="22">
        <f ca="1">OFFSET('Dist Factors'!$B$15,$O126-1,T$14)*$L126+OFFSET('Dist Factors'!$B$15,$K126-1,T$14)*$H126</f>
        <v>0</v>
      </c>
      <c r="U126" s="22"/>
      <c r="V126" s="22">
        <f ca="1">OFFSET('Dist Factors'!$B$15,$O126-1,V$14)*$L126+OFFSET('Dist Factors'!$B$15,$K126-1,V$14)*$H126</f>
        <v>0</v>
      </c>
      <c r="W126" s="9"/>
      <c r="X126" s="22">
        <f ca="1">OFFSET('Dist Factors'!$B$15,$O126-1,X$14)*$L126+OFFSET('Dist Factors'!$B$15,$K126-1,X$14)*$H126</f>
        <v>0</v>
      </c>
      <c r="Y126" s="9"/>
      <c r="Z126" s="22">
        <f ca="1">OFFSET('Dist Factors'!$B$15,$O126-1,Z$14)*$L126+OFFSET('Dist Factors'!$B$15,$K126-1,Z$14)*$H126</f>
        <v>0</v>
      </c>
      <c r="AA126" s="22"/>
      <c r="AB126" s="22">
        <f ca="1">OFFSET('Dist Factors'!$B$15,$O126-1,AB$14)*$L126+OFFSET('Dist Factors'!$B$15,$K126-1,AB$14)*$H126</f>
        <v>0</v>
      </c>
      <c r="AC126" s="9"/>
      <c r="AD126" s="22">
        <f ca="1">OFFSET('Dist Factors'!$B$15,$O126-1,AD$14)*$L126+OFFSET('Dist Factors'!$B$15,$K126-1,AD$14)*$H126</f>
        <v>0</v>
      </c>
      <c r="AE126" s="9"/>
      <c r="AF126" s="22">
        <f ca="1">OFFSET('Dist Factors'!$B$15,$O126-1,AF$14)*$L126+OFFSET('Dist Factors'!$B$15,$K126-1,AF$14)*$H126</f>
        <v>0</v>
      </c>
      <c r="AG126" s="9"/>
      <c r="AH126" s="22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35" t="str">
        <f t="shared" ca="1" si="158"/>
        <v/>
      </c>
      <c r="AM126" s="107"/>
      <c r="AO126" s="235">
        <f ca="1">Function!AL126</f>
        <v>0</v>
      </c>
      <c r="AP126" s="242">
        <f t="shared" ca="1" si="160"/>
        <v>0</v>
      </c>
      <c r="AR126" s="199">
        <f t="shared" ca="1" si="144"/>
        <v>0</v>
      </c>
      <c r="AT126" s="199">
        <f t="shared" ca="1" si="145"/>
        <v>0</v>
      </c>
      <c r="AV126" s="199">
        <f t="shared" ca="1" si="146"/>
        <v>0</v>
      </c>
      <c r="AX126" s="199">
        <f t="shared" ca="1" si="147"/>
        <v>0</v>
      </c>
      <c r="AZ126" s="199">
        <f t="shared" ca="1" si="148"/>
        <v>0</v>
      </c>
      <c r="BB126" s="199">
        <f t="shared" ca="1" si="149"/>
        <v>0</v>
      </c>
      <c r="BD126" s="199">
        <f t="shared" ca="1" si="150"/>
        <v>0</v>
      </c>
      <c r="BF126" s="199">
        <f t="shared" ca="1" si="151"/>
        <v>0</v>
      </c>
      <c r="BH126" s="199">
        <f t="shared" ca="1" si="152"/>
        <v>0</v>
      </c>
      <c r="BJ126" s="199">
        <f t="shared" ca="1" si="153"/>
        <v>0</v>
      </c>
      <c r="BL126" s="199">
        <f t="shared" ca="1" si="155"/>
        <v>0</v>
      </c>
    </row>
    <row r="127" spans="2:66" ht="13" x14ac:dyDescent="0.3">
      <c r="B127" s="28">
        <f t="shared" si="161"/>
        <v>74</v>
      </c>
      <c r="D127" s="63" t="s">
        <v>224</v>
      </c>
      <c r="F127" s="113">
        <f ca="1">Function!V127</f>
        <v>0</v>
      </c>
      <c r="H127" s="200"/>
      <c r="K127" s="91">
        <f>_xlfn.IFNA(MATCH(J127,'Dist Factors'!$B$15:$B$431,0),0)</f>
        <v>0</v>
      </c>
      <c r="L127" s="113">
        <f t="shared" ca="1" si="162"/>
        <v>0</v>
      </c>
      <c r="O127" s="186">
        <f>_xlfn.IFNA(MATCH(N127,'Dist Factors'!$B$15:$B$431,0),0)</f>
        <v>0</v>
      </c>
      <c r="P127" s="22">
        <f ca="1">OFFSET('Dist Factors'!$B$15,$O127-1,P$14)*$L127+OFFSET('Dist Factors'!$B$15,$K127-1,P$14)*$H127</f>
        <v>0</v>
      </c>
      <c r="Q127" s="24"/>
      <c r="R127" s="22">
        <f ca="1">OFFSET('Dist Factors'!$B$15,$O127-1,R$14)*$L127+OFFSET('Dist Factors'!$B$15,$K127-1,R$14)*$H127</f>
        <v>0</v>
      </c>
      <c r="S127" s="22"/>
      <c r="T127" s="22">
        <f ca="1">OFFSET('Dist Factors'!$B$15,$O127-1,T$14)*$L127+OFFSET('Dist Factors'!$B$15,$K127-1,T$14)*$H127</f>
        <v>0</v>
      </c>
      <c r="U127" s="22"/>
      <c r="V127" s="22">
        <f ca="1">OFFSET('Dist Factors'!$B$15,$O127-1,V$14)*$L127+OFFSET('Dist Factors'!$B$15,$K127-1,V$14)*$H127</f>
        <v>0</v>
      </c>
      <c r="W127" s="9"/>
      <c r="X127" s="22">
        <f ca="1">OFFSET('Dist Factors'!$B$15,$O127-1,X$14)*$L127+OFFSET('Dist Factors'!$B$15,$K127-1,X$14)*$H127</f>
        <v>0</v>
      </c>
      <c r="Y127" s="9"/>
      <c r="Z127" s="22">
        <f ca="1">OFFSET('Dist Factors'!$B$15,$O127-1,Z$14)*$L127+OFFSET('Dist Factors'!$B$15,$K127-1,Z$14)*$H127</f>
        <v>0</v>
      </c>
      <c r="AA127" s="22"/>
      <c r="AB127" s="22">
        <f ca="1">OFFSET('Dist Factors'!$B$15,$O127-1,AB$14)*$L127+OFFSET('Dist Factors'!$B$15,$K127-1,AB$14)*$H127</f>
        <v>0</v>
      </c>
      <c r="AC127" s="9"/>
      <c r="AD127" s="22">
        <f ca="1">OFFSET('Dist Factors'!$B$15,$O127-1,AD$14)*$L127+OFFSET('Dist Factors'!$B$15,$K127-1,AD$14)*$H127</f>
        <v>0</v>
      </c>
      <c r="AE127" s="9"/>
      <c r="AF127" s="22">
        <f ca="1">OFFSET('Dist Factors'!$B$15,$O127-1,AF$14)*$L127+OFFSET('Dist Factors'!$B$15,$K127-1,AF$14)*$H127</f>
        <v>0</v>
      </c>
      <c r="AG127" s="9"/>
      <c r="AH127" s="22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35" t="str">
        <f t="shared" ca="1" si="158"/>
        <v/>
      </c>
      <c r="AM127" s="107"/>
      <c r="AO127" s="235">
        <f ca="1">Function!AL127</f>
        <v>0</v>
      </c>
      <c r="AP127" s="242">
        <f t="shared" ca="1" si="160"/>
        <v>0</v>
      </c>
      <c r="AR127" s="199">
        <f t="shared" ca="1" si="144"/>
        <v>0</v>
      </c>
      <c r="AT127" s="199">
        <f t="shared" ca="1" si="145"/>
        <v>0</v>
      </c>
      <c r="AV127" s="199">
        <f t="shared" ca="1" si="146"/>
        <v>0</v>
      </c>
      <c r="AX127" s="199">
        <f t="shared" ca="1" si="147"/>
        <v>0</v>
      </c>
      <c r="AZ127" s="199">
        <f t="shared" ca="1" si="148"/>
        <v>0</v>
      </c>
      <c r="BB127" s="199">
        <f t="shared" ca="1" si="149"/>
        <v>0</v>
      </c>
      <c r="BD127" s="199">
        <f t="shared" ca="1" si="150"/>
        <v>0</v>
      </c>
      <c r="BF127" s="199">
        <f t="shared" ca="1" si="151"/>
        <v>0</v>
      </c>
      <c r="BH127" s="199">
        <f t="shared" ca="1" si="152"/>
        <v>0</v>
      </c>
      <c r="BJ127" s="199">
        <f t="shared" ca="1" si="153"/>
        <v>0</v>
      </c>
      <c r="BL127" s="199">
        <f t="shared" ca="1" si="155"/>
        <v>0</v>
      </c>
    </row>
    <row r="128" spans="2:66" ht="13" x14ac:dyDescent="0.3">
      <c r="B128" s="28">
        <f t="shared" si="161"/>
        <v>75</v>
      </c>
      <c r="D128" s="63" t="s">
        <v>21</v>
      </c>
      <c r="F128" s="113">
        <f ca="1">Function!V128</f>
        <v>0</v>
      </c>
      <c r="H128" s="200"/>
      <c r="K128" s="91">
        <f>_xlfn.IFNA(MATCH(J128,'Dist Factors'!$B$15:$B$431,0),0)</f>
        <v>0</v>
      </c>
      <c r="L128" s="113">
        <f t="shared" ca="1" si="162"/>
        <v>0</v>
      </c>
      <c r="O128" s="186">
        <f>_xlfn.IFNA(MATCH(N128,'Dist Factors'!$B$15:$B$431,0),0)</f>
        <v>0</v>
      </c>
      <c r="P128" s="22">
        <f ca="1">OFFSET('Dist Factors'!$B$15,$O128-1,P$14)*$L128+OFFSET('Dist Factors'!$B$15,$K128-1,P$14)*$H128</f>
        <v>0</v>
      </c>
      <c r="Q128" s="24"/>
      <c r="R128" s="22">
        <f ca="1">OFFSET('Dist Factors'!$B$15,$O128-1,R$14)*$L128+OFFSET('Dist Factors'!$B$15,$K128-1,R$14)*$H128</f>
        <v>0</v>
      </c>
      <c r="S128" s="22"/>
      <c r="T128" s="22">
        <f ca="1">OFFSET('Dist Factors'!$B$15,$O128-1,T$14)*$L128+OFFSET('Dist Factors'!$B$15,$K128-1,T$14)*$H128</f>
        <v>0</v>
      </c>
      <c r="U128" s="22"/>
      <c r="V128" s="22">
        <f ca="1">OFFSET('Dist Factors'!$B$15,$O128-1,V$14)*$L128+OFFSET('Dist Factors'!$B$15,$K128-1,V$14)*$H128</f>
        <v>0</v>
      </c>
      <c r="W128" s="9"/>
      <c r="X128" s="22">
        <f ca="1">OFFSET('Dist Factors'!$B$15,$O128-1,X$14)*$L128+OFFSET('Dist Factors'!$B$15,$K128-1,X$14)*$H128</f>
        <v>0</v>
      </c>
      <c r="Y128" s="9"/>
      <c r="Z128" s="22">
        <f ca="1">OFFSET('Dist Factors'!$B$15,$O128-1,Z$14)*$L128+OFFSET('Dist Factors'!$B$15,$K128-1,Z$14)*$H128</f>
        <v>0</v>
      </c>
      <c r="AA128" s="22"/>
      <c r="AB128" s="22">
        <f ca="1">OFFSET('Dist Factors'!$B$15,$O128-1,AB$14)*$L128+OFFSET('Dist Factors'!$B$15,$K128-1,AB$14)*$H128</f>
        <v>0</v>
      </c>
      <c r="AC128" s="9"/>
      <c r="AD128" s="22">
        <f ca="1">OFFSET('Dist Factors'!$B$15,$O128-1,AD$14)*$L128+OFFSET('Dist Factors'!$B$15,$K128-1,AD$14)*$H128</f>
        <v>0</v>
      </c>
      <c r="AE128" s="9"/>
      <c r="AF128" s="22">
        <f ca="1">OFFSET('Dist Factors'!$B$15,$O128-1,AF$14)*$L128+OFFSET('Dist Factors'!$B$15,$K128-1,AF$14)*$H128</f>
        <v>0</v>
      </c>
      <c r="AG128" s="9"/>
      <c r="AH128" s="22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35" t="str">
        <f t="shared" ca="1" si="158"/>
        <v/>
      </c>
      <c r="AM128" s="107"/>
      <c r="AO128" s="235">
        <f ca="1">Function!AL128</f>
        <v>0</v>
      </c>
      <c r="AP128" s="242">
        <f t="shared" ca="1" si="160"/>
        <v>0</v>
      </c>
      <c r="AR128" s="199">
        <f t="shared" ca="1" si="144"/>
        <v>0</v>
      </c>
      <c r="AT128" s="199">
        <f t="shared" ca="1" si="145"/>
        <v>0</v>
      </c>
      <c r="AV128" s="199">
        <f t="shared" ca="1" si="146"/>
        <v>0</v>
      </c>
      <c r="AX128" s="199">
        <f t="shared" ca="1" si="147"/>
        <v>0</v>
      </c>
      <c r="AZ128" s="199">
        <f t="shared" ca="1" si="148"/>
        <v>0</v>
      </c>
      <c r="BB128" s="199">
        <f t="shared" ca="1" si="149"/>
        <v>0</v>
      </c>
      <c r="BD128" s="199">
        <f t="shared" ca="1" si="150"/>
        <v>0</v>
      </c>
      <c r="BF128" s="199">
        <f t="shared" ca="1" si="151"/>
        <v>0</v>
      </c>
      <c r="BH128" s="199">
        <f t="shared" ca="1" si="152"/>
        <v>0</v>
      </c>
      <c r="BJ128" s="199">
        <f t="shared" ca="1" si="153"/>
        <v>0</v>
      </c>
      <c r="BL128" s="199">
        <f t="shared" ca="1" si="155"/>
        <v>0</v>
      </c>
    </row>
    <row r="129" spans="2:64" ht="13" x14ac:dyDescent="0.3">
      <c r="B129" s="28">
        <f t="shared" si="161"/>
        <v>76</v>
      </c>
      <c r="D129" s="63" t="s">
        <v>225</v>
      </c>
      <c r="F129" s="113">
        <f ca="1">Function!V129</f>
        <v>0</v>
      </c>
      <c r="H129" s="200"/>
      <c r="K129" s="91">
        <f>_xlfn.IFNA(MATCH(J129,'Dist Factors'!$B$15:$B$431,0),0)</f>
        <v>0</v>
      </c>
      <c r="L129" s="113">
        <f t="shared" ca="1" si="162"/>
        <v>0</v>
      </c>
      <c r="O129" s="186">
        <f>_xlfn.IFNA(MATCH(N129,'Dist Factors'!$B$15:$B$431,0),0)</f>
        <v>0</v>
      </c>
      <c r="P129" s="22">
        <f ca="1">OFFSET('Dist Factors'!$B$15,$O129-1,P$14)*$L129+OFFSET('Dist Factors'!$B$15,$K129-1,P$14)*$H129</f>
        <v>0</v>
      </c>
      <c r="Q129" s="24"/>
      <c r="R129" s="22">
        <f ca="1">OFFSET('Dist Factors'!$B$15,$O129-1,R$14)*$L129+OFFSET('Dist Factors'!$B$15,$K129-1,R$14)*$H129</f>
        <v>0</v>
      </c>
      <c r="S129" s="22"/>
      <c r="T129" s="22">
        <f ca="1">OFFSET('Dist Factors'!$B$15,$O129-1,T$14)*$L129+OFFSET('Dist Factors'!$B$15,$K129-1,T$14)*$H129</f>
        <v>0</v>
      </c>
      <c r="U129" s="22"/>
      <c r="V129" s="22">
        <f ca="1">OFFSET('Dist Factors'!$B$15,$O129-1,V$14)*$L129+OFFSET('Dist Factors'!$B$15,$K129-1,V$14)*$H129</f>
        <v>0</v>
      </c>
      <c r="W129" s="9"/>
      <c r="X129" s="22">
        <f ca="1">OFFSET('Dist Factors'!$B$15,$O129-1,X$14)*$L129+OFFSET('Dist Factors'!$B$15,$K129-1,X$14)*$H129</f>
        <v>0</v>
      </c>
      <c r="Y129" s="9"/>
      <c r="Z129" s="22">
        <f ca="1">OFFSET('Dist Factors'!$B$15,$O129-1,Z$14)*$L129+OFFSET('Dist Factors'!$B$15,$K129-1,Z$14)*$H129</f>
        <v>0</v>
      </c>
      <c r="AA129" s="22"/>
      <c r="AB129" s="22">
        <f ca="1">OFFSET('Dist Factors'!$B$15,$O129-1,AB$14)*$L129+OFFSET('Dist Factors'!$B$15,$K129-1,AB$14)*$H129</f>
        <v>0</v>
      </c>
      <c r="AC129" s="9"/>
      <c r="AD129" s="22">
        <f ca="1">OFFSET('Dist Factors'!$B$15,$O129-1,AD$14)*$L129+OFFSET('Dist Factors'!$B$15,$K129-1,AD$14)*$H129</f>
        <v>0</v>
      </c>
      <c r="AE129" s="9"/>
      <c r="AF129" s="22">
        <f ca="1">OFFSET('Dist Factors'!$B$15,$O129-1,AF$14)*$L129+OFFSET('Dist Factors'!$B$15,$K129-1,AF$14)*$H129</f>
        <v>0</v>
      </c>
      <c r="AG129" s="9"/>
      <c r="AH129" s="22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35" t="str">
        <f t="shared" ca="1" si="158"/>
        <v/>
      </c>
      <c r="AM129" s="107"/>
      <c r="AO129" s="235">
        <f ca="1">Function!AL129</f>
        <v>0</v>
      </c>
      <c r="AP129" s="242">
        <f t="shared" ca="1" si="160"/>
        <v>0</v>
      </c>
      <c r="AR129" s="199">
        <f t="shared" ca="1" si="144"/>
        <v>0</v>
      </c>
      <c r="AT129" s="199">
        <f t="shared" ca="1" si="145"/>
        <v>0</v>
      </c>
      <c r="AV129" s="199">
        <f t="shared" ca="1" si="146"/>
        <v>0</v>
      </c>
      <c r="AX129" s="199">
        <f t="shared" ca="1" si="147"/>
        <v>0</v>
      </c>
      <c r="AZ129" s="199">
        <f t="shared" ca="1" si="148"/>
        <v>0</v>
      </c>
      <c r="BB129" s="199">
        <f t="shared" ca="1" si="149"/>
        <v>0</v>
      </c>
      <c r="BD129" s="199">
        <f t="shared" ca="1" si="150"/>
        <v>0</v>
      </c>
      <c r="BF129" s="199">
        <f t="shared" ca="1" si="151"/>
        <v>0</v>
      </c>
      <c r="BH129" s="199">
        <f t="shared" ca="1" si="152"/>
        <v>0</v>
      </c>
      <c r="BJ129" s="199">
        <f t="shared" ca="1" si="153"/>
        <v>0</v>
      </c>
      <c r="BL129" s="199">
        <f t="shared" ca="1" si="155"/>
        <v>0</v>
      </c>
    </row>
    <row r="130" spans="2:64" ht="13" x14ac:dyDescent="0.3">
      <c r="B130" s="28">
        <f t="shared" si="161"/>
        <v>77</v>
      </c>
      <c r="D130" s="63" t="s">
        <v>205</v>
      </c>
      <c r="F130" s="113">
        <f ca="1">Function!V130</f>
        <v>0</v>
      </c>
      <c r="H130" s="200"/>
      <c r="K130" s="91">
        <f>_xlfn.IFNA(MATCH(J130,'Dist Factors'!$B$15:$B$431,0),0)</f>
        <v>0</v>
      </c>
      <c r="L130" s="113">
        <f t="shared" ca="1" si="162"/>
        <v>0</v>
      </c>
      <c r="O130" s="186">
        <f>_xlfn.IFNA(MATCH(N130,'Dist Factors'!$B$15:$B$431,0),0)</f>
        <v>0</v>
      </c>
      <c r="P130" s="22">
        <f ca="1">OFFSET('Dist Factors'!$B$15,$O130-1,P$14)*$L130+OFFSET('Dist Factors'!$B$15,$K130-1,P$14)*$H130</f>
        <v>0</v>
      </c>
      <c r="Q130" s="24"/>
      <c r="R130" s="22">
        <f ca="1">OFFSET('Dist Factors'!$B$15,$O130-1,R$14)*$L130+OFFSET('Dist Factors'!$B$15,$K130-1,R$14)*$H130</f>
        <v>0</v>
      </c>
      <c r="S130" s="22"/>
      <c r="T130" s="22">
        <f ca="1">OFFSET('Dist Factors'!$B$15,$O130-1,T$14)*$L130+OFFSET('Dist Factors'!$B$15,$K130-1,T$14)*$H130</f>
        <v>0</v>
      </c>
      <c r="U130" s="22"/>
      <c r="V130" s="22">
        <f ca="1">OFFSET('Dist Factors'!$B$15,$O130-1,V$14)*$L130+OFFSET('Dist Factors'!$B$15,$K130-1,V$14)*$H130</f>
        <v>0</v>
      </c>
      <c r="W130" s="9"/>
      <c r="X130" s="22">
        <f ca="1">OFFSET('Dist Factors'!$B$15,$O130-1,X$14)*$L130+OFFSET('Dist Factors'!$B$15,$K130-1,X$14)*$H130</f>
        <v>0</v>
      </c>
      <c r="Y130" s="9"/>
      <c r="Z130" s="22">
        <f ca="1">OFFSET('Dist Factors'!$B$15,$O130-1,Z$14)*$L130+OFFSET('Dist Factors'!$B$15,$K130-1,Z$14)*$H130</f>
        <v>0</v>
      </c>
      <c r="AA130" s="22"/>
      <c r="AB130" s="22">
        <f ca="1">OFFSET('Dist Factors'!$B$15,$O130-1,AB$14)*$L130+OFFSET('Dist Factors'!$B$15,$K130-1,AB$14)*$H130</f>
        <v>0</v>
      </c>
      <c r="AC130" s="9"/>
      <c r="AD130" s="22">
        <f ca="1">OFFSET('Dist Factors'!$B$15,$O130-1,AD$14)*$L130+OFFSET('Dist Factors'!$B$15,$K130-1,AD$14)*$H130</f>
        <v>0</v>
      </c>
      <c r="AE130" s="9"/>
      <c r="AF130" s="22">
        <f ca="1">OFFSET('Dist Factors'!$B$15,$O130-1,AF$14)*$L130+OFFSET('Dist Factors'!$B$15,$K130-1,AF$14)*$H130</f>
        <v>0</v>
      </c>
      <c r="AG130" s="9"/>
      <c r="AH130" s="22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35" t="str">
        <f t="shared" ca="1" si="158"/>
        <v/>
      </c>
      <c r="AM130" s="107"/>
      <c r="AO130" s="235">
        <f ca="1">Function!AL130</f>
        <v>0</v>
      </c>
      <c r="AP130" s="242">
        <f t="shared" ca="1" si="160"/>
        <v>0</v>
      </c>
      <c r="AR130" s="199">
        <f t="shared" ca="1" si="144"/>
        <v>0</v>
      </c>
      <c r="AT130" s="199">
        <f t="shared" ca="1" si="145"/>
        <v>0</v>
      </c>
      <c r="AV130" s="199">
        <f t="shared" ca="1" si="146"/>
        <v>0</v>
      </c>
      <c r="AX130" s="199">
        <f t="shared" ca="1" si="147"/>
        <v>0</v>
      </c>
      <c r="AZ130" s="199">
        <f t="shared" ca="1" si="148"/>
        <v>0</v>
      </c>
      <c r="BB130" s="199">
        <f t="shared" ca="1" si="149"/>
        <v>0</v>
      </c>
      <c r="BD130" s="199">
        <f t="shared" ca="1" si="150"/>
        <v>0</v>
      </c>
      <c r="BF130" s="199">
        <f t="shared" ca="1" si="151"/>
        <v>0</v>
      </c>
      <c r="BH130" s="199">
        <f t="shared" ca="1" si="152"/>
        <v>0</v>
      </c>
      <c r="BJ130" s="199">
        <f t="shared" ca="1" si="153"/>
        <v>0</v>
      </c>
      <c r="BL130" s="199">
        <f t="shared" ca="1" si="155"/>
        <v>0</v>
      </c>
    </row>
    <row r="131" spans="2:64" ht="13" x14ac:dyDescent="0.3">
      <c r="B131" s="28">
        <f t="shared" si="161"/>
        <v>78</v>
      </c>
      <c r="D131" s="63" t="s">
        <v>226</v>
      </c>
      <c r="F131" s="113">
        <f ca="1">Function!V131</f>
        <v>0</v>
      </c>
      <c r="H131" s="200"/>
      <c r="K131" s="91">
        <f>_xlfn.IFNA(MATCH(J131,'Dist Factors'!$B$15:$B$431,0),0)</f>
        <v>0</v>
      </c>
      <c r="L131" s="113">
        <f t="shared" ca="1" si="162"/>
        <v>0</v>
      </c>
      <c r="O131" s="186">
        <f>_xlfn.IFNA(MATCH(N131,'Dist Factors'!$B$15:$B$431,0),0)</f>
        <v>0</v>
      </c>
      <c r="P131" s="22">
        <f ca="1">OFFSET('Dist Factors'!$B$15,$O131-1,P$14)*$L131+OFFSET('Dist Factors'!$B$15,$K131-1,P$14)*$H131</f>
        <v>0</v>
      </c>
      <c r="Q131" s="24"/>
      <c r="R131" s="22">
        <f ca="1">OFFSET('Dist Factors'!$B$15,$O131-1,R$14)*$L131+OFFSET('Dist Factors'!$B$15,$K131-1,R$14)*$H131</f>
        <v>0</v>
      </c>
      <c r="S131" s="22"/>
      <c r="T131" s="22">
        <f ca="1">OFFSET('Dist Factors'!$B$15,$O131-1,T$14)*$L131+OFFSET('Dist Factors'!$B$15,$K131-1,T$14)*$H131</f>
        <v>0</v>
      </c>
      <c r="U131" s="22"/>
      <c r="V131" s="22">
        <f ca="1">OFFSET('Dist Factors'!$B$15,$O131-1,V$14)*$L131+OFFSET('Dist Factors'!$B$15,$K131-1,V$14)*$H131</f>
        <v>0</v>
      </c>
      <c r="W131" s="9"/>
      <c r="X131" s="22">
        <f ca="1">OFFSET('Dist Factors'!$B$15,$O131-1,X$14)*$L131+OFFSET('Dist Factors'!$B$15,$K131-1,X$14)*$H131</f>
        <v>0</v>
      </c>
      <c r="Y131" s="9"/>
      <c r="Z131" s="22">
        <f ca="1">OFFSET('Dist Factors'!$B$15,$O131-1,Z$14)*$L131+OFFSET('Dist Factors'!$B$15,$K131-1,Z$14)*$H131</f>
        <v>0</v>
      </c>
      <c r="AA131" s="22"/>
      <c r="AB131" s="22">
        <f ca="1">OFFSET('Dist Factors'!$B$15,$O131-1,AB$14)*$L131+OFFSET('Dist Factors'!$B$15,$K131-1,AB$14)*$H131</f>
        <v>0</v>
      </c>
      <c r="AC131" s="9"/>
      <c r="AD131" s="22">
        <f ca="1">OFFSET('Dist Factors'!$B$15,$O131-1,AD$14)*$L131+OFFSET('Dist Factors'!$B$15,$K131-1,AD$14)*$H131</f>
        <v>0</v>
      </c>
      <c r="AE131" s="9"/>
      <c r="AF131" s="22">
        <f ca="1">OFFSET('Dist Factors'!$B$15,$O131-1,AF$14)*$L131+OFFSET('Dist Factors'!$B$15,$K131-1,AF$14)*$H131</f>
        <v>0</v>
      </c>
      <c r="AG131" s="9"/>
      <c r="AH131" s="22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35" t="str">
        <f t="shared" ca="1" si="158"/>
        <v/>
      </c>
      <c r="AM131" s="107"/>
      <c r="AO131" s="235">
        <f ca="1">Function!AL131</f>
        <v>0</v>
      </c>
      <c r="AP131" s="242">
        <f t="shared" ca="1" si="160"/>
        <v>0</v>
      </c>
      <c r="AR131" s="199">
        <f t="shared" ca="1" si="144"/>
        <v>0</v>
      </c>
      <c r="AT131" s="199">
        <f t="shared" ca="1" si="145"/>
        <v>0</v>
      </c>
      <c r="AV131" s="199">
        <f t="shared" ca="1" si="146"/>
        <v>0</v>
      </c>
      <c r="AX131" s="199">
        <f t="shared" ca="1" si="147"/>
        <v>0</v>
      </c>
      <c r="AZ131" s="199">
        <f t="shared" ca="1" si="148"/>
        <v>0</v>
      </c>
      <c r="BB131" s="199">
        <f t="shared" ca="1" si="149"/>
        <v>0</v>
      </c>
      <c r="BD131" s="199">
        <f t="shared" ca="1" si="150"/>
        <v>0</v>
      </c>
      <c r="BF131" s="199">
        <f t="shared" ca="1" si="151"/>
        <v>0</v>
      </c>
      <c r="BH131" s="199">
        <f t="shared" ca="1" si="152"/>
        <v>0</v>
      </c>
      <c r="BJ131" s="199">
        <f t="shared" ca="1" si="153"/>
        <v>0</v>
      </c>
      <c r="BL131" s="199">
        <f t="shared" ca="1" si="155"/>
        <v>0</v>
      </c>
    </row>
    <row r="132" spans="2:64" ht="13" x14ac:dyDescent="0.3">
      <c r="B132" s="28"/>
      <c r="D132" s="97" t="s">
        <v>9</v>
      </c>
      <c r="P132" s="97"/>
      <c r="AD132" s="9"/>
      <c r="AE132" s="9"/>
      <c r="AF132" s="9"/>
      <c r="AG132" s="9"/>
      <c r="AH132" s="9"/>
      <c r="AJ132" s="9">
        <f t="shared" si="156"/>
        <v>0</v>
      </c>
      <c r="AL132" s="35" t="str">
        <f t="shared" si="158"/>
        <v/>
      </c>
      <c r="AM132" s="107"/>
      <c r="AR132" s="199">
        <f t="shared" si="144"/>
        <v>0</v>
      </c>
      <c r="AT132" s="199">
        <f t="shared" si="145"/>
        <v>0</v>
      </c>
      <c r="AV132" s="199">
        <f t="shared" si="146"/>
        <v>0</v>
      </c>
      <c r="AX132" s="199">
        <f t="shared" si="147"/>
        <v>0</v>
      </c>
      <c r="AZ132" s="199">
        <f t="shared" si="148"/>
        <v>0</v>
      </c>
      <c r="BB132" s="199">
        <f t="shared" si="149"/>
        <v>0</v>
      </c>
      <c r="BD132" s="199">
        <f t="shared" si="150"/>
        <v>0</v>
      </c>
      <c r="BF132" s="199">
        <f t="shared" si="151"/>
        <v>0</v>
      </c>
      <c r="BH132" s="199">
        <f t="shared" si="152"/>
        <v>0</v>
      </c>
      <c r="BJ132" s="199">
        <f t="shared" si="153"/>
        <v>0</v>
      </c>
      <c r="BL132" s="199">
        <f t="shared" si="155"/>
        <v>0</v>
      </c>
    </row>
    <row r="133" spans="2:64" ht="13" x14ac:dyDescent="0.3">
      <c r="B133" s="28">
        <f>B131+1</f>
        <v>79</v>
      </c>
      <c r="D133" s="97" t="s">
        <v>239</v>
      </c>
      <c r="F133" s="113">
        <f ca="1">Function!V133</f>
        <v>0</v>
      </c>
      <c r="N133" s="72"/>
      <c r="P133" s="97"/>
      <c r="AD133" s="9"/>
      <c r="AE133" s="9"/>
      <c r="AF133" s="9"/>
      <c r="AG133" s="9"/>
      <c r="AH133" s="9"/>
      <c r="AJ133" s="9">
        <f t="shared" si="156"/>
        <v>0</v>
      </c>
      <c r="AL133" s="35" t="str">
        <f t="shared" ca="1" si="158"/>
        <v/>
      </c>
      <c r="AM133" s="107"/>
      <c r="AO133" s="235">
        <f ca="1">Function!AL133</f>
        <v>0</v>
      </c>
      <c r="AP133" s="242">
        <f ca="1">IFERROR(AO133/F133,0)</f>
        <v>0</v>
      </c>
      <c r="AR133" s="199">
        <f t="shared" ca="1" si="144"/>
        <v>0</v>
      </c>
      <c r="AT133" s="199">
        <f t="shared" ca="1" si="145"/>
        <v>0</v>
      </c>
      <c r="AV133" s="199">
        <f t="shared" ca="1" si="146"/>
        <v>0</v>
      </c>
      <c r="AX133" s="199">
        <f t="shared" ca="1" si="147"/>
        <v>0</v>
      </c>
      <c r="AZ133" s="199">
        <f t="shared" ca="1" si="148"/>
        <v>0</v>
      </c>
      <c r="BB133" s="199">
        <f t="shared" ca="1" si="149"/>
        <v>0</v>
      </c>
      <c r="BD133" s="199">
        <f t="shared" ca="1" si="150"/>
        <v>0</v>
      </c>
      <c r="BF133" s="199">
        <f t="shared" ca="1" si="151"/>
        <v>0</v>
      </c>
      <c r="BH133" s="199">
        <f t="shared" ca="1" si="152"/>
        <v>0</v>
      </c>
      <c r="BJ133" s="199">
        <f t="shared" ca="1" si="153"/>
        <v>0</v>
      </c>
      <c r="BL133" s="199">
        <f t="shared" ca="1" si="155"/>
        <v>0</v>
      </c>
    </row>
    <row r="134" spans="2:64" ht="13" x14ac:dyDescent="0.3">
      <c r="B134" s="28">
        <f>B133+1</f>
        <v>80</v>
      </c>
      <c r="D134" s="63" t="s">
        <v>227</v>
      </c>
      <c r="F134" s="113">
        <f ca="1">Function!V134</f>
        <v>0</v>
      </c>
      <c r="H134" s="200"/>
      <c r="K134" s="91">
        <f>_xlfn.IFNA(MATCH(J134,'Dist Factors'!$B$15:$B$431,0),0)</f>
        <v>0</v>
      </c>
      <c r="L134" s="113">
        <f t="shared" ref="L134:L136" ca="1" si="163">F134-H134</f>
        <v>0</v>
      </c>
      <c r="O134" s="186">
        <f>_xlfn.IFNA(MATCH(N134,'Dist Factors'!$B$15:$B$431,0),0)</f>
        <v>0</v>
      </c>
      <c r="P134" s="22">
        <f ca="1">OFFSET('Dist Factors'!$B$15,$O134-1,P$14)*$L134+OFFSET('Dist Factors'!$B$15,$K134-1,P$14)*$H134</f>
        <v>0</v>
      </c>
      <c r="Q134" s="24"/>
      <c r="R134" s="22">
        <f ca="1">OFFSET('Dist Factors'!$B$15,$O134-1,R$14)*$L134+OFFSET('Dist Factors'!$B$15,$K134-1,R$14)*$H134</f>
        <v>0</v>
      </c>
      <c r="S134" s="22"/>
      <c r="T134" s="22">
        <f ca="1">OFFSET('Dist Factors'!$B$15,$O134-1,T$14)*$L134+OFFSET('Dist Factors'!$B$15,$K134-1,T$14)*$H134</f>
        <v>0</v>
      </c>
      <c r="U134" s="22"/>
      <c r="V134" s="22">
        <f ca="1">OFFSET('Dist Factors'!$B$15,$O134-1,V$14)*$L134+OFFSET('Dist Factors'!$B$15,$K134-1,V$14)*$H134</f>
        <v>0</v>
      </c>
      <c r="W134" s="9"/>
      <c r="X134" s="22">
        <f ca="1">OFFSET('Dist Factors'!$B$15,$O134-1,X$14)*$L134+OFFSET('Dist Factors'!$B$15,$K134-1,X$14)*$H134</f>
        <v>0</v>
      </c>
      <c r="Y134" s="9"/>
      <c r="Z134" s="22">
        <f ca="1">OFFSET('Dist Factors'!$B$15,$O134-1,Z$14)*$L134+OFFSET('Dist Factors'!$B$15,$K134-1,Z$14)*$H134</f>
        <v>0</v>
      </c>
      <c r="AA134" s="22"/>
      <c r="AB134" s="22">
        <f ca="1">OFFSET('Dist Factors'!$B$15,$O134-1,AB$14)*$L134+OFFSET('Dist Factors'!$B$15,$K134-1,AB$14)*$H134</f>
        <v>0</v>
      </c>
      <c r="AC134" s="9"/>
      <c r="AD134" s="22">
        <f ca="1">OFFSET('Dist Factors'!$B$15,$O134-1,AD$14)*$L134+OFFSET('Dist Factors'!$B$15,$K134-1,AD$14)*$H134</f>
        <v>0</v>
      </c>
      <c r="AE134" s="9"/>
      <c r="AF134" s="22">
        <f ca="1">OFFSET('Dist Factors'!$B$15,$O134-1,AF$14)*$L134+OFFSET('Dist Factors'!$B$15,$K134-1,AF$14)*$H134</f>
        <v>0</v>
      </c>
      <c r="AG134" s="9"/>
      <c r="AH134" s="22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35" t="str">
        <f t="shared" ca="1" si="158"/>
        <v/>
      </c>
      <c r="AM134" s="107"/>
      <c r="AO134" s="235">
        <f ca="1">Function!AL134</f>
        <v>0</v>
      </c>
      <c r="AP134" s="242">
        <f ca="1">IFERROR(AO134/F134,0)</f>
        <v>0</v>
      </c>
      <c r="AR134" s="199">
        <f t="shared" ca="1" si="144"/>
        <v>0</v>
      </c>
      <c r="AT134" s="199">
        <f t="shared" ca="1" si="145"/>
        <v>0</v>
      </c>
      <c r="AV134" s="199">
        <f t="shared" ca="1" si="146"/>
        <v>0</v>
      </c>
      <c r="AX134" s="199">
        <f t="shared" ca="1" si="147"/>
        <v>0</v>
      </c>
      <c r="AZ134" s="199">
        <f t="shared" ca="1" si="148"/>
        <v>0</v>
      </c>
      <c r="BB134" s="199">
        <f t="shared" ca="1" si="149"/>
        <v>0</v>
      </c>
      <c r="BD134" s="199">
        <f t="shared" ca="1" si="150"/>
        <v>0</v>
      </c>
      <c r="BF134" s="199">
        <f t="shared" ca="1" si="151"/>
        <v>0</v>
      </c>
      <c r="BH134" s="199">
        <f t="shared" ca="1" si="152"/>
        <v>0</v>
      </c>
      <c r="BJ134" s="199">
        <f t="shared" ca="1" si="153"/>
        <v>0</v>
      </c>
      <c r="BL134" s="199">
        <f t="shared" ca="1" si="155"/>
        <v>0</v>
      </c>
    </row>
    <row r="135" spans="2:64" ht="13" x14ac:dyDescent="0.3">
      <c r="B135" s="28">
        <f t="shared" ref="B135:B136" si="164">B134+1</f>
        <v>81</v>
      </c>
      <c r="D135" s="63" t="s">
        <v>224</v>
      </c>
      <c r="F135" s="113">
        <f ca="1">Function!V135</f>
        <v>0</v>
      </c>
      <c r="H135" s="200"/>
      <c r="K135" s="91">
        <f>_xlfn.IFNA(MATCH(J135,'Dist Factors'!$B$15:$B$431,0),0)</f>
        <v>0</v>
      </c>
      <c r="L135" s="113">
        <f t="shared" ca="1" si="163"/>
        <v>0</v>
      </c>
      <c r="O135" s="186">
        <f>_xlfn.IFNA(MATCH(N135,'Dist Factors'!$B$15:$B$431,0),0)</f>
        <v>0</v>
      </c>
      <c r="P135" s="22">
        <f ca="1">OFFSET('Dist Factors'!$B$15,$O135-1,P$14)*$L135+OFFSET('Dist Factors'!$B$15,$K135-1,P$14)*$H135</f>
        <v>0</v>
      </c>
      <c r="Q135" s="24"/>
      <c r="R135" s="22">
        <f ca="1">OFFSET('Dist Factors'!$B$15,$O135-1,R$14)*$L135+OFFSET('Dist Factors'!$B$15,$K135-1,R$14)*$H135</f>
        <v>0</v>
      </c>
      <c r="S135" s="22"/>
      <c r="T135" s="22">
        <f ca="1">OFFSET('Dist Factors'!$B$15,$O135-1,T$14)*$L135+OFFSET('Dist Factors'!$B$15,$K135-1,T$14)*$H135</f>
        <v>0</v>
      </c>
      <c r="U135" s="22"/>
      <c r="V135" s="22">
        <f ca="1">OFFSET('Dist Factors'!$B$15,$O135-1,V$14)*$L135+OFFSET('Dist Factors'!$B$15,$K135-1,V$14)*$H135</f>
        <v>0</v>
      </c>
      <c r="W135" s="9"/>
      <c r="X135" s="22">
        <f ca="1">OFFSET('Dist Factors'!$B$15,$O135-1,X$14)*$L135+OFFSET('Dist Factors'!$B$15,$K135-1,X$14)*$H135</f>
        <v>0</v>
      </c>
      <c r="Y135" s="9"/>
      <c r="Z135" s="22">
        <f ca="1">OFFSET('Dist Factors'!$B$15,$O135-1,Z$14)*$L135+OFFSET('Dist Factors'!$B$15,$K135-1,Z$14)*$H135</f>
        <v>0</v>
      </c>
      <c r="AA135" s="22"/>
      <c r="AB135" s="22">
        <f ca="1">OFFSET('Dist Factors'!$B$15,$O135-1,AB$14)*$L135+OFFSET('Dist Factors'!$B$15,$K135-1,AB$14)*$H135</f>
        <v>0</v>
      </c>
      <c r="AC135" s="9"/>
      <c r="AD135" s="22">
        <f ca="1">OFFSET('Dist Factors'!$B$15,$O135-1,AD$14)*$L135+OFFSET('Dist Factors'!$B$15,$K135-1,AD$14)*$H135</f>
        <v>0</v>
      </c>
      <c r="AE135" s="9"/>
      <c r="AF135" s="22">
        <f ca="1">OFFSET('Dist Factors'!$B$15,$O135-1,AF$14)*$L135+OFFSET('Dist Factors'!$B$15,$K135-1,AF$14)*$H135</f>
        <v>0</v>
      </c>
      <c r="AG135" s="9"/>
      <c r="AH135" s="22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35" t="str">
        <f t="shared" ca="1" si="158"/>
        <v/>
      </c>
      <c r="AM135" s="107"/>
      <c r="AO135" s="235">
        <f ca="1">Function!AL135</f>
        <v>0</v>
      </c>
      <c r="AP135" s="242">
        <f ca="1">IFERROR(AO135/F135,0)</f>
        <v>0</v>
      </c>
      <c r="AR135" s="199">
        <f t="shared" ca="1" si="144"/>
        <v>0</v>
      </c>
      <c r="AT135" s="199">
        <f t="shared" ca="1" si="145"/>
        <v>0</v>
      </c>
      <c r="AV135" s="199">
        <f t="shared" ca="1" si="146"/>
        <v>0</v>
      </c>
      <c r="AX135" s="199">
        <f t="shared" ca="1" si="147"/>
        <v>0</v>
      </c>
      <c r="AZ135" s="199">
        <f t="shared" ca="1" si="148"/>
        <v>0</v>
      </c>
      <c r="BB135" s="199">
        <f t="shared" ca="1" si="149"/>
        <v>0</v>
      </c>
      <c r="BD135" s="199">
        <f t="shared" ca="1" si="150"/>
        <v>0</v>
      </c>
      <c r="BF135" s="199">
        <f t="shared" ca="1" si="151"/>
        <v>0</v>
      </c>
      <c r="BH135" s="199">
        <f t="shared" ca="1" si="152"/>
        <v>0</v>
      </c>
      <c r="BJ135" s="199">
        <f t="shared" ca="1" si="153"/>
        <v>0</v>
      </c>
      <c r="BL135" s="199">
        <f t="shared" ca="1" si="155"/>
        <v>0</v>
      </c>
    </row>
    <row r="136" spans="2:64" ht="13" x14ac:dyDescent="0.3">
      <c r="B136" s="28">
        <f t="shared" si="164"/>
        <v>82</v>
      </c>
      <c r="D136" s="63" t="s">
        <v>21</v>
      </c>
      <c r="F136" s="113">
        <f ca="1">Function!V136</f>
        <v>0</v>
      </c>
      <c r="H136" s="200"/>
      <c r="K136" s="91">
        <f>_xlfn.IFNA(MATCH(J136,'Dist Factors'!$B$15:$B$431,0),0)</f>
        <v>0</v>
      </c>
      <c r="L136" s="113">
        <f t="shared" ca="1" si="163"/>
        <v>0</v>
      </c>
      <c r="O136" s="186">
        <f>_xlfn.IFNA(MATCH(N136,'Dist Factors'!$B$15:$B$431,0),0)</f>
        <v>0</v>
      </c>
      <c r="P136" s="22">
        <f ca="1">OFFSET('Dist Factors'!$B$15,$O136-1,P$14)*$L136+OFFSET('Dist Factors'!$B$15,$K136-1,P$14)*$H136</f>
        <v>0</v>
      </c>
      <c r="Q136" s="24"/>
      <c r="R136" s="22">
        <f ca="1">OFFSET('Dist Factors'!$B$15,$O136-1,R$14)*$L136+OFFSET('Dist Factors'!$B$15,$K136-1,R$14)*$H136</f>
        <v>0</v>
      </c>
      <c r="S136" s="22"/>
      <c r="T136" s="22">
        <f ca="1">OFFSET('Dist Factors'!$B$15,$O136-1,T$14)*$L136+OFFSET('Dist Factors'!$B$15,$K136-1,T$14)*$H136</f>
        <v>0</v>
      </c>
      <c r="U136" s="22"/>
      <c r="V136" s="22">
        <f ca="1">OFFSET('Dist Factors'!$B$15,$O136-1,V$14)*$L136+OFFSET('Dist Factors'!$B$15,$K136-1,V$14)*$H136</f>
        <v>0</v>
      </c>
      <c r="W136" s="9"/>
      <c r="X136" s="22">
        <f ca="1">OFFSET('Dist Factors'!$B$15,$O136-1,X$14)*$L136+OFFSET('Dist Factors'!$B$15,$K136-1,X$14)*$H136</f>
        <v>0</v>
      </c>
      <c r="Y136" s="9"/>
      <c r="Z136" s="22">
        <f ca="1">OFFSET('Dist Factors'!$B$15,$O136-1,Z$14)*$L136+OFFSET('Dist Factors'!$B$15,$K136-1,Z$14)*$H136</f>
        <v>0</v>
      </c>
      <c r="AA136" s="22"/>
      <c r="AB136" s="22">
        <f ca="1">OFFSET('Dist Factors'!$B$15,$O136-1,AB$14)*$L136+OFFSET('Dist Factors'!$B$15,$K136-1,AB$14)*$H136</f>
        <v>0</v>
      </c>
      <c r="AC136" s="9"/>
      <c r="AD136" s="22">
        <f ca="1">OFFSET('Dist Factors'!$B$15,$O136-1,AD$14)*$L136+OFFSET('Dist Factors'!$B$15,$K136-1,AD$14)*$H136</f>
        <v>0</v>
      </c>
      <c r="AE136" s="9"/>
      <c r="AF136" s="22">
        <f ca="1">OFFSET('Dist Factors'!$B$15,$O136-1,AF$14)*$L136+OFFSET('Dist Factors'!$B$15,$K136-1,AF$14)*$H136</f>
        <v>0</v>
      </c>
      <c r="AG136" s="9"/>
      <c r="AH136" s="22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35" t="str">
        <f t="shared" ca="1" si="158"/>
        <v/>
      </c>
      <c r="AM136" s="107"/>
      <c r="AO136" s="235">
        <f ca="1">Function!AL136</f>
        <v>0</v>
      </c>
      <c r="AP136" s="242">
        <f ca="1">IFERROR(AO136/F136,0)</f>
        <v>0</v>
      </c>
      <c r="AR136" s="199">
        <f t="shared" ca="1" si="144"/>
        <v>0</v>
      </c>
      <c r="AT136" s="199">
        <f t="shared" ca="1" si="145"/>
        <v>0</v>
      </c>
      <c r="AV136" s="199">
        <f t="shared" ca="1" si="146"/>
        <v>0</v>
      </c>
      <c r="AX136" s="199">
        <f t="shared" ca="1" si="147"/>
        <v>0</v>
      </c>
      <c r="AZ136" s="199">
        <f t="shared" ca="1" si="148"/>
        <v>0</v>
      </c>
      <c r="BB136" s="199">
        <f t="shared" ca="1" si="149"/>
        <v>0</v>
      </c>
      <c r="BD136" s="199">
        <f t="shared" ca="1" si="150"/>
        <v>0</v>
      </c>
      <c r="BF136" s="199">
        <f t="shared" ca="1" si="151"/>
        <v>0</v>
      </c>
      <c r="BH136" s="199">
        <f t="shared" ca="1" si="152"/>
        <v>0</v>
      </c>
      <c r="BJ136" s="199">
        <f t="shared" ca="1" si="153"/>
        <v>0</v>
      </c>
      <c r="BL136" s="199">
        <f t="shared" ca="1" si="155"/>
        <v>0</v>
      </c>
    </row>
    <row r="137" spans="2:64" ht="13" x14ac:dyDescent="0.3">
      <c r="B137" s="28"/>
      <c r="D137" s="97" t="s">
        <v>10</v>
      </c>
      <c r="AD137" s="9"/>
      <c r="AE137" s="9"/>
      <c r="AF137" s="9"/>
      <c r="AG137" s="9"/>
      <c r="AH137" s="9"/>
      <c r="AJ137" s="9">
        <f t="shared" si="156"/>
        <v>0</v>
      </c>
      <c r="AL137" s="35" t="str">
        <f t="shared" si="158"/>
        <v/>
      </c>
      <c r="AM137" s="107"/>
      <c r="AP137" s="242"/>
      <c r="AR137" s="199">
        <f t="shared" si="144"/>
        <v>0</v>
      </c>
      <c r="AT137" s="199">
        <f t="shared" si="145"/>
        <v>0</v>
      </c>
      <c r="AV137" s="199">
        <f t="shared" si="146"/>
        <v>0</v>
      </c>
      <c r="AX137" s="199">
        <f t="shared" si="147"/>
        <v>0</v>
      </c>
      <c r="AZ137" s="199">
        <f t="shared" si="148"/>
        <v>0</v>
      </c>
      <c r="BB137" s="199">
        <f t="shared" si="149"/>
        <v>0</v>
      </c>
      <c r="BD137" s="199">
        <f t="shared" si="150"/>
        <v>0</v>
      </c>
      <c r="BF137" s="199">
        <f t="shared" si="151"/>
        <v>0</v>
      </c>
      <c r="BH137" s="199">
        <f t="shared" si="152"/>
        <v>0</v>
      </c>
      <c r="BJ137" s="199">
        <f t="shared" si="153"/>
        <v>0</v>
      </c>
      <c r="BL137" s="199">
        <f t="shared" si="155"/>
        <v>0</v>
      </c>
    </row>
    <row r="138" spans="2:64" ht="13" x14ac:dyDescent="0.3">
      <c r="B138" s="28">
        <f>B136+1</f>
        <v>83</v>
      </c>
      <c r="D138" s="97" t="s">
        <v>243</v>
      </c>
      <c r="F138" s="113">
        <f ca="1">Function!V138</f>
        <v>10616.772187581613</v>
      </c>
      <c r="K138" s="91">
        <f>_xlfn.IFNA(MATCH(J138,'Dist Factors'!$B$15:$B$431,0),0)</f>
        <v>0</v>
      </c>
      <c r="L138" s="113">
        <f t="shared" ref="L138:L143" ca="1" si="165">F138-H138</f>
        <v>10616.772187581613</v>
      </c>
      <c r="N138" s="28" t="s">
        <v>400</v>
      </c>
      <c r="O138" s="186">
        <f>_xlfn.IFNA(MATCH(N138,'Dist Factors'!$B$15:$B$431,0),0)</f>
        <v>50</v>
      </c>
      <c r="P138" s="22">
        <f ca="1">OFFSET('Dist Factors'!$B$15,$O138-1,P$14)*$L138+OFFSET('Dist Factors'!$B$15,$K138-1,P$14)*$H138</f>
        <v>1193.9719638688459</v>
      </c>
      <c r="Q138" s="24"/>
      <c r="R138" s="22">
        <f ca="1">OFFSET('Dist Factors'!$B$15,$O138-1,R$14)*$L138+OFFSET('Dist Factors'!$B$15,$K138-1,R$14)*$H138</f>
        <v>228.36452277992373</v>
      </c>
      <c r="S138" s="22"/>
      <c r="T138" s="22">
        <f ca="1">OFFSET('Dist Factors'!$B$15,$O138-1,T$14)*$L138+OFFSET('Dist Factors'!$B$15,$K138-1,T$14)*$H138</f>
        <v>2327.294180470145</v>
      </c>
      <c r="U138" s="22"/>
      <c r="V138" s="22">
        <f ca="1">OFFSET('Dist Factors'!$B$15,$O138-1,V$14)*$L138+OFFSET('Dist Factors'!$B$15,$K138-1,V$14)*$H138</f>
        <v>0</v>
      </c>
      <c r="W138" s="9"/>
      <c r="X138" s="22">
        <f ca="1">OFFSET('Dist Factors'!$B$15,$O138-1,X$14)*$L138+OFFSET('Dist Factors'!$B$15,$K138-1,X$14)*$H138</f>
        <v>1470.6534062454296</v>
      </c>
      <c r="Y138" s="9"/>
      <c r="Z138" s="22">
        <f ca="1">OFFSET('Dist Factors'!$B$15,$O138-1,Z$14)*$L138+OFFSET('Dist Factors'!$B$15,$K138-1,Z$14)*$H138</f>
        <v>2719.4177874114139</v>
      </c>
      <c r="AA138" s="22"/>
      <c r="AB138" s="22">
        <f ca="1">OFFSET('Dist Factors'!$B$15,$O138-1,AB$14)*$L138+OFFSET('Dist Factors'!$B$15,$K138-1,AB$14)*$H138</f>
        <v>2299.9543136867696</v>
      </c>
      <c r="AC138" s="9"/>
      <c r="AD138" s="22">
        <f ca="1">OFFSET('Dist Factors'!$B$15,$O138-1,AD$14)*$L138+OFFSET('Dist Factors'!$B$15,$K138-1,AD$14)*$H138</f>
        <v>377.11601311908538</v>
      </c>
      <c r="AE138" s="9"/>
      <c r="AF138" s="22">
        <f ca="1">OFFSET('Dist Factors'!$B$15,$O138-1,AF$14)*$L138+OFFSET('Dist Factors'!$B$15,$K138-1,AF$14)*$H138</f>
        <v>0</v>
      </c>
      <c r="AG138" s="9"/>
      <c r="AH138" s="22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35" t="str">
        <f t="shared" ca="1" si="158"/>
        <v/>
      </c>
      <c r="AM138" s="107"/>
      <c r="AO138" s="235">
        <f ca="1">Function!AL138</f>
        <v>7329.8580613904187</v>
      </c>
      <c r="AP138" s="242">
        <f t="shared" ref="AP138:AP143" ca="1" si="166">IFERROR(AO138/F138,0)</f>
        <v>0.69040363039569763</v>
      </c>
      <c r="AR138" s="199">
        <f t="shared" ca="1" si="144"/>
        <v>824.32257844573201</v>
      </c>
      <c r="AT138" s="199">
        <f t="shared" ca="1" si="145"/>
        <v>157.66369558084034</v>
      </c>
      <c r="AV138" s="199">
        <f t="shared" ca="1" si="146"/>
        <v>1606.7723511953679</v>
      </c>
      <c r="AX138" s="199">
        <f t="shared" ca="1" si="147"/>
        <v>0</v>
      </c>
      <c r="AZ138" s="199">
        <f t="shared" ca="1" si="148"/>
        <v>1015.3444507256434</v>
      </c>
      <c r="BB138" s="199">
        <f t="shared" ca="1" si="149"/>
        <v>1877.4959129914757</v>
      </c>
      <c r="BD138" s="199">
        <f t="shared" ca="1" si="150"/>
        <v>1587.8968079135909</v>
      </c>
      <c r="BF138" s="199">
        <f t="shared" ca="1" si="151"/>
        <v>260.36226453776806</v>
      </c>
      <c r="BH138" s="199">
        <f t="shared" ca="1" si="152"/>
        <v>0</v>
      </c>
      <c r="BJ138" s="199">
        <f t="shared" ca="1" si="153"/>
        <v>0</v>
      </c>
      <c r="BL138" s="199">
        <f t="shared" ca="1" si="155"/>
        <v>7329.8580613904187</v>
      </c>
    </row>
    <row r="139" spans="2:64" ht="13" x14ac:dyDescent="0.3">
      <c r="B139" s="28">
        <f>B138+1</f>
        <v>84</v>
      </c>
      <c r="D139" s="63" t="s">
        <v>229</v>
      </c>
      <c r="F139" s="113">
        <f ca="1">Function!V139</f>
        <v>22130.98895566666</v>
      </c>
      <c r="H139" s="200">
        <v>2479.1055581980895</v>
      </c>
      <c r="J139" s="94" t="s">
        <v>273</v>
      </c>
      <c r="K139" s="91">
        <f>_xlfn.IFNA(MATCH(J139,'Dist Factors'!$B$15:$B$431,0),0)</f>
        <v>14</v>
      </c>
      <c r="L139" s="113">
        <f t="shared" ca="1" si="165"/>
        <v>19651.883397468569</v>
      </c>
      <c r="N139" s="28" t="s">
        <v>272</v>
      </c>
      <c r="O139" s="186">
        <f>_xlfn.IFNA(MATCH(N139,'Dist Factors'!$B$15:$B$431,0),0)</f>
        <v>5</v>
      </c>
      <c r="P139" s="22">
        <f ca="1">OFFSET('Dist Factors'!$B$15,$O139-1,P$14)*$L139+OFFSET('Dist Factors'!$B$15,$K139-1,P$14)*$H139</f>
        <v>0</v>
      </c>
      <c r="Q139" s="24"/>
      <c r="R139" s="22">
        <f ca="1">OFFSET('Dist Factors'!$B$15,$O139-1,R$14)*$L139+OFFSET('Dist Factors'!$B$15,$K139-1,R$14)*$H139</f>
        <v>0</v>
      </c>
      <c r="S139" s="22"/>
      <c r="T139" s="22">
        <f ca="1">OFFSET('Dist Factors'!$B$15,$O139-1,T$14)*$L139+OFFSET('Dist Factors'!$B$15,$K139-1,T$14)*$H139</f>
        <v>0</v>
      </c>
      <c r="U139" s="22"/>
      <c r="V139" s="22">
        <f ca="1">OFFSET('Dist Factors'!$B$15,$O139-1,V$14)*$L139+OFFSET('Dist Factors'!$B$15,$K139-1,V$14)*$H139</f>
        <v>0</v>
      </c>
      <c r="W139" s="9"/>
      <c r="X139" s="22">
        <f ca="1">OFFSET('Dist Factors'!$B$15,$O139-1,X$14)*$L139+OFFSET('Dist Factors'!$B$15,$K139-1,X$14)*$H139</f>
        <v>0</v>
      </c>
      <c r="Y139" s="9"/>
      <c r="Z139" s="22">
        <f ca="1">OFFSET('Dist Factors'!$B$15,$O139-1,Z$14)*$L139+OFFSET('Dist Factors'!$B$15,$K139-1,Z$14)*$H139</f>
        <v>0</v>
      </c>
      <c r="AA139" s="22"/>
      <c r="AB139" s="22">
        <f ca="1">OFFSET('Dist Factors'!$B$15,$O139-1,AB$14)*$L139+OFFSET('Dist Factors'!$B$15,$K139-1,AB$14)*$H139</f>
        <v>19651.883397468569</v>
      </c>
      <c r="AC139" s="9"/>
      <c r="AD139" s="22">
        <f ca="1">OFFSET('Dist Factors'!$B$15,$O139-1,AD$14)*$L139+OFFSET('Dist Factors'!$B$15,$K139-1,AD$14)*$H139</f>
        <v>2479.1055581980895</v>
      </c>
      <c r="AE139" s="9"/>
      <c r="AF139" s="22">
        <f ca="1">OFFSET('Dist Factors'!$B$15,$O139-1,AF$14)*$L139+OFFSET('Dist Factors'!$B$15,$K139-1,AF$14)*$H139</f>
        <v>0</v>
      </c>
      <c r="AG139" s="9"/>
      <c r="AH139" s="22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35" t="str">
        <f t="shared" ca="1" si="158"/>
        <v/>
      </c>
      <c r="AM139" s="107"/>
      <c r="AO139" s="235">
        <f ca="1">Function!AL139</f>
        <v>5485.71519527688</v>
      </c>
      <c r="AP139" s="242">
        <f t="shared" ca="1" si="166"/>
        <v>0.24787483317017595</v>
      </c>
      <c r="AR139" s="199">
        <f t="shared" ca="1" si="144"/>
        <v>0</v>
      </c>
      <c r="AT139" s="199">
        <f t="shared" ca="1" si="145"/>
        <v>0</v>
      </c>
      <c r="AV139" s="199">
        <f t="shared" ca="1" si="146"/>
        <v>0</v>
      </c>
      <c r="AX139" s="199">
        <f t="shared" ca="1" si="147"/>
        <v>0</v>
      </c>
      <c r="AZ139" s="199">
        <f t="shared" ca="1" si="148"/>
        <v>0</v>
      </c>
      <c r="BB139" s="199">
        <f t="shared" ca="1" si="149"/>
        <v>0</v>
      </c>
      <c r="BD139" s="199">
        <f t="shared" ca="1" si="150"/>
        <v>4871.2073186272719</v>
      </c>
      <c r="BF139" s="199">
        <f t="shared" ca="1" si="151"/>
        <v>614.5078766496074</v>
      </c>
      <c r="BH139" s="199">
        <f t="shared" ca="1" si="152"/>
        <v>0</v>
      </c>
      <c r="BJ139" s="199">
        <f t="shared" ca="1" si="153"/>
        <v>0</v>
      </c>
      <c r="BL139" s="199">
        <f t="shared" ca="1" si="155"/>
        <v>5485.7151952768791</v>
      </c>
    </row>
    <row r="140" spans="2:64" ht="13" x14ac:dyDescent="0.3">
      <c r="B140" s="28">
        <f t="shared" ref="B140:B143" si="167">B139+1</f>
        <v>85</v>
      </c>
      <c r="D140" s="63" t="s">
        <v>203</v>
      </c>
      <c r="F140" s="113">
        <f ca="1">Function!V140</f>
        <v>0</v>
      </c>
      <c r="H140" s="200"/>
      <c r="K140" s="91">
        <f>_xlfn.IFNA(MATCH(J140,'Dist Factors'!$B$15:$B$431,0),0)</f>
        <v>0</v>
      </c>
      <c r="L140" s="113">
        <f t="shared" ca="1" si="165"/>
        <v>0</v>
      </c>
      <c r="N140" s="28" t="s">
        <v>272</v>
      </c>
      <c r="O140" s="186">
        <f>_xlfn.IFNA(MATCH(N140,'Dist Factors'!$B$15:$B$431,0),0)</f>
        <v>5</v>
      </c>
      <c r="P140" s="22">
        <f ca="1">OFFSET('Dist Factors'!$B$15,$O140-1,P$14)*$L140+OFFSET('Dist Factors'!$B$15,$K140-1,P$14)*$H140</f>
        <v>0</v>
      </c>
      <c r="Q140" s="24"/>
      <c r="R140" s="22">
        <f ca="1">OFFSET('Dist Factors'!$B$15,$O140-1,R$14)*$L140+OFFSET('Dist Factors'!$B$15,$K140-1,R$14)*$H140</f>
        <v>0</v>
      </c>
      <c r="S140" s="22"/>
      <c r="T140" s="22">
        <f ca="1">OFFSET('Dist Factors'!$B$15,$O140-1,T$14)*$L140+OFFSET('Dist Factors'!$B$15,$K140-1,T$14)*$H140</f>
        <v>0</v>
      </c>
      <c r="U140" s="22"/>
      <c r="V140" s="22">
        <f ca="1">OFFSET('Dist Factors'!$B$15,$O140-1,V$14)*$L140+OFFSET('Dist Factors'!$B$15,$K140-1,V$14)*$H140</f>
        <v>0</v>
      </c>
      <c r="W140" s="9"/>
      <c r="X140" s="22">
        <f ca="1">OFFSET('Dist Factors'!$B$15,$O140-1,X$14)*$L140+OFFSET('Dist Factors'!$B$15,$K140-1,X$14)*$H140</f>
        <v>0</v>
      </c>
      <c r="Y140" s="9"/>
      <c r="Z140" s="22">
        <f ca="1">OFFSET('Dist Factors'!$B$15,$O140-1,Z$14)*$L140+OFFSET('Dist Factors'!$B$15,$K140-1,Z$14)*$H140</f>
        <v>0</v>
      </c>
      <c r="AA140" s="22"/>
      <c r="AB140" s="22">
        <f ca="1">OFFSET('Dist Factors'!$B$15,$O140-1,AB$14)*$L140+OFFSET('Dist Factors'!$B$15,$K140-1,AB$14)*$H140</f>
        <v>0</v>
      </c>
      <c r="AC140" s="9"/>
      <c r="AD140" s="22">
        <f ca="1">OFFSET('Dist Factors'!$B$15,$O140-1,AD$14)*$L140+OFFSET('Dist Factors'!$B$15,$K140-1,AD$14)*$H140</f>
        <v>0</v>
      </c>
      <c r="AE140" s="9"/>
      <c r="AF140" s="22">
        <f ca="1">OFFSET('Dist Factors'!$B$15,$O140-1,AF$14)*$L140+OFFSET('Dist Factors'!$B$15,$K140-1,AF$14)*$H140</f>
        <v>0</v>
      </c>
      <c r="AG140" s="9"/>
      <c r="AH140" s="22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35" t="str">
        <f t="shared" ca="1" si="158"/>
        <v/>
      </c>
      <c r="AM140" s="107"/>
      <c r="AO140" s="235">
        <f ca="1">Function!AL140</f>
        <v>0</v>
      </c>
      <c r="AP140" s="242">
        <f t="shared" ca="1" si="166"/>
        <v>0</v>
      </c>
      <c r="AR140" s="199">
        <f t="shared" ca="1" si="144"/>
        <v>0</v>
      </c>
      <c r="AT140" s="199">
        <f t="shared" ca="1" si="145"/>
        <v>0</v>
      </c>
      <c r="AV140" s="199">
        <f t="shared" ca="1" si="146"/>
        <v>0</v>
      </c>
      <c r="AX140" s="199">
        <f t="shared" ca="1" si="147"/>
        <v>0</v>
      </c>
      <c r="AZ140" s="199">
        <f t="shared" ca="1" si="148"/>
        <v>0</v>
      </c>
      <c r="BB140" s="199">
        <f t="shared" ca="1" si="149"/>
        <v>0</v>
      </c>
      <c r="BD140" s="199">
        <f t="shared" ca="1" si="150"/>
        <v>0</v>
      </c>
      <c r="BF140" s="199">
        <f t="shared" ca="1" si="151"/>
        <v>0</v>
      </c>
      <c r="BH140" s="199">
        <f t="shared" ca="1" si="152"/>
        <v>0</v>
      </c>
      <c r="BJ140" s="199">
        <f t="shared" ca="1" si="153"/>
        <v>0</v>
      </c>
      <c r="BL140" s="199">
        <f t="shared" ca="1" si="155"/>
        <v>0</v>
      </c>
    </row>
    <row r="141" spans="2:64" ht="13" x14ac:dyDescent="0.3">
      <c r="B141" s="28">
        <f t="shared" si="167"/>
        <v>86</v>
      </c>
      <c r="D141" s="63" t="s">
        <v>230</v>
      </c>
      <c r="F141" s="113">
        <f ca="1">Function!V141</f>
        <v>59329.65715247715</v>
      </c>
      <c r="H141" s="200"/>
      <c r="K141" s="91">
        <f>_xlfn.IFNA(MATCH(J141,'Dist Factors'!$B$15:$B$431,0),0)</f>
        <v>0</v>
      </c>
      <c r="L141" s="113">
        <f t="shared" ca="1" si="165"/>
        <v>59329.65715247715</v>
      </c>
      <c r="N141" s="28" t="s">
        <v>261</v>
      </c>
      <c r="O141" s="186">
        <f>_xlfn.IFNA(MATCH(N141,'Dist Factors'!$B$15:$B$431,0),0)</f>
        <v>56</v>
      </c>
      <c r="P141" s="22">
        <f ca="1">OFFSET('Dist Factors'!$B$15,$O141-1,P$14)*$L141+OFFSET('Dist Factors'!$B$15,$K141-1,P$14)*$H141</f>
        <v>7559.1781559421015</v>
      </c>
      <c r="Q141" s="24"/>
      <c r="R141" s="22">
        <f ca="1">OFFSET('Dist Factors'!$B$15,$O141-1,R$14)*$L141+OFFSET('Dist Factors'!$B$15,$K141-1,R$14)*$H141</f>
        <v>1445.8028868588785</v>
      </c>
      <c r="S141" s="22"/>
      <c r="T141" s="22">
        <f ca="1">OFFSET('Dist Factors'!$B$15,$O141-1,T$14)*$L141+OFFSET('Dist Factors'!$B$15,$K141-1,T$14)*$H141</f>
        <v>14734.375566454733</v>
      </c>
      <c r="U141" s="22"/>
      <c r="V141" s="22">
        <f ca="1">OFFSET('Dist Factors'!$B$15,$O141-1,V$14)*$L141+OFFSET('Dist Factors'!$B$15,$K141-1,V$14)*$H141</f>
        <v>0</v>
      </c>
      <c r="W141" s="9"/>
      <c r="X141" s="22">
        <f ca="1">OFFSET('Dist Factors'!$B$15,$O141-1,X$14)*$L141+OFFSET('Dist Factors'!$B$15,$K141-1,X$14)*$H141</f>
        <v>12491.672409390994</v>
      </c>
      <c r="Y141" s="9"/>
      <c r="Z141" s="22">
        <f ca="1">OFFSET('Dist Factors'!$B$15,$O141-1,Z$14)*$L141+OFFSET('Dist Factors'!$B$15,$K141-1,Z$14)*$H141</f>
        <v>23098.628133830447</v>
      </c>
      <c r="AA141" s="22"/>
      <c r="AB141" s="22">
        <f ca="1">OFFSET('Dist Factors'!$B$15,$O141-1,AB$14)*$L141+OFFSET('Dist Factors'!$B$15,$K141-1,AB$14)*$H141</f>
        <v>0</v>
      </c>
      <c r="AC141" s="9"/>
      <c r="AD141" s="22">
        <f ca="1">OFFSET('Dist Factors'!$B$15,$O141-1,AD$14)*$L141+OFFSET('Dist Factors'!$B$15,$K141-1,AD$14)*$H141</f>
        <v>0</v>
      </c>
      <c r="AE141" s="9"/>
      <c r="AF141" s="22">
        <f ca="1">OFFSET('Dist Factors'!$B$15,$O141-1,AF$14)*$L141+OFFSET('Dist Factors'!$B$15,$K141-1,AF$14)*$H141</f>
        <v>0</v>
      </c>
      <c r="AG141" s="9"/>
      <c r="AH141" s="22">
        <f ca="1">OFFSET('Dist Factors'!$B$15,$O141-1,AH$14)*$L141+OFFSET('Dist Factors'!$B$15,$K141-1,AH$14)*$H141</f>
        <v>0</v>
      </c>
      <c r="AI141" s="9"/>
      <c r="AJ141" s="9">
        <f t="shared" ca="1" si="156"/>
        <v>59329.657152477157</v>
      </c>
      <c r="AL141" s="35" t="str">
        <f t="shared" ca="1" si="158"/>
        <v/>
      </c>
      <c r="AM141" s="107"/>
      <c r="AO141" s="235">
        <f ca="1">Function!AL141</f>
        <v>20405.421374016114</v>
      </c>
      <c r="AP141" s="242">
        <f t="shared" ca="1" si="166"/>
        <v>0.34393290562212764</v>
      </c>
      <c r="AR141" s="199">
        <f t="shared" ca="1" si="144"/>
        <v>2599.8501072884837</v>
      </c>
      <c r="AT141" s="199">
        <f t="shared" ca="1" si="145"/>
        <v>497.25918783423435</v>
      </c>
      <c r="AV141" s="199">
        <f t="shared" ca="1" si="146"/>
        <v>5067.6366010984593</v>
      </c>
      <c r="AX141" s="199">
        <f t="shared" ca="1" si="147"/>
        <v>0</v>
      </c>
      <c r="AZ141" s="199">
        <f t="shared" ca="1" si="148"/>
        <v>4296.2971878416083</v>
      </c>
      <c r="BB141" s="199">
        <f t="shared" ca="1" si="149"/>
        <v>7944.3782899533298</v>
      </c>
      <c r="BD141" s="199">
        <f t="shared" ca="1" si="150"/>
        <v>0</v>
      </c>
      <c r="BF141" s="199">
        <f t="shared" ca="1" si="151"/>
        <v>0</v>
      </c>
      <c r="BH141" s="199">
        <f t="shared" ca="1" si="152"/>
        <v>0</v>
      </c>
      <c r="BJ141" s="199">
        <f t="shared" ca="1" si="153"/>
        <v>0</v>
      </c>
      <c r="BL141" s="199">
        <f t="shared" ca="1" si="155"/>
        <v>20405.421374016114</v>
      </c>
    </row>
    <row r="142" spans="2:64" ht="13" x14ac:dyDescent="0.3">
      <c r="B142" s="28">
        <f t="shared" si="167"/>
        <v>87</v>
      </c>
      <c r="D142" s="63" t="s">
        <v>21</v>
      </c>
      <c r="F142" s="113">
        <f ca="1">Function!V142</f>
        <v>8901.2312001131213</v>
      </c>
      <c r="H142" s="200">
        <v>743.14971575767004</v>
      </c>
      <c r="J142" s="94" t="s">
        <v>273</v>
      </c>
      <c r="K142" s="91">
        <f>_xlfn.IFNA(MATCH(J142,'Dist Factors'!$B$15:$B$431,0),0)</f>
        <v>14</v>
      </c>
      <c r="L142" s="113">
        <f t="shared" ca="1" si="165"/>
        <v>8158.0814843554508</v>
      </c>
      <c r="N142" s="28" t="s">
        <v>80</v>
      </c>
      <c r="O142" s="186">
        <f>_xlfn.IFNA(MATCH(N142,'Dist Factors'!$B$15:$B$431,0),0)</f>
        <v>53</v>
      </c>
      <c r="P142" s="22">
        <f ca="1">OFFSET('Dist Factors'!$B$15,$O142-1,P$14)*$L142+OFFSET('Dist Factors'!$B$15,$K142-1,P$14)*$H142</f>
        <v>2597.7279993717948</v>
      </c>
      <c r="Q142" s="24"/>
      <c r="R142" s="22">
        <f ca="1">OFFSET('Dist Factors'!$B$15,$O142-1,R$14)*$L142+OFFSET('Dist Factors'!$B$15,$K142-1,R$14)*$H142</f>
        <v>496.85330379646194</v>
      </c>
      <c r="S142" s="22"/>
      <c r="T142" s="22">
        <f ca="1">OFFSET('Dist Factors'!$B$15,$O142-1,T$14)*$L142+OFFSET('Dist Factors'!$B$15,$K142-1,T$14)*$H142</f>
        <v>5063.5001811871944</v>
      </c>
      <c r="U142" s="22"/>
      <c r="V142" s="22">
        <f ca="1">OFFSET('Dist Factors'!$B$15,$O142-1,V$14)*$L142+OFFSET('Dist Factors'!$B$15,$K142-1,V$14)*$H142</f>
        <v>0</v>
      </c>
      <c r="W142" s="9"/>
      <c r="X142" s="22">
        <f ca="1">OFFSET('Dist Factors'!$B$15,$O142-1,X$14)*$L142+OFFSET('Dist Factors'!$B$15,$K142-1,X$14)*$H142</f>
        <v>0</v>
      </c>
      <c r="Y142" s="9"/>
      <c r="Z142" s="22">
        <f ca="1">OFFSET('Dist Factors'!$B$15,$O142-1,Z$14)*$L142+OFFSET('Dist Factors'!$B$15,$K142-1,Z$14)*$H142</f>
        <v>0</v>
      </c>
      <c r="AA142" s="22"/>
      <c r="AB142" s="22">
        <f ca="1">OFFSET('Dist Factors'!$B$15,$O142-1,AB$14)*$L142+OFFSET('Dist Factors'!$B$15,$K142-1,AB$14)*$H142</f>
        <v>0</v>
      </c>
      <c r="AC142" s="9"/>
      <c r="AD142" s="22">
        <f ca="1">OFFSET('Dist Factors'!$B$15,$O142-1,AD$14)*$L142+OFFSET('Dist Factors'!$B$15,$K142-1,AD$14)*$H142</f>
        <v>743.14971575767004</v>
      </c>
      <c r="AE142" s="9"/>
      <c r="AF142" s="22">
        <f ca="1">OFFSET('Dist Factors'!$B$15,$O142-1,AF$14)*$L142+OFFSET('Dist Factors'!$B$15,$K142-1,AF$14)*$H142</f>
        <v>0</v>
      </c>
      <c r="AG142" s="9"/>
      <c r="AH142" s="22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35" t="str">
        <f t="shared" ca="1" si="158"/>
        <v/>
      </c>
      <c r="AM142" s="107"/>
      <c r="AO142" s="235">
        <f ca="1">Function!AL142</f>
        <v>4222.653922803057</v>
      </c>
      <c r="AP142" s="242">
        <f t="shared" ca="1" si="166"/>
        <v>0.47438987122920628</v>
      </c>
      <c r="AR142" s="199">
        <f t="shared" ca="1" si="144"/>
        <v>1232.3358511104893</v>
      </c>
      <c r="AT142" s="199">
        <f t="shared" ca="1" si="145"/>
        <v>235.70217480780929</v>
      </c>
      <c r="AV142" s="199">
        <f t="shared" ca="1" si="146"/>
        <v>2402.073198922456</v>
      </c>
      <c r="AX142" s="199">
        <f t="shared" ca="1" si="147"/>
        <v>0</v>
      </c>
      <c r="AZ142" s="199">
        <f t="shared" ca="1" si="148"/>
        <v>0</v>
      </c>
      <c r="BB142" s="199">
        <f t="shared" ca="1" si="149"/>
        <v>0</v>
      </c>
      <c r="BD142" s="199">
        <f t="shared" ca="1" si="150"/>
        <v>0</v>
      </c>
      <c r="BF142" s="199">
        <f t="shared" ca="1" si="151"/>
        <v>352.54269796230233</v>
      </c>
      <c r="BH142" s="199">
        <f t="shared" ca="1" si="152"/>
        <v>0</v>
      </c>
      <c r="BJ142" s="199">
        <f t="shared" ca="1" si="153"/>
        <v>0</v>
      </c>
      <c r="BL142" s="199">
        <f t="shared" ca="1" si="155"/>
        <v>4222.653922803057</v>
      </c>
    </row>
    <row r="143" spans="2:64" ht="13" x14ac:dyDescent="0.3">
      <c r="B143" s="28">
        <f t="shared" si="167"/>
        <v>88</v>
      </c>
      <c r="D143" s="63" t="s">
        <v>231</v>
      </c>
      <c r="F143" s="113">
        <f ca="1">Function!V143</f>
        <v>352.78073788360939</v>
      </c>
      <c r="H143" s="200"/>
      <c r="K143" s="91">
        <f>_xlfn.IFNA(MATCH(J143,'Dist Factors'!$B$15:$B$431,0),0)</f>
        <v>0</v>
      </c>
      <c r="L143" s="113">
        <f t="shared" ca="1" si="165"/>
        <v>352.78073788360939</v>
      </c>
      <c r="N143" s="91" t="s">
        <v>261</v>
      </c>
      <c r="O143" s="186">
        <f>_xlfn.IFNA(MATCH(N143,'Dist Factors'!$B$15:$B$431,0),0)</f>
        <v>56</v>
      </c>
      <c r="P143" s="22">
        <f ca="1">OFFSET('Dist Factors'!$B$15,$O143-1,P$14)*$L143+OFFSET('Dist Factors'!$B$15,$K143-1,P$14)*$H143</f>
        <v>44.947713768064041</v>
      </c>
      <c r="Q143" s="24"/>
      <c r="R143" s="22">
        <f ca="1">OFFSET('Dist Factors'!$B$15,$O143-1,R$14)*$L143+OFFSET('Dist Factors'!$B$15,$K143-1,R$14)*$H143</f>
        <v>8.5969047141043866</v>
      </c>
      <c r="S143" s="22"/>
      <c r="T143" s="22">
        <f ca="1">OFFSET('Dist Factors'!$B$15,$O143-1,T$14)*$L143+OFFSET('Dist Factors'!$B$15,$K143-1,T$14)*$H143</f>
        <v>87.612235331636285</v>
      </c>
      <c r="U143" s="22"/>
      <c r="V143" s="22">
        <f ca="1">OFFSET('Dist Factors'!$B$15,$O143-1,V$14)*$L143+OFFSET('Dist Factors'!$B$15,$K143-1,V$14)*$H143</f>
        <v>0</v>
      </c>
      <c r="W143" s="9"/>
      <c r="X143" s="22">
        <f ca="1">OFFSET('Dist Factors'!$B$15,$O143-1,X$14)*$L143+OFFSET('Dist Factors'!$B$15,$K143-1,X$14)*$H143</f>
        <v>74.27687300905437</v>
      </c>
      <c r="Y143" s="9"/>
      <c r="Z143" s="22">
        <f ca="1">OFFSET('Dist Factors'!$B$15,$O143-1,Z$14)*$L143+OFFSET('Dist Factors'!$B$15,$K143-1,Z$14)*$H143</f>
        <v>137.34701106075033</v>
      </c>
      <c r="AA143" s="22"/>
      <c r="AB143" s="22">
        <f ca="1">OFFSET('Dist Factors'!$B$15,$O143-1,AB$14)*$L143+OFFSET('Dist Factors'!$B$15,$K143-1,AB$14)*$H143</f>
        <v>0</v>
      </c>
      <c r="AC143" s="9"/>
      <c r="AD143" s="22">
        <f ca="1">OFFSET('Dist Factors'!$B$15,$O143-1,AD$14)*$L143+OFFSET('Dist Factors'!$B$15,$K143-1,AD$14)*$H143</f>
        <v>0</v>
      </c>
      <c r="AE143" s="9"/>
      <c r="AF143" s="22">
        <f ca="1">OFFSET('Dist Factors'!$B$15,$O143-1,AF$14)*$L143+OFFSET('Dist Factors'!$B$15,$K143-1,AF$14)*$H143</f>
        <v>0</v>
      </c>
      <c r="AG143" s="9"/>
      <c r="AH143" s="22">
        <f ca="1">OFFSET('Dist Factors'!$B$15,$O143-1,AH$14)*$L143+OFFSET('Dist Factors'!$B$15,$K143-1,AH$14)*$H143</f>
        <v>0</v>
      </c>
      <c r="AI143" s="9"/>
      <c r="AJ143" s="9">
        <f t="shared" ca="1" si="156"/>
        <v>352.78073788360945</v>
      </c>
      <c r="AL143" s="35" t="str">
        <f t="shared" ca="1" si="158"/>
        <v/>
      </c>
      <c r="AM143" s="107"/>
      <c r="AO143" s="235">
        <f ca="1">Function!AL143</f>
        <v>165.61362128320948</v>
      </c>
      <c r="AP143" s="242">
        <f t="shared" ca="1" si="166"/>
        <v>0.46945199524427916</v>
      </c>
      <c r="AR143" s="199">
        <f t="shared" ca="1" si="144"/>
        <v>21.10079391008642</v>
      </c>
      <c r="AT143" s="199">
        <f t="shared" ca="1" si="145"/>
        <v>4.0358340709612532</v>
      </c>
      <c r="AV143" s="199">
        <f t="shared" ca="1" si="146"/>
        <v>41.129738684247982</v>
      </c>
      <c r="AX143" s="199">
        <f t="shared" ca="1" si="147"/>
        <v>0</v>
      </c>
      <c r="AZ143" s="199">
        <f t="shared" ca="1" si="148"/>
        <v>34.869426234606522</v>
      </c>
      <c r="BB143" s="199">
        <f t="shared" ca="1" si="149"/>
        <v>64.477828383307326</v>
      </c>
      <c r="BD143" s="199">
        <f t="shared" ca="1" si="150"/>
        <v>0</v>
      </c>
      <c r="BF143" s="199">
        <f t="shared" ca="1" si="151"/>
        <v>0</v>
      </c>
      <c r="BH143" s="199">
        <f t="shared" ca="1" si="152"/>
        <v>0</v>
      </c>
      <c r="BJ143" s="199">
        <f t="shared" ca="1" si="153"/>
        <v>0</v>
      </c>
      <c r="BL143" s="199">
        <f t="shared" ca="1" si="155"/>
        <v>165.61362128320951</v>
      </c>
    </row>
    <row r="144" spans="2:64" ht="13" x14ac:dyDescent="0.3">
      <c r="B144" s="28"/>
      <c r="D144" s="97" t="s">
        <v>232</v>
      </c>
      <c r="F144" s="113"/>
      <c r="K144" s="91"/>
      <c r="O144" s="186"/>
      <c r="P144" s="22"/>
      <c r="Q144" s="24"/>
      <c r="R144" s="22"/>
      <c r="S144" s="22"/>
      <c r="T144" s="22"/>
      <c r="U144" s="22"/>
      <c r="V144" s="22"/>
      <c r="W144" s="9"/>
      <c r="X144" s="22"/>
      <c r="Y144" s="9"/>
      <c r="Z144" s="22"/>
      <c r="AA144" s="22"/>
      <c r="AB144" s="22"/>
      <c r="AC144" s="9"/>
      <c r="AD144" s="22"/>
      <c r="AE144" s="9"/>
      <c r="AF144" s="22"/>
      <c r="AG144" s="9"/>
      <c r="AH144" s="22"/>
      <c r="AJ144" s="9"/>
      <c r="AL144" s="35" t="str">
        <f t="shared" si="158"/>
        <v/>
      </c>
      <c r="AM144" s="107"/>
      <c r="AR144" s="199">
        <f t="shared" si="144"/>
        <v>0</v>
      </c>
      <c r="AT144" s="199">
        <f t="shared" si="145"/>
        <v>0</v>
      </c>
      <c r="AV144" s="199">
        <f t="shared" si="146"/>
        <v>0</v>
      </c>
      <c r="AX144" s="199">
        <f t="shared" si="147"/>
        <v>0</v>
      </c>
      <c r="AZ144" s="199">
        <f t="shared" si="148"/>
        <v>0</v>
      </c>
      <c r="BB144" s="199">
        <f t="shared" si="149"/>
        <v>0</v>
      </c>
      <c r="BD144" s="199">
        <f t="shared" si="150"/>
        <v>0</v>
      </c>
      <c r="BF144" s="199">
        <f t="shared" si="151"/>
        <v>0</v>
      </c>
      <c r="BH144" s="199">
        <f t="shared" si="152"/>
        <v>0</v>
      </c>
      <c r="BJ144" s="199">
        <f t="shared" si="153"/>
        <v>0</v>
      </c>
      <c r="BL144" s="199">
        <f t="shared" si="155"/>
        <v>0</v>
      </c>
    </row>
    <row r="145" spans="2:64" ht="13" x14ac:dyDescent="0.3">
      <c r="B145" s="28">
        <f>B143+1</f>
        <v>89</v>
      </c>
      <c r="D145" s="63" t="s">
        <v>233</v>
      </c>
      <c r="F145" s="113">
        <f ca="1">Function!V145</f>
        <v>169987.47758188492</v>
      </c>
      <c r="H145" s="200">
        <f>'Function Factors'!L22</f>
        <v>394.23107506524224</v>
      </c>
      <c r="J145" s="94" t="s">
        <v>207</v>
      </c>
      <c r="K145" s="91">
        <f>_xlfn.IFNA(MATCH(J145,'Dist Factors'!$B$15:$B$431,0),0)</f>
        <v>11</v>
      </c>
      <c r="L145" s="113">
        <f t="shared" ref="L145" ca="1" si="168">F145-H145</f>
        <v>169593.24650681968</v>
      </c>
      <c r="N145" s="28" t="s">
        <v>270</v>
      </c>
      <c r="O145" s="186">
        <f>_xlfn.IFNA(MATCH(N145,'Dist Factors'!$B$15:$B$431,0),0)</f>
        <v>38</v>
      </c>
      <c r="P145" s="22">
        <f ca="1">OFFSET('Dist Factors'!$B$15,$O145-1,P$14)*$L145+OFFSET('Dist Factors'!$B$15,$K145-1,P$14)*$H145</f>
        <v>22118.822910726154</v>
      </c>
      <c r="Q145" s="24"/>
      <c r="R145" s="22">
        <f ca="1">OFFSET('Dist Factors'!$B$15,$O145-1,R$14)*$L145+OFFSET('Dist Factors'!$B$15,$K145-1,R$14)*$H145</f>
        <v>4230.5469402265435</v>
      </c>
      <c r="S145" s="22"/>
      <c r="T145" s="22">
        <f ca="1">OFFSET('Dist Factors'!$B$15,$O145-1,T$14)*$L145+OFFSET('Dist Factors'!$B$15,$K145-1,T$14)*$H145</f>
        <v>43114.08424715513</v>
      </c>
      <c r="U145" s="22"/>
      <c r="V145" s="22">
        <f ca="1">OFFSET('Dist Factors'!$B$15,$O145-1,V$14)*$L145+OFFSET('Dist Factors'!$B$15,$K145-1,V$14)*$H145</f>
        <v>0</v>
      </c>
      <c r="W145" s="9"/>
      <c r="X145" s="22">
        <f ca="1">OFFSET('Dist Factors'!$B$15,$O145-1,X$14)*$L145+OFFSET('Dist Factors'!$B$15,$K145-1,X$14)*$H145</f>
        <v>30514.190440493061</v>
      </c>
      <c r="Y145" s="9"/>
      <c r="Z145" s="22">
        <f ca="1">OFFSET('Dist Factors'!$B$15,$O145-1,Z$14)*$L145+OFFSET('Dist Factors'!$B$15,$K145-1,Z$14)*$H145</f>
        <v>50543.842833226954</v>
      </c>
      <c r="AA145" s="22"/>
      <c r="AB145" s="22">
        <f ca="1">OFFSET('Dist Factors'!$B$15,$O145-1,AB$14)*$L145+OFFSET('Dist Factors'!$B$15,$K145-1,AB$14)*$H145</f>
        <v>14447.315774390481</v>
      </c>
      <c r="AC145" s="9"/>
      <c r="AD145" s="22">
        <f ca="1">OFFSET('Dist Factors'!$B$15,$O145-1,AD$14)*$L145+OFFSET('Dist Factors'!$B$15,$K145-1,AD$14)*$H145</f>
        <v>4624.4433606013708</v>
      </c>
      <c r="AE145" s="9"/>
      <c r="AF145" s="22">
        <f ca="1">OFFSET('Dist Factors'!$B$15,$O145-1,AF$14)*$L145+OFFSET('Dist Factors'!$B$15,$K145-1,AF$14)*$H145</f>
        <v>394.23107506524224</v>
      </c>
      <c r="AG145" s="9"/>
      <c r="AH145" s="22">
        <f ca="1">OFFSET('Dist Factors'!$B$15,$O145-1,AH$14)*$L145+OFFSET('Dist Factors'!$B$15,$K145-1,AH$14)*$H145</f>
        <v>0</v>
      </c>
      <c r="AI145" s="9"/>
      <c r="AJ145" s="9">
        <f t="shared" ca="1" si="156"/>
        <v>169987.47758188494</v>
      </c>
      <c r="AL145" s="35" t="str">
        <f t="shared" ca="1" si="158"/>
        <v/>
      </c>
      <c r="AM145" s="107"/>
      <c r="AO145" s="235">
        <f ca="1">Function!AL145</f>
        <v>70270.882852649811</v>
      </c>
      <c r="AP145" s="242">
        <f ca="1">IFERROR(AO145/F145,0)</f>
        <v>0.41338858516092469</v>
      </c>
      <c r="AR145" s="199">
        <f t="shared" ca="1" si="144"/>
        <v>9143.6689084901318</v>
      </c>
      <c r="AT145" s="199">
        <f t="shared" ca="1" si="145"/>
        <v>1748.8598140771298</v>
      </c>
      <c r="AV145" s="199">
        <f t="shared" ca="1" si="146"/>
        <v>17822.870287440372</v>
      </c>
      <c r="AX145" s="199">
        <f t="shared" ca="1" si="147"/>
        <v>0</v>
      </c>
      <c r="AZ145" s="199">
        <f t="shared" ca="1" si="148"/>
        <v>12614.218013526441</v>
      </c>
      <c r="BB145" s="199">
        <f t="shared" ca="1" si="149"/>
        <v>20894.247677423835</v>
      </c>
      <c r="BD145" s="199">
        <f t="shared" ca="1" si="150"/>
        <v>5972.3554273483905</v>
      </c>
      <c r="BF145" s="199">
        <f t="shared" ca="1" si="151"/>
        <v>1911.6920979958327</v>
      </c>
      <c r="BH145" s="199">
        <f t="shared" ca="1" si="152"/>
        <v>162.9706263476908</v>
      </c>
      <c r="BJ145" s="199">
        <f t="shared" ca="1" si="153"/>
        <v>0</v>
      </c>
      <c r="BL145" s="199">
        <f t="shared" ca="1" si="155"/>
        <v>70270.882852649826</v>
      </c>
    </row>
    <row r="146" spans="2:64" ht="13" x14ac:dyDescent="0.3">
      <c r="B146" s="28"/>
      <c r="D146" s="97" t="s">
        <v>234</v>
      </c>
      <c r="AD146" s="9"/>
      <c r="AE146" s="9"/>
      <c r="AF146" s="9"/>
      <c r="AG146" s="9"/>
      <c r="AH146" s="9"/>
      <c r="AJ146" s="9">
        <f t="shared" si="156"/>
        <v>0</v>
      </c>
      <c r="AL146" s="35" t="str">
        <f t="shared" si="158"/>
        <v/>
      </c>
      <c r="AM146" s="107"/>
      <c r="AR146" s="199">
        <f t="shared" si="144"/>
        <v>0</v>
      </c>
      <c r="AT146" s="199">
        <f t="shared" si="145"/>
        <v>0</v>
      </c>
      <c r="AV146" s="199">
        <f t="shared" si="146"/>
        <v>0</v>
      </c>
      <c r="AX146" s="199">
        <f t="shared" si="147"/>
        <v>0</v>
      </c>
      <c r="AZ146" s="199">
        <f t="shared" si="148"/>
        <v>0</v>
      </c>
      <c r="BB146" s="199">
        <f t="shared" si="149"/>
        <v>0</v>
      </c>
      <c r="BD146" s="199">
        <f t="shared" si="150"/>
        <v>0</v>
      </c>
      <c r="BF146" s="199">
        <f t="shared" si="151"/>
        <v>0</v>
      </c>
      <c r="BH146" s="199">
        <f t="shared" si="152"/>
        <v>0</v>
      </c>
      <c r="BJ146" s="199">
        <f t="shared" si="153"/>
        <v>0</v>
      </c>
      <c r="BL146" s="199">
        <f t="shared" si="155"/>
        <v>0</v>
      </c>
    </row>
    <row r="147" spans="2:64" ht="13" x14ac:dyDescent="0.3">
      <c r="B147" s="28">
        <f>B145+1</f>
        <v>90</v>
      </c>
      <c r="D147" s="63" t="s">
        <v>202</v>
      </c>
      <c r="F147" s="113">
        <f ca="1">Function!V147</f>
        <v>11615.53513385792</v>
      </c>
      <c r="H147" s="200"/>
      <c r="K147" s="91">
        <f>_xlfn.IFNA(MATCH(J147,'Dist Factors'!$B$15:$B$431,0),0)</f>
        <v>0</v>
      </c>
      <c r="L147" s="113">
        <f t="shared" ref="L147:L149" ca="1" si="169">F147-H147</f>
        <v>11615.53513385792</v>
      </c>
      <c r="N147" s="28" t="s">
        <v>207</v>
      </c>
      <c r="O147" s="186">
        <f>_xlfn.IFNA(MATCH(N147,'Dist Factors'!$B$15:$B$431,0),0)</f>
        <v>11</v>
      </c>
      <c r="P147" s="22">
        <f ca="1">OFFSET('Dist Factors'!$B$15,$O147-1,P$14)*$L147+OFFSET('Dist Factors'!$B$15,$K147-1,P$14)*$H147</f>
        <v>0</v>
      </c>
      <c r="Q147" s="24"/>
      <c r="R147" s="22">
        <f ca="1">OFFSET('Dist Factors'!$B$15,$O147-1,R$14)*$L147+OFFSET('Dist Factors'!$B$15,$K147-1,R$14)*$H147</f>
        <v>0</v>
      </c>
      <c r="S147" s="22"/>
      <c r="T147" s="22">
        <f ca="1">OFFSET('Dist Factors'!$B$15,$O147-1,T$14)*$L147+OFFSET('Dist Factors'!$B$15,$K147-1,T$14)*$H147</f>
        <v>0</v>
      </c>
      <c r="U147" s="22"/>
      <c r="V147" s="22">
        <f ca="1">OFFSET('Dist Factors'!$B$15,$O147-1,V$14)*$L147+OFFSET('Dist Factors'!$B$15,$K147-1,V$14)*$H147</f>
        <v>0</v>
      </c>
      <c r="W147" s="9"/>
      <c r="X147" s="22">
        <f ca="1">OFFSET('Dist Factors'!$B$15,$O147-1,X$14)*$L147+OFFSET('Dist Factors'!$B$15,$K147-1,X$14)*$H147</f>
        <v>0</v>
      </c>
      <c r="Y147" s="9"/>
      <c r="Z147" s="22">
        <f ca="1">OFFSET('Dist Factors'!$B$15,$O147-1,Z$14)*$L147+OFFSET('Dist Factors'!$B$15,$K147-1,Z$14)*$H147</f>
        <v>0</v>
      </c>
      <c r="AA147" s="22"/>
      <c r="AB147" s="22">
        <f ca="1">OFFSET('Dist Factors'!$B$15,$O147-1,AB$14)*$L147+OFFSET('Dist Factors'!$B$15,$K147-1,AB$14)*$H147</f>
        <v>0</v>
      </c>
      <c r="AC147" s="9"/>
      <c r="AD147" s="22">
        <f ca="1">OFFSET('Dist Factors'!$B$15,$O147-1,AD$14)*$L147+OFFSET('Dist Factors'!$B$15,$K147-1,AD$14)*$H147</f>
        <v>0</v>
      </c>
      <c r="AE147" s="9"/>
      <c r="AF147" s="22">
        <f ca="1">OFFSET('Dist Factors'!$B$15,$O147-1,AF$14)*$L147+OFFSET('Dist Factors'!$B$15,$K147-1,AF$14)*$H147</f>
        <v>11615.53513385792</v>
      </c>
      <c r="AG147" s="9"/>
      <c r="AH147" s="22">
        <f ca="1">OFFSET('Dist Factors'!$B$15,$O147-1,AH$14)*$L147+OFFSET('Dist Factors'!$B$15,$K147-1,AH$14)*$H147</f>
        <v>0</v>
      </c>
      <c r="AI147" s="9"/>
      <c r="AJ147" s="9">
        <f t="shared" ca="1" si="156"/>
        <v>11615.53513385792</v>
      </c>
      <c r="AL147" s="35" t="str">
        <f t="shared" ca="1" si="158"/>
        <v/>
      </c>
      <c r="AM147" s="107"/>
      <c r="AO147" s="235">
        <f ca="1">Function!AL147</f>
        <v>7823.0581031571392</v>
      </c>
      <c r="AP147" s="242">
        <f ca="1">IFERROR(AO147/F147,0)</f>
        <v>0.67349958594278136</v>
      </c>
      <c r="AR147" s="199">
        <f t="shared" ca="1" si="144"/>
        <v>0</v>
      </c>
      <c r="AT147" s="199">
        <f t="shared" ca="1" si="145"/>
        <v>0</v>
      </c>
      <c r="AV147" s="199">
        <f t="shared" ca="1" si="146"/>
        <v>0</v>
      </c>
      <c r="AX147" s="199">
        <f t="shared" ca="1" si="147"/>
        <v>0</v>
      </c>
      <c r="AZ147" s="199">
        <f t="shared" ca="1" si="148"/>
        <v>0</v>
      </c>
      <c r="BB147" s="199">
        <f t="shared" ca="1" si="149"/>
        <v>0</v>
      </c>
      <c r="BD147" s="199">
        <f t="shared" ca="1" si="150"/>
        <v>0</v>
      </c>
      <c r="BF147" s="199">
        <f t="shared" ca="1" si="151"/>
        <v>0</v>
      </c>
      <c r="BH147" s="199">
        <f t="shared" ca="1" si="152"/>
        <v>7823.0581031571392</v>
      </c>
      <c r="BJ147" s="199">
        <f t="shared" ca="1" si="153"/>
        <v>0</v>
      </c>
      <c r="BL147" s="199">
        <f t="shared" ca="1" si="155"/>
        <v>7823.0581031571392</v>
      </c>
    </row>
    <row r="148" spans="2:64" ht="13" x14ac:dyDescent="0.3">
      <c r="B148" s="28">
        <f>B147+1</f>
        <v>91</v>
      </c>
      <c r="D148" s="63" t="s">
        <v>145</v>
      </c>
      <c r="F148" s="113">
        <f ca="1">Function!V148</f>
        <v>144347.57149315687</v>
      </c>
      <c r="H148" s="200"/>
      <c r="K148" s="91">
        <f>_xlfn.IFNA(MATCH(J148,'Dist Factors'!$B$15:$B$431,0),0)</f>
        <v>0</v>
      </c>
      <c r="L148" s="113">
        <f t="shared" ca="1" si="169"/>
        <v>144347.57149315687</v>
      </c>
      <c r="N148" s="70" t="s">
        <v>246</v>
      </c>
      <c r="O148" s="186">
        <f>_xlfn.IFNA(MATCH(N148,'Dist Factors'!$B$15:$B$431,0),0)</f>
        <v>17</v>
      </c>
      <c r="P148" s="22">
        <f ca="1">OFFSET('Dist Factors'!$B$15,$O148-1,P$14)*$L148+OFFSET('Dist Factors'!$B$15,$K148-1,P$14)*$H148</f>
        <v>0</v>
      </c>
      <c r="Q148" s="24"/>
      <c r="R148" s="22">
        <f ca="1">OFFSET('Dist Factors'!$B$15,$O148-1,R$14)*$L148+OFFSET('Dist Factors'!$B$15,$K148-1,R$14)*$H148</f>
        <v>0</v>
      </c>
      <c r="S148" s="22"/>
      <c r="T148" s="22">
        <f ca="1">OFFSET('Dist Factors'!$B$15,$O148-1,T$14)*$L148+OFFSET('Dist Factors'!$B$15,$K148-1,T$14)*$H148</f>
        <v>0</v>
      </c>
      <c r="U148" s="22"/>
      <c r="V148" s="22">
        <f ca="1">OFFSET('Dist Factors'!$B$15,$O148-1,V$14)*$L148+OFFSET('Dist Factors'!$B$15,$K148-1,V$14)*$H148</f>
        <v>144347.57149315687</v>
      </c>
      <c r="W148" s="9"/>
      <c r="X148" s="22">
        <f ca="1">OFFSET('Dist Factors'!$B$15,$O148-1,X$14)*$L148+OFFSET('Dist Factors'!$B$15,$K148-1,X$14)*$H148</f>
        <v>0</v>
      </c>
      <c r="Y148" s="9"/>
      <c r="Z148" s="22">
        <f ca="1">OFFSET('Dist Factors'!$B$15,$O148-1,Z$14)*$L148+OFFSET('Dist Factors'!$B$15,$K148-1,Z$14)*$H148</f>
        <v>0</v>
      </c>
      <c r="AA148" s="22"/>
      <c r="AB148" s="22">
        <f ca="1">OFFSET('Dist Factors'!$B$15,$O148-1,AB$14)*$L148+OFFSET('Dist Factors'!$B$15,$K148-1,AB$14)*$H148</f>
        <v>0</v>
      </c>
      <c r="AC148" s="9"/>
      <c r="AD148" s="22">
        <f ca="1">OFFSET('Dist Factors'!$B$15,$O148-1,AD$14)*$L148+OFFSET('Dist Factors'!$B$15,$K148-1,AD$14)*$H148</f>
        <v>0</v>
      </c>
      <c r="AE148" s="9"/>
      <c r="AF148" s="22">
        <f ca="1">OFFSET('Dist Factors'!$B$15,$O148-1,AF$14)*$L148+OFFSET('Dist Factors'!$B$15,$K148-1,AF$14)*$H148</f>
        <v>0</v>
      </c>
      <c r="AG148" s="9"/>
      <c r="AH148" s="22">
        <f ca="1">OFFSET('Dist Factors'!$B$15,$O148-1,AH$14)*$L148+OFFSET('Dist Factors'!$B$15,$K148-1,AH$14)*$H148</f>
        <v>0</v>
      </c>
      <c r="AI148" s="9"/>
      <c r="AJ148" s="9">
        <f t="shared" ca="1" si="156"/>
        <v>144347.57149315687</v>
      </c>
      <c r="AL148" s="35" t="str">
        <f t="shared" ca="1" si="158"/>
        <v/>
      </c>
      <c r="AM148" s="107"/>
      <c r="AO148" s="235">
        <f ca="1">Function!AL148</f>
        <v>0</v>
      </c>
      <c r="AP148" s="242">
        <f ca="1">IFERROR(AO148/F148,0)</f>
        <v>0</v>
      </c>
      <c r="AR148" s="199">
        <f t="shared" ca="1" si="144"/>
        <v>0</v>
      </c>
      <c r="AT148" s="199">
        <f t="shared" ca="1" si="145"/>
        <v>0</v>
      </c>
      <c r="AV148" s="199">
        <f t="shared" ca="1" si="146"/>
        <v>0</v>
      </c>
      <c r="AX148" s="199">
        <f t="shared" ca="1" si="147"/>
        <v>0</v>
      </c>
      <c r="AZ148" s="199">
        <f t="shared" ca="1" si="148"/>
        <v>0</v>
      </c>
      <c r="BB148" s="199">
        <f t="shared" ca="1" si="149"/>
        <v>0</v>
      </c>
      <c r="BD148" s="199">
        <f t="shared" ca="1" si="150"/>
        <v>0</v>
      </c>
      <c r="BF148" s="199">
        <f t="shared" ca="1" si="151"/>
        <v>0</v>
      </c>
      <c r="BH148" s="199">
        <f t="shared" ca="1" si="152"/>
        <v>0</v>
      </c>
      <c r="BJ148" s="199">
        <f t="shared" ca="1" si="153"/>
        <v>0</v>
      </c>
      <c r="BL148" s="199">
        <f t="shared" ca="1" si="155"/>
        <v>0</v>
      </c>
    </row>
    <row r="149" spans="2:64" ht="13" x14ac:dyDescent="0.3">
      <c r="B149" s="28">
        <f t="shared" ref="B149" si="170">B148+1</f>
        <v>92</v>
      </c>
      <c r="D149" s="63" t="s">
        <v>235</v>
      </c>
      <c r="F149" s="113">
        <f ca="1">Function!V149</f>
        <v>30706.695595808786</v>
      </c>
      <c r="H149" s="200"/>
      <c r="K149" s="91">
        <f>_xlfn.IFNA(MATCH(J149,'Dist Factors'!$B$15:$B$431,0),0)</f>
        <v>0</v>
      </c>
      <c r="L149" s="113">
        <f t="shared" ca="1" si="169"/>
        <v>30706.695595808786</v>
      </c>
      <c r="N149" s="70" t="s">
        <v>246</v>
      </c>
      <c r="O149" s="186">
        <f>_xlfn.IFNA(MATCH(N149,'Dist Factors'!$B$15:$B$431,0),0)</f>
        <v>17</v>
      </c>
      <c r="P149" s="22">
        <f ca="1">OFFSET('Dist Factors'!$B$15,$O149-1,P$14)*$L149+OFFSET('Dist Factors'!$B$15,$K149-1,P$14)*$H149</f>
        <v>0</v>
      </c>
      <c r="Q149" s="24"/>
      <c r="R149" s="22">
        <f ca="1">OFFSET('Dist Factors'!$B$15,$O149-1,R$14)*$L149+OFFSET('Dist Factors'!$B$15,$K149-1,R$14)*$H149</f>
        <v>0</v>
      </c>
      <c r="S149" s="22"/>
      <c r="T149" s="22">
        <f ca="1">OFFSET('Dist Factors'!$B$15,$O149-1,T$14)*$L149+OFFSET('Dist Factors'!$B$15,$K149-1,T$14)*$H149</f>
        <v>0</v>
      </c>
      <c r="U149" s="22"/>
      <c r="V149" s="22">
        <f ca="1">OFFSET('Dist Factors'!$B$15,$O149-1,V$14)*$L149+OFFSET('Dist Factors'!$B$15,$K149-1,V$14)*$H149</f>
        <v>30706.695595808786</v>
      </c>
      <c r="W149" s="9"/>
      <c r="X149" s="22">
        <f ca="1">OFFSET('Dist Factors'!$B$15,$O149-1,X$14)*$L149+OFFSET('Dist Factors'!$B$15,$K149-1,X$14)*$H149</f>
        <v>0</v>
      </c>
      <c r="Y149" s="9"/>
      <c r="Z149" s="22">
        <f ca="1">OFFSET('Dist Factors'!$B$15,$O149-1,Z$14)*$L149+OFFSET('Dist Factors'!$B$15,$K149-1,Z$14)*$H149</f>
        <v>0</v>
      </c>
      <c r="AA149" s="22"/>
      <c r="AB149" s="22">
        <f ca="1">OFFSET('Dist Factors'!$B$15,$O149-1,AB$14)*$L149+OFFSET('Dist Factors'!$B$15,$K149-1,AB$14)*$H149</f>
        <v>0</v>
      </c>
      <c r="AC149" s="9"/>
      <c r="AD149" s="22">
        <f ca="1">OFFSET('Dist Factors'!$B$15,$O149-1,AD$14)*$L149+OFFSET('Dist Factors'!$B$15,$K149-1,AD$14)*$H149</f>
        <v>0</v>
      </c>
      <c r="AE149" s="9"/>
      <c r="AF149" s="22">
        <f ca="1">OFFSET('Dist Factors'!$B$15,$O149-1,AF$14)*$L149+OFFSET('Dist Factors'!$B$15,$K149-1,AF$14)*$H149</f>
        <v>0</v>
      </c>
      <c r="AG149" s="9"/>
      <c r="AH149" s="22">
        <f ca="1">OFFSET('Dist Factors'!$B$15,$O149-1,AH$14)*$L149+OFFSET('Dist Factors'!$B$15,$K149-1,AH$14)*$H149</f>
        <v>0</v>
      </c>
      <c r="AI149" s="9"/>
      <c r="AJ149" s="9">
        <f t="shared" ca="1" si="156"/>
        <v>30706.695595808786</v>
      </c>
      <c r="AL149" s="35" t="str">
        <f t="shared" ca="1" si="158"/>
        <v/>
      </c>
      <c r="AM149" s="107"/>
      <c r="AO149" s="235">
        <f ca="1">Function!AL149</f>
        <v>18121.6757442331</v>
      </c>
      <c r="AP149" s="242">
        <f ca="1">IFERROR(AO149/F149,0)</f>
        <v>0.59015388639559641</v>
      </c>
      <c r="AR149" s="199">
        <f t="shared" ca="1" si="144"/>
        <v>0</v>
      </c>
      <c r="AT149" s="199">
        <f t="shared" ca="1" si="145"/>
        <v>0</v>
      </c>
      <c r="AV149" s="199">
        <f t="shared" ca="1" si="146"/>
        <v>0</v>
      </c>
      <c r="AX149" s="199">
        <f t="shared" ca="1" si="147"/>
        <v>18121.6757442331</v>
      </c>
      <c r="AZ149" s="199">
        <f t="shared" ca="1" si="148"/>
        <v>0</v>
      </c>
      <c r="BB149" s="199">
        <f t="shared" ca="1" si="149"/>
        <v>0</v>
      </c>
      <c r="BD149" s="199">
        <f t="shared" ca="1" si="150"/>
        <v>0</v>
      </c>
      <c r="BF149" s="199">
        <f t="shared" ca="1" si="151"/>
        <v>0</v>
      </c>
      <c r="BH149" s="199">
        <f t="shared" ca="1" si="152"/>
        <v>0</v>
      </c>
      <c r="BJ149" s="199">
        <f t="shared" ca="1" si="153"/>
        <v>0</v>
      </c>
      <c r="BL149" s="199">
        <f t="shared" ca="1" si="155"/>
        <v>18121.6757442331</v>
      </c>
    </row>
    <row r="150" spans="2:64" ht="13" x14ac:dyDescent="0.3">
      <c r="B150" s="28"/>
      <c r="D150" s="97" t="s">
        <v>72</v>
      </c>
      <c r="P150" s="97"/>
      <c r="AD150" s="9"/>
      <c r="AE150" s="9"/>
      <c r="AF150" s="9"/>
      <c r="AG150" s="9"/>
      <c r="AH150" s="9"/>
      <c r="AJ150" s="9">
        <f t="shared" si="156"/>
        <v>0</v>
      </c>
      <c r="AL150" s="35" t="str">
        <f t="shared" si="158"/>
        <v/>
      </c>
      <c r="AM150" s="107"/>
      <c r="AR150" s="199">
        <f t="shared" si="144"/>
        <v>0</v>
      </c>
      <c r="AT150" s="199">
        <f t="shared" si="145"/>
        <v>0</v>
      </c>
      <c r="AV150" s="199">
        <f t="shared" si="146"/>
        <v>0</v>
      </c>
      <c r="AX150" s="199">
        <f t="shared" si="147"/>
        <v>0</v>
      </c>
      <c r="AZ150" s="199">
        <f t="shared" si="148"/>
        <v>0</v>
      </c>
      <c r="BB150" s="199">
        <f t="shared" si="149"/>
        <v>0</v>
      </c>
      <c r="BD150" s="199">
        <f t="shared" si="150"/>
        <v>0</v>
      </c>
      <c r="BF150" s="199">
        <f t="shared" si="151"/>
        <v>0</v>
      </c>
      <c r="BH150" s="199">
        <f t="shared" si="152"/>
        <v>0</v>
      </c>
      <c r="BJ150" s="199">
        <f t="shared" si="153"/>
        <v>0</v>
      </c>
      <c r="BL150" s="199">
        <f t="shared" si="155"/>
        <v>0</v>
      </c>
    </row>
    <row r="151" spans="2:64" ht="13" x14ac:dyDescent="0.3">
      <c r="B151" s="28">
        <f>B149+1</f>
        <v>93</v>
      </c>
      <c r="D151" s="63" t="s">
        <v>196</v>
      </c>
      <c r="F151" s="113">
        <f ca="1">Function!V151</f>
        <v>2999.0388448958947</v>
      </c>
      <c r="H151" s="200">
        <f>'Function Factors'!L16</f>
        <v>412.91835995474958</v>
      </c>
      <c r="J151" s="94" t="s">
        <v>207</v>
      </c>
      <c r="K151" s="91">
        <f>_xlfn.IFNA(MATCH(J151,'Dist Factors'!$B$15:$B$431,0),0)</f>
        <v>11</v>
      </c>
      <c r="L151" s="113">
        <f t="shared" ref="L151:L157" ca="1" si="171">F151-H151</f>
        <v>2586.1204849411452</v>
      </c>
      <c r="N151" s="28" t="s">
        <v>207</v>
      </c>
      <c r="O151" s="186">
        <f>_xlfn.IFNA(MATCH(N151,'Dist Factors'!$B$15:$B$431,0),0)</f>
        <v>11</v>
      </c>
      <c r="P151" s="22">
        <f ca="1">OFFSET('Dist Factors'!$B$15,$O151-1,P$14)*$L151+OFFSET('Dist Factors'!$B$15,$K151-1,P$14)*$H151</f>
        <v>0</v>
      </c>
      <c r="Q151" s="24"/>
      <c r="R151" s="22">
        <f ca="1">OFFSET('Dist Factors'!$B$15,$O151-1,R$14)*$L151+OFFSET('Dist Factors'!$B$15,$K151-1,R$14)*$H151</f>
        <v>0</v>
      </c>
      <c r="S151" s="22"/>
      <c r="T151" s="22">
        <f ca="1">OFFSET('Dist Factors'!$B$15,$O151-1,T$14)*$L151+OFFSET('Dist Factors'!$B$15,$K151-1,T$14)*$H151</f>
        <v>0</v>
      </c>
      <c r="U151" s="22"/>
      <c r="V151" s="22">
        <f ca="1">OFFSET('Dist Factors'!$B$15,$O151-1,V$14)*$L151+OFFSET('Dist Factors'!$B$15,$K151-1,V$14)*$H151</f>
        <v>0</v>
      </c>
      <c r="W151" s="9"/>
      <c r="X151" s="22">
        <f ca="1">OFFSET('Dist Factors'!$B$15,$O151-1,X$14)*$L151+OFFSET('Dist Factors'!$B$15,$K151-1,X$14)*$H151</f>
        <v>0</v>
      </c>
      <c r="Y151" s="9"/>
      <c r="Z151" s="22">
        <f ca="1">OFFSET('Dist Factors'!$B$15,$O151-1,Z$14)*$L151+OFFSET('Dist Factors'!$B$15,$K151-1,Z$14)*$H151</f>
        <v>0</v>
      </c>
      <c r="AA151" s="22"/>
      <c r="AB151" s="22">
        <f ca="1">OFFSET('Dist Factors'!$B$15,$O151-1,AB$14)*$L151+OFFSET('Dist Factors'!$B$15,$K151-1,AB$14)*$H151</f>
        <v>0</v>
      </c>
      <c r="AC151" s="9"/>
      <c r="AD151" s="22">
        <f ca="1">OFFSET('Dist Factors'!$B$15,$O151-1,AD$14)*$L151+OFFSET('Dist Factors'!$B$15,$K151-1,AD$14)*$H151</f>
        <v>0</v>
      </c>
      <c r="AE151" s="9"/>
      <c r="AF151" s="22">
        <f ca="1">OFFSET('Dist Factors'!$B$15,$O151-1,AF$14)*$L151+OFFSET('Dist Factors'!$B$15,$K151-1,AF$14)*$H151</f>
        <v>2999.0388448958947</v>
      </c>
      <c r="AG151" s="9"/>
      <c r="AH151" s="22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35" t="str">
        <f t="shared" ca="1" si="158"/>
        <v/>
      </c>
      <c r="AM151" s="107"/>
      <c r="AO151" s="235">
        <f ca="1">Function!AL151</f>
        <v>2984.1905036915596</v>
      </c>
      <c r="AP151" s="242">
        <f t="shared" ref="AP151:AP157" ca="1" si="172">IFERROR(AO151/F151,0)</f>
        <v>0.99504896669491105</v>
      </c>
      <c r="AR151" s="199">
        <f t="shared" ca="1" si="144"/>
        <v>0</v>
      </c>
      <c r="AT151" s="199">
        <f t="shared" ca="1" si="145"/>
        <v>0</v>
      </c>
      <c r="AV151" s="199">
        <f t="shared" ca="1" si="146"/>
        <v>0</v>
      </c>
      <c r="AX151" s="199">
        <f t="shared" ca="1" si="147"/>
        <v>0</v>
      </c>
      <c r="AZ151" s="199">
        <f t="shared" ca="1" si="148"/>
        <v>0</v>
      </c>
      <c r="BB151" s="199">
        <f t="shared" ca="1" si="149"/>
        <v>0</v>
      </c>
      <c r="BD151" s="199">
        <f t="shared" ca="1" si="150"/>
        <v>0</v>
      </c>
      <c r="BF151" s="199">
        <f t="shared" ca="1" si="151"/>
        <v>0</v>
      </c>
      <c r="BH151" s="199">
        <f t="shared" ca="1" si="152"/>
        <v>2984.1905036915596</v>
      </c>
      <c r="BJ151" s="199">
        <f t="shared" ca="1" si="153"/>
        <v>0</v>
      </c>
      <c r="BL151" s="199">
        <f t="shared" ca="1" si="155"/>
        <v>2984.1905036915596</v>
      </c>
    </row>
    <row r="152" spans="2:64" ht="13" x14ac:dyDescent="0.3">
      <c r="B152" s="28">
        <f>B151+1</f>
        <v>94</v>
      </c>
      <c r="D152" s="63" t="s">
        <v>236</v>
      </c>
      <c r="F152" s="113">
        <f ca="1">Function!V152</f>
        <v>19535.319138357758</v>
      </c>
      <c r="H152" s="200"/>
      <c r="K152" s="91">
        <f>_xlfn.IFNA(MATCH(J152,'Dist Factors'!$B$15:$B$431,0),0)</f>
        <v>0</v>
      </c>
      <c r="L152" s="113">
        <f t="shared" ca="1" si="171"/>
        <v>19535.319138357758</v>
      </c>
      <c r="N152" s="70" t="s">
        <v>207</v>
      </c>
      <c r="O152" s="186">
        <f>_xlfn.IFNA(MATCH(N152,'Dist Factors'!$B$15:$B$431,0),0)</f>
        <v>11</v>
      </c>
      <c r="P152" s="22">
        <f ca="1">OFFSET('Dist Factors'!$B$15,$O152-1,P$14)*$L152+OFFSET('Dist Factors'!$B$15,$K152-1,P$14)*$H152</f>
        <v>0</v>
      </c>
      <c r="Q152" s="24"/>
      <c r="R152" s="22">
        <f ca="1">OFFSET('Dist Factors'!$B$15,$O152-1,R$14)*$L152+OFFSET('Dist Factors'!$B$15,$K152-1,R$14)*$H152</f>
        <v>0</v>
      </c>
      <c r="S152" s="22"/>
      <c r="T152" s="22">
        <f ca="1">OFFSET('Dist Factors'!$B$15,$O152-1,T$14)*$L152+OFFSET('Dist Factors'!$B$15,$K152-1,T$14)*$H152</f>
        <v>0</v>
      </c>
      <c r="U152" s="22"/>
      <c r="V152" s="22">
        <f ca="1">OFFSET('Dist Factors'!$B$15,$O152-1,V$14)*$L152+OFFSET('Dist Factors'!$B$15,$K152-1,V$14)*$H152</f>
        <v>0</v>
      </c>
      <c r="W152" s="9"/>
      <c r="X152" s="22">
        <f ca="1">OFFSET('Dist Factors'!$B$15,$O152-1,X$14)*$L152+OFFSET('Dist Factors'!$B$15,$K152-1,X$14)*$H152</f>
        <v>0</v>
      </c>
      <c r="Y152" s="9"/>
      <c r="Z152" s="22">
        <f ca="1">OFFSET('Dist Factors'!$B$15,$O152-1,Z$14)*$L152+OFFSET('Dist Factors'!$B$15,$K152-1,Z$14)*$H152</f>
        <v>0</v>
      </c>
      <c r="AA152" s="22"/>
      <c r="AB152" s="22">
        <f ca="1">OFFSET('Dist Factors'!$B$15,$O152-1,AB$14)*$L152+OFFSET('Dist Factors'!$B$15,$K152-1,AB$14)*$H152</f>
        <v>0</v>
      </c>
      <c r="AC152" s="9"/>
      <c r="AD152" s="22">
        <f ca="1">OFFSET('Dist Factors'!$B$15,$O152-1,AD$14)*$L152+OFFSET('Dist Factors'!$B$15,$K152-1,AD$14)*$H152</f>
        <v>0</v>
      </c>
      <c r="AE152" s="9"/>
      <c r="AF152" s="22">
        <f ca="1">OFFSET('Dist Factors'!$B$15,$O152-1,AF$14)*$L152+OFFSET('Dist Factors'!$B$15,$K152-1,AF$14)*$H152</f>
        <v>19535.319138357758</v>
      </c>
      <c r="AG152" s="9"/>
      <c r="AH152" s="22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35" t="str">
        <f t="shared" ca="1" si="158"/>
        <v/>
      </c>
      <c r="AM152" s="107"/>
      <c r="AO152" s="235">
        <f ca="1">Function!AL152</f>
        <v>8208.9423951896006</v>
      </c>
      <c r="AP152" s="242">
        <f t="shared" ca="1" si="172"/>
        <v>0.42021030406773724</v>
      </c>
      <c r="AR152" s="199">
        <f t="shared" ca="1" si="144"/>
        <v>0</v>
      </c>
      <c r="AT152" s="199">
        <f t="shared" ca="1" si="145"/>
        <v>0</v>
      </c>
      <c r="AV152" s="199">
        <f t="shared" ca="1" si="146"/>
        <v>0</v>
      </c>
      <c r="AX152" s="199">
        <f t="shared" ca="1" si="147"/>
        <v>0</v>
      </c>
      <c r="AZ152" s="199">
        <f t="shared" ca="1" si="148"/>
        <v>0</v>
      </c>
      <c r="BB152" s="199">
        <f t="shared" ca="1" si="149"/>
        <v>0</v>
      </c>
      <c r="BD152" s="199">
        <f t="shared" ca="1" si="150"/>
        <v>0</v>
      </c>
      <c r="BF152" s="199">
        <f t="shared" ca="1" si="151"/>
        <v>0</v>
      </c>
      <c r="BH152" s="199">
        <f t="shared" ca="1" si="152"/>
        <v>8208.9423951896006</v>
      </c>
      <c r="BJ152" s="199">
        <f t="shared" ca="1" si="153"/>
        <v>0</v>
      </c>
      <c r="BL152" s="199">
        <f t="shared" ca="1" si="155"/>
        <v>8208.9423951896006</v>
      </c>
    </row>
    <row r="153" spans="2:64" ht="13" x14ac:dyDescent="0.3">
      <c r="B153" s="28">
        <f>B152+1</f>
        <v>95</v>
      </c>
      <c r="D153" s="63" t="s">
        <v>197</v>
      </c>
      <c r="F153" s="113">
        <f ca="1">Function!V153</f>
        <v>23437.232127810334</v>
      </c>
      <c r="H153" s="200"/>
      <c r="K153" s="91">
        <f>_xlfn.IFNA(MATCH(J153,'Dist Factors'!$B$15:$B$431,0),0)</f>
        <v>0</v>
      </c>
      <c r="L153" s="113">
        <f t="shared" ca="1" si="171"/>
        <v>23437.232127810334</v>
      </c>
      <c r="N153" s="70" t="s">
        <v>207</v>
      </c>
      <c r="O153" s="186">
        <f>_xlfn.IFNA(MATCH(N153,'Dist Factors'!$B$15:$B$431,0),0)</f>
        <v>11</v>
      </c>
      <c r="P153" s="22">
        <f ca="1">OFFSET('Dist Factors'!$B$15,$O153-1,P$14)*$L153+OFFSET('Dist Factors'!$B$15,$K153-1,P$14)*$H153</f>
        <v>0</v>
      </c>
      <c r="Q153" s="24"/>
      <c r="R153" s="22">
        <f ca="1">OFFSET('Dist Factors'!$B$15,$O153-1,R$14)*$L153+OFFSET('Dist Factors'!$B$15,$K153-1,R$14)*$H153</f>
        <v>0</v>
      </c>
      <c r="S153" s="22"/>
      <c r="T153" s="22">
        <f ca="1">OFFSET('Dist Factors'!$B$15,$O153-1,T$14)*$L153+OFFSET('Dist Factors'!$B$15,$K153-1,T$14)*$H153</f>
        <v>0</v>
      </c>
      <c r="U153" s="22"/>
      <c r="V153" s="22">
        <f ca="1">OFFSET('Dist Factors'!$B$15,$O153-1,V$14)*$L153+OFFSET('Dist Factors'!$B$15,$K153-1,V$14)*$H153</f>
        <v>0</v>
      </c>
      <c r="W153" s="9"/>
      <c r="X153" s="22">
        <f ca="1">OFFSET('Dist Factors'!$B$15,$O153-1,X$14)*$L153+OFFSET('Dist Factors'!$B$15,$K153-1,X$14)*$H153</f>
        <v>0</v>
      </c>
      <c r="Y153" s="9"/>
      <c r="Z153" s="22">
        <f ca="1">OFFSET('Dist Factors'!$B$15,$O153-1,Z$14)*$L153+OFFSET('Dist Factors'!$B$15,$K153-1,Z$14)*$H153</f>
        <v>0</v>
      </c>
      <c r="AA153" s="22"/>
      <c r="AB153" s="22">
        <f ca="1">OFFSET('Dist Factors'!$B$15,$O153-1,AB$14)*$L153+OFFSET('Dist Factors'!$B$15,$K153-1,AB$14)*$H153</f>
        <v>0</v>
      </c>
      <c r="AC153" s="9"/>
      <c r="AD153" s="22">
        <f ca="1">OFFSET('Dist Factors'!$B$15,$O153-1,AD$14)*$L153+OFFSET('Dist Factors'!$B$15,$K153-1,AD$14)*$H153</f>
        <v>0</v>
      </c>
      <c r="AE153" s="9"/>
      <c r="AF153" s="22">
        <f ca="1">OFFSET('Dist Factors'!$B$15,$O153-1,AF$14)*$L153+OFFSET('Dist Factors'!$B$15,$K153-1,AF$14)*$H153</f>
        <v>23437.232127810334</v>
      </c>
      <c r="AG153" s="9"/>
      <c r="AH153" s="22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35" t="str">
        <f t="shared" ca="1" si="158"/>
        <v/>
      </c>
      <c r="AM153" s="107"/>
      <c r="AO153" s="235">
        <f ca="1">Function!AL153</f>
        <v>430.97034567832998</v>
      </c>
      <c r="AP153" s="242">
        <f t="shared" ca="1" si="172"/>
        <v>1.8388278245832015E-2</v>
      </c>
      <c r="AR153" s="199">
        <f t="shared" ca="1" si="144"/>
        <v>0</v>
      </c>
      <c r="AT153" s="199">
        <f t="shared" ca="1" si="145"/>
        <v>0</v>
      </c>
      <c r="AV153" s="199">
        <f t="shared" ca="1" si="146"/>
        <v>0</v>
      </c>
      <c r="AX153" s="199">
        <f t="shared" ca="1" si="147"/>
        <v>0</v>
      </c>
      <c r="AZ153" s="199">
        <f t="shared" ca="1" si="148"/>
        <v>0</v>
      </c>
      <c r="BB153" s="199">
        <f t="shared" ca="1" si="149"/>
        <v>0</v>
      </c>
      <c r="BD153" s="199">
        <f t="shared" ca="1" si="150"/>
        <v>0</v>
      </c>
      <c r="BF153" s="199">
        <f t="shared" ca="1" si="151"/>
        <v>0</v>
      </c>
      <c r="BH153" s="199">
        <f t="shared" ca="1" si="152"/>
        <v>430.97034567832998</v>
      </c>
      <c r="BJ153" s="199">
        <f t="shared" ca="1" si="153"/>
        <v>0</v>
      </c>
      <c r="BL153" s="199">
        <f t="shared" ca="1" si="155"/>
        <v>430.97034567832998</v>
      </c>
    </row>
    <row r="154" spans="2:64" ht="13" x14ac:dyDescent="0.3">
      <c r="B154" s="28">
        <f t="shared" ref="B154:B157" si="173">B153+1</f>
        <v>96</v>
      </c>
      <c r="D154" s="63" t="s">
        <v>198</v>
      </c>
      <c r="F154" s="113">
        <f ca="1">Function!V154</f>
        <v>47499.389818864729</v>
      </c>
      <c r="H154" s="200"/>
      <c r="K154" s="91">
        <f>_xlfn.IFNA(MATCH(J154,'Dist Factors'!$B$15:$B$431,0),0)</f>
        <v>0</v>
      </c>
      <c r="L154" s="113">
        <f t="shared" ca="1" si="171"/>
        <v>47499.389818864729</v>
      </c>
      <c r="N154" s="70" t="s">
        <v>207</v>
      </c>
      <c r="O154" s="186">
        <f>_xlfn.IFNA(MATCH(N154,'Dist Factors'!$B$15:$B$431,0),0)</f>
        <v>11</v>
      </c>
      <c r="P154" s="22">
        <f ca="1">OFFSET('Dist Factors'!$B$15,$O154-1,P$14)*$L154+OFFSET('Dist Factors'!$B$15,$K154-1,P$14)*$H154</f>
        <v>0</v>
      </c>
      <c r="Q154" s="24"/>
      <c r="R154" s="22">
        <f ca="1">OFFSET('Dist Factors'!$B$15,$O154-1,R$14)*$L154+OFFSET('Dist Factors'!$B$15,$K154-1,R$14)*$H154</f>
        <v>0</v>
      </c>
      <c r="S154" s="22"/>
      <c r="T154" s="22">
        <f ca="1">OFFSET('Dist Factors'!$B$15,$O154-1,T$14)*$L154+OFFSET('Dist Factors'!$B$15,$K154-1,T$14)*$H154</f>
        <v>0</v>
      </c>
      <c r="U154" s="22"/>
      <c r="V154" s="22">
        <f ca="1">OFFSET('Dist Factors'!$B$15,$O154-1,V$14)*$L154+OFFSET('Dist Factors'!$B$15,$K154-1,V$14)*$H154</f>
        <v>0</v>
      </c>
      <c r="W154" s="9"/>
      <c r="X154" s="22">
        <f ca="1">OFFSET('Dist Factors'!$B$15,$O154-1,X$14)*$L154+OFFSET('Dist Factors'!$B$15,$K154-1,X$14)*$H154</f>
        <v>0</v>
      </c>
      <c r="Y154" s="9"/>
      <c r="Z154" s="22">
        <f ca="1">OFFSET('Dist Factors'!$B$15,$O154-1,Z$14)*$L154+OFFSET('Dist Factors'!$B$15,$K154-1,Z$14)*$H154</f>
        <v>0</v>
      </c>
      <c r="AA154" s="22"/>
      <c r="AB154" s="22">
        <f ca="1">OFFSET('Dist Factors'!$B$15,$O154-1,AB$14)*$L154+OFFSET('Dist Factors'!$B$15,$K154-1,AB$14)*$H154</f>
        <v>0</v>
      </c>
      <c r="AC154" s="9"/>
      <c r="AD154" s="22">
        <f ca="1">OFFSET('Dist Factors'!$B$15,$O154-1,AD$14)*$L154+OFFSET('Dist Factors'!$B$15,$K154-1,AD$14)*$H154</f>
        <v>0</v>
      </c>
      <c r="AE154" s="9"/>
      <c r="AF154" s="22">
        <f ca="1">OFFSET('Dist Factors'!$B$15,$O154-1,AF$14)*$L154+OFFSET('Dist Factors'!$B$15,$K154-1,AF$14)*$H154</f>
        <v>47499.389818864729</v>
      </c>
      <c r="AG154" s="9"/>
      <c r="AH154" s="22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35" t="str">
        <f t="shared" ca="1" si="158"/>
        <v/>
      </c>
      <c r="AM154" s="107"/>
      <c r="AO154" s="235">
        <f ca="1">Function!AL154</f>
        <v>4988.9291576484293</v>
      </c>
      <c r="AP154" s="242">
        <f t="shared" ca="1" si="172"/>
        <v>0.10503143675473152</v>
      </c>
      <c r="AR154" s="199">
        <f t="shared" ca="1" si="144"/>
        <v>0</v>
      </c>
      <c r="AT154" s="199">
        <f t="shared" ca="1" si="145"/>
        <v>0</v>
      </c>
      <c r="AV154" s="199">
        <f t="shared" ca="1" si="146"/>
        <v>0</v>
      </c>
      <c r="AX154" s="199">
        <f t="shared" ca="1" si="147"/>
        <v>0</v>
      </c>
      <c r="AZ154" s="199">
        <f t="shared" ca="1" si="148"/>
        <v>0</v>
      </c>
      <c r="BB154" s="199">
        <f t="shared" ca="1" si="149"/>
        <v>0</v>
      </c>
      <c r="BD154" s="199">
        <f t="shared" ca="1" si="150"/>
        <v>0</v>
      </c>
      <c r="BF154" s="199">
        <f t="shared" ca="1" si="151"/>
        <v>0</v>
      </c>
      <c r="BH154" s="199">
        <f t="shared" ca="1" si="152"/>
        <v>4988.9291576484293</v>
      </c>
      <c r="BJ154" s="199">
        <f t="shared" ca="1" si="153"/>
        <v>0</v>
      </c>
      <c r="BL154" s="199">
        <f t="shared" ca="1" si="155"/>
        <v>4988.9291576484293</v>
      </c>
    </row>
    <row r="155" spans="2:64" ht="13" x14ac:dyDescent="0.3">
      <c r="B155" s="28">
        <f t="shared" si="173"/>
        <v>97</v>
      </c>
      <c r="D155" s="63" t="s">
        <v>199</v>
      </c>
      <c r="F155" s="113">
        <f ca="1">Function!V155</f>
        <v>3006.3131315267215</v>
      </c>
      <c r="H155" s="200"/>
      <c r="K155" s="91">
        <f>_xlfn.IFNA(MATCH(J155,'Dist Factors'!$B$15:$B$431,0),0)</f>
        <v>0</v>
      </c>
      <c r="L155" s="113">
        <f t="shared" ca="1" si="171"/>
        <v>3006.3131315267215</v>
      </c>
      <c r="N155" s="70" t="s">
        <v>207</v>
      </c>
      <c r="O155" s="186">
        <f>_xlfn.IFNA(MATCH(N155,'Dist Factors'!$B$15:$B$431,0),0)</f>
        <v>11</v>
      </c>
      <c r="P155" s="22">
        <f ca="1">OFFSET('Dist Factors'!$B$15,$O155-1,P$14)*$L155+OFFSET('Dist Factors'!$B$15,$K155-1,P$14)*$H155</f>
        <v>0</v>
      </c>
      <c r="Q155" s="24"/>
      <c r="R155" s="22">
        <f ca="1">OFFSET('Dist Factors'!$B$15,$O155-1,R$14)*$L155+OFFSET('Dist Factors'!$B$15,$K155-1,R$14)*$H155</f>
        <v>0</v>
      </c>
      <c r="S155" s="22"/>
      <c r="T155" s="22">
        <f ca="1">OFFSET('Dist Factors'!$B$15,$O155-1,T$14)*$L155+OFFSET('Dist Factors'!$B$15,$K155-1,T$14)*$H155</f>
        <v>0</v>
      </c>
      <c r="U155" s="22"/>
      <c r="V155" s="22">
        <f ca="1">OFFSET('Dist Factors'!$B$15,$O155-1,V$14)*$L155+OFFSET('Dist Factors'!$B$15,$K155-1,V$14)*$H155</f>
        <v>0</v>
      </c>
      <c r="W155" s="9"/>
      <c r="X155" s="22">
        <f ca="1">OFFSET('Dist Factors'!$B$15,$O155-1,X$14)*$L155+OFFSET('Dist Factors'!$B$15,$K155-1,X$14)*$H155</f>
        <v>0</v>
      </c>
      <c r="Y155" s="9"/>
      <c r="Z155" s="22">
        <f ca="1">OFFSET('Dist Factors'!$B$15,$O155-1,Z$14)*$L155+OFFSET('Dist Factors'!$B$15,$K155-1,Z$14)*$H155</f>
        <v>0</v>
      </c>
      <c r="AA155" s="22"/>
      <c r="AB155" s="22">
        <f ca="1">OFFSET('Dist Factors'!$B$15,$O155-1,AB$14)*$L155+OFFSET('Dist Factors'!$B$15,$K155-1,AB$14)*$H155</f>
        <v>0</v>
      </c>
      <c r="AC155" s="9"/>
      <c r="AD155" s="22">
        <f ca="1">OFFSET('Dist Factors'!$B$15,$O155-1,AD$14)*$L155+OFFSET('Dist Factors'!$B$15,$K155-1,AD$14)*$H155</f>
        <v>0</v>
      </c>
      <c r="AE155" s="9"/>
      <c r="AF155" s="22">
        <f ca="1">OFFSET('Dist Factors'!$B$15,$O155-1,AF$14)*$L155+OFFSET('Dist Factors'!$B$15,$K155-1,AF$14)*$H155</f>
        <v>3006.3131315267215</v>
      </c>
      <c r="AG155" s="9"/>
      <c r="AH155" s="22">
        <f ca="1">OFFSET('Dist Factors'!$B$15,$O155-1,AH$14)*$L155+OFFSET('Dist Factors'!$B$15,$K155-1,AH$14)*$H155</f>
        <v>0</v>
      </c>
      <c r="AI155" s="9"/>
      <c r="AJ155" s="9">
        <f t="shared" ca="1" si="156"/>
        <v>3006.3131315267215</v>
      </c>
      <c r="AL155" s="35" t="str">
        <f t="shared" ca="1" si="158"/>
        <v/>
      </c>
      <c r="AM155" s="107"/>
      <c r="AO155" s="235">
        <f ca="1">Function!AL155</f>
        <v>2781.7547861991366</v>
      </c>
      <c r="AP155" s="242">
        <f t="shared" ca="1" si="172"/>
        <v>0.92530440592742058</v>
      </c>
      <c r="AR155" s="199">
        <f t="shared" ca="1" si="144"/>
        <v>0</v>
      </c>
      <c r="AT155" s="199">
        <f t="shared" ca="1" si="145"/>
        <v>0</v>
      </c>
      <c r="AV155" s="199">
        <f t="shared" ca="1" si="146"/>
        <v>0</v>
      </c>
      <c r="AX155" s="199">
        <f t="shared" ca="1" si="147"/>
        <v>0</v>
      </c>
      <c r="AZ155" s="199">
        <f t="shared" ca="1" si="148"/>
        <v>0</v>
      </c>
      <c r="BB155" s="199">
        <f t="shared" ca="1" si="149"/>
        <v>0</v>
      </c>
      <c r="BD155" s="199">
        <f t="shared" ca="1" si="150"/>
        <v>0</v>
      </c>
      <c r="BF155" s="199">
        <f t="shared" ca="1" si="151"/>
        <v>0</v>
      </c>
      <c r="BH155" s="199">
        <f t="shared" ca="1" si="152"/>
        <v>2781.7547861991366</v>
      </c>
      <c r="BJ155" s="199">
        <f t="shared" ca="1" si="153"/>
        <v>0</v>
      </c>
      <c r="BL155" s="199">
        <f t="shared" ca="1" si="155"/>
        <v>2781.7547861991366</v>
      </c>
    </row>
    <row r="156" spans="2:64" ht="13" x14ac:dyDescent="0.3">
      <c r="B156" s="28">
        <f t="shared" si="173"/>
        <v>98</v>
      </c>
      <c r="D156" s="63" t="s">
        <v>200</v>
      </c>
      <c r="F156" s="113">
        <f ca="1">Function!V156</f>
        <v>6258.7532042938401</v>
      </c>
      <c r="H156" s="200"/>
      <c r="K156" s="91">
        <f>_xlfn.IFNA(MATCH(J156,'Dist Factors'!$B$15:$B$431,0),0)</f>
        <v>0</v>
      </c>
      <c r="L156" s="113">
        <f t="shared" ca="1" si="171"/>
        <v>6258.7532042938401</v>
      </c>
      <c r="N156" s="70" t="s">
        <v>207</v>
      </c>
      <c r="O156" s="186">
        <f>_xlfn.IFNA(MATCH(N156,'Dist Factors'!$B$15:$B$431,0),0)</f>
        <v>11</v>
      </c>
      <c r="P156" s="22">
        <f ca="1">OFFSET('Dist Factors'!$B$15,$O156-1,P$14)*$L156+OFFSET('Dist Factors'!$B$15,$K156-1,P$14)*$H156</f>
        <v>0</v>
      </c>
      <c r="Q156" s="24"/>
      <c r="R156" s="22">
        <f ca="1">OFFSET('Dist Factors'!$B$15,$O156-1,R$14)*$L156+OFFSET('Dist Factors'!$B$15,$K156-1,R$14)*$H156</f>
        <v>0</v>
      </c>
      <c r="S156" s="22"/>
      <c r="T156" s="22">
        <f ca="1">OFFSET('Dist Factors'!$B$15,$O156-1,T$14)*$L156+OFFSET('Dist Factors'!$B$15,$K156-1,T$14)*$H156</f>
        <v>0</v>
      </c>
      <c r="U156" s="22"/>
      <c r="V156" s="22">
        <f ca="1">OFFSET('Dist Factors'!$B$15,$O156-1,V$14)*$L156+OFFSET('Dist Factors'!$B$15,$K156-1,V$14)*$H156</f>
        <v>0</v>
      </c>
      <c r="W156" s="9"/>
      <c r="X156" s="22">
        <f ca="1">OFFSET('Dist Factors'!$B$15,$O156-1,X$14)*$L156+OFFSET('Dist Factors'!$B$15,$K156-1,X$14)*$H156</f>
        <v>0</v>
      </c>
      <c r="Y156" s="9"/>
      <c r="Z156" s="22">
        <f ca="1">OFFSET('Dist Factors'!$B$15,$O156-1,Z$14)*$L156+OFFSET('Dist Factors'!$B$15,$K156-1,Z$14)*$H156</f>
        <v>0</v>
      </c>
      <c r="AA156" s="22"/>
      <c r="AB156" s="22">
        <f ca="1">OFFSET('Dist Factors'!$B$15,$O156-1,AB$14)*$L156+OFFSET('Dist Factors'!$B$15,$K156-1,AB$14)*$H156</f>
        <v>0</v>
      </c>
      <c r="AC156" s="9"/>
      <c r="AD156" s="22">
        <f ca="1">OFFSET('Dist Factors'!$B$15,$O156-1,AD$14)*$L156+OFFSET('Dist Factors'!$B$15,$K156-1,AD$14)*$H156</f>
        <v>0</v>
      </c>
      <c r="AE156" s="9"/>
      <c r="AF156" s="22">
        <f ca="1">OFFSET('Dist Factors'!$B$15,$O156-1,AF$14)*$L156+OFFSET('Dist Factors'!$B$15,$K156-1,AF$14)*$H156</f>
        <v>6258.7532042938401</v>
      </c>
      <c r="AG156" s="9"/>
      <c r="AH156" s="22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35" t="str">
        <f t="shared" ca="1" si="158"/>
        <v/>
      </c>
      <c r="AM156" s="107"/>
      <c r="AO156" s="235">
        <f ca="1">Function!AL156</f>
        <v>1248.1922043138802</v>
      </c>
      <c r="AP156" s="242">
        <f t="shared" ca="1" si="172"/>
        <v>0.19943144641932095</v>
      </c>
      <c r="AR156" s="199">
        <f t="shared" ca="1" si="144"/>
        <v>0</v>
      </c>
      <c r="AT156" s="199">
        <f t="shared" ca="1" si="145"/>
        <v>0</v>
      </c>
      <c r="AV156" s="199">
        <f t="shared" ca="1" si="146"/>
        <v>0</v>
      </c>
      <c r="AX156" s="199">
        <f t="shared" ca="1" si="147"/>
        <v>0</v>
      </c>
      <c r="AZ156" s="199">
        <f t="shared" ca="1" si="148"/>
        <v>0</v>
      </c>
      <c r="BB156" s="199">
        <f t="shared" ca="1" si="149"/>
        <v>0</v>
      </c>
      <c r="BD156" s="199">
        <f t="shared" ca="1" si="150"/>
        <v>0</v>
      </c>
      <c r="BF156" s="199">
        <f t="shared" ca="1" si="151"/>
        <v>0</v>
      </c>
      <c r="BH156" s="199">
        <f t="shared" ca="1" si="152"/>
        <v>1248.1922043138802</v>
      </c>
      <c r="BJ156" s="199">
        <f t="shared" ca="1" si="153"/>
        <v>0</v>
      </c>
      <c r="BL156" s="199">
        <f t="shared" ca="1" si="155"/>
        <v>1248.1922043138802</v>
      </c>
    </row>
    <row r="157" spans="2:64" ht="13" x14ac:dyDescent="0.3">
      <c r="B157" s="28">
        <f t="shared" si="173"/>
        <v>99</v>
      </c>
      <c r="D157" s="63" t="s">
        <v>201</v>
      </c>
      <c r="F157" s="113">
        <f ca="1">Function!V157</f>
        <v>11814.781536038916</v>
      </c>
      <c r="H157" s="200"/>
      <c r="K157" s="91">
        <f>_xlfn.IFNA(MATCH(J157,'Dist Factors'!$B$15:$B$431,0),0)</f>
        <v>0</v>
      </c>
      <c r="L157" s="113">
        <f t="shared" ca="1" si="171"/>
        <v>11814.781536038916</v>
      </c>
      <c r="N157" s="70" t="s">
        <v>207</v>
      </c>
      <c r="O157" s="186">
        <f>_xlfn.IFNA(MATCH(N157,'Dist Factors'!$B$15:$B$431,0),0)</f>
        <v>11</v>
      </c>
      <c r="P157" s="22">
        <f ca="1">OFFSET('Dist Factors'!$B$15,$O157-1,P$14)*$L157+OFFSET('Dist Factors'!$B$15,$K157-1,P$14)*$H157</f>
        <v>0</v>
      </c>
      <c r="Q157" s="24"/>
      <c r="R157" s="22">
        <f ca="1">OFFSET('Dist Factors'!$B$15,$O157-1,R$14)*$L157+OFFSET('Dist Factors'!$B$15,$K157-1,R$14)*$H157</f>
        <v>0</v>
      </c>
      <c r="S157" s="22"/>
      <c r="T157" s="22">
        <f ca="1">OFFSET('Dist Factors'!$B$15,$O157-1,T$14)*$L157+OFFSET('Dist Factors'!$B$15,$K157-1,T$14)*$H157</f>
        <v>0</v>
      </c>
      <c r="U157" s="22"/>
      <c r="V157" s="22">
        <f ca="1">OFFSET('Dist Factors'!$B$15,$O157-1,V$14)*$L157+OFFSET('Dist Factors'!$B$15,$K157-1,V$14)*$H157</f>
        <v>0</v>
      </c>
      <c r="W157" s="9"/>
      <c r="X157" s="22">
        <f ca="1">OFFSET('Dist Factors'!$B$15,$O157-1,X$14)*$L157+OFFSET('Dist Factors'!$B$15,$K157-1,X$14)*$H157</f>
        <v>0</v>
      </c>
      <c r="Y157" s="9"/>
      <c r="Z157" s="22">
        <f ca="1">OFFSET('Dist Factors'!$B$15,$O157-1,Z$14)*$L157+OFFSET('Dist Factors'!$B$15,$K157-1,Z$14)*$H157</f>
        <v>0</v>
      </c>
      <c r="AA157" s="22"/>
      <c r="AB157" s="22">
        <f ca="1">OFFSET('Dist Factors'!$B$15,$O157-1,AB$14)*$L157+OFFSET('Dist Factors'!$B$15,$K157-1,AB$14)*$H157</f>
        <v>0</v>
      </c>
      <c r="AC157" s="9"/>
      <c r="AD157" s="22">
        <f ca="1">OFFSET('Dist Factors'!$B$15,$O157-1,AD$14)*$L157+OFFSET('Dist Factors'!$B$15,$K157-1,AD$14)*$H157</f>
        <v>0</v>
      </c>
      <c r="AE157" s="9"/>
      <c r="AF157" s="22">
        <f ca="1">OFFSET('Dist Factors'!$B$15,$O157-1,AF$14)*$L157+OFFSET('Dist Factors'!$B$15,$K157-1,AF$14)*$H157</f>
        <v>11814.781536038916</v>
      </c>
      <c r="AG157" s="9"/>
      <c r="AH157" s="22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35" t="str">
        <f t="shared" ca="1" si="158"/>
        <v/>
      </c>
      <c r="AM157" s="107"/>
      <c r="AO157" s="235">
        <f ca="1">Function!AL157</f>
        <v>0</v>
      </c>
      <c r="AP157" s="242">
        <f t="shared" ca="1" si="172"/>
        <v>0</v>
      </c>
      <c r="AR157" s="199">
        <f t="shared" ca="1" si="144"/>
        <v>0</v>
      </c>
      <c r="AT157" s="199">
        <f t="shared" ca="1" si="145"/>
        <v>0</v>
      </c>
      <c r="AV157" s="199">
        <f t="shared" ca="1" si="146"/>
        <v>0</v>
      </c>
      <c r="AX157" s="199">
        <f t="shared" ca="1" si="147"/>
        <v>0</v>
      </c>
      <c r="AZ157" s="199">
        <f t="shared" ca="1" si="148"/>
        <v>0</v>
      </c>
      <c r="BB157" s="199">
        <f t="shared" ca="1" si="149"/>
        <v>0</v>
      </c>
      <c r="BD157" s="199">
        <f t="shared" ca="1" si="150"/>
        <v>0</v>
      </c>
      <c r="BF157" s="199">
        <f t="shared" ca="1" si="151"/>
        <v>0</v>
      </c>
      <c r="BH157" s="199">
        <f t="shared" ca="1" si="152"/>
        <v>0</v>
      </c>
      <c r="BJ157" s="199">
        <f t="shared" ca="1" si="153"/>
        <v>0</v>
      </c>
      <c r="BL157" s="199">
        <f t="shared" ca="1" si="155"/>
        <v>0</v>
      </c>
    </row>
    <row r="158" spans="2:64" ht="13" x14ac:dyDescent="0.3">
      <c r="B158" s="28"/>
      <c r="D158" s="97" t="s">
        <v>237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35" t="str">
        <f t="shared" si="158"/>
        <v/>
      </c>
      <c r="AM158" s="107"/>
      <c r="AR158" s="199">
        <f t="shared" si="144"/>
        <v>0</v>
      </c>
      <c r="AT158" s="199">
        <f t="shared" si="145"/>
        <v>0</v>
      </c>
      <c r="AV158" s="199">
        <f t="shared" si="146"/>
        <v>0</v>
      </c>
      <c r="AX158" s="199">
        <f t="shared" si="147"/>
        <v>0</v>
      </c>
      <c r="AZ158" s="199">
        <f t="shared" si="148"/>
        <v>0</v>
      </c>
      <c r="BB158" s="199">
        <f t="shared" si="149"/>
        <v>0</v>
      </c>
      <c r="BD158" s="199">
        <f t="shared" si="150"/>
        <v>0</v>
      </c>
      <c r="BF158" s="199">
        <f t="shared" si="151"/>
        <v>0</v>
      </c>
      <c r="BH158" s="199">
        <f t="shared" si="152"/>
        <v>0</v>
      </c>
      <c r="BJ158" s="199">
        <f t="shared" si="153"/>
        <v>0</v>
      </c>
      <c r="BL158" s="199">
        <f t="shared" si="155"/>
        <v>0</v>
      </c>
    </row>
    <row r="159" spans="2:64" ht="13" x14ac:dyDescent="0.3">
      <c r="B159" s="28">
        <f>B157+1</f>
        <v>100</v>
      </c>
      <c r="D159" s="63" t="s">
        <v>110</v>
      </c>
      <c r="F159" s="113">
        <f ca="1">Function!V159</f>
        <v>151282.90897396818</v>
      </c>
      <c r="H159" s="200">
        <f>'Function Factors'!L19</f>
        <v>427.13051271001717</v>
      </c>
      <c r="J159" s="94" t="s">
        <v>207</v>
      </c>
      <c r="K159" s="91">
        <f>_xlfn.IFNA(MATCH(J159,'Dist Factors'!$B$15:$B$431,0),0)</f>
        <v>11</v>
      </c>
      <c r="L159" s="113">
        <f t="shared" ref="L159:L160" ca="1" si="174">F159-H159</f>
        <v>150855.77846125816</v>
      </c>
      <c r="N159" s="28" t="s">
        <v>257</v>
      </c>
      <c r="O159" s="186">
        <f>_xlfn.IFNA(MATCH(N159,'Dist Factors'!$B$15:$B$431,0),0)</f>
        <v>29</v>
      </c>
      <c r="P159" s="22">
        <f ca="1">OFFSET('Dist Factors'!$B$15,$O159-1,P$14)*$L159+OFFSET('Dist Factors'!$B$15,$K159-1,P$14)*$H159</f>
        <v>13012.95545315776</v>
      </c>
      <c r="Q159" s="24"/>
      <c r="R159" s="22">
        <f ca="1">OFFSET('Dist Factors'!$B$15,$O159-1,R$14)*$L159+OFFSET('Dist Factors'!$B$15,$K159-1,R$14)*$H159</f>
        <v>2488.917204041828</v>
      </c>
      <c r="S159" s="22"/>
      <c r="T159" s="22">
        <f ca="1">OFFSET('Dist Factors'!$B$15,$O159-1,T$14)*$L159+OFFSET('Dist Factors'!$B$15,$K159-1,T$14)*$H159</f>
        <v>25364.89667539463</v>
      </c>
      <c r="U159" s="22"/>
      <c r="V159" s="22">
        <f ca="1">OFFSET('Dist Factors'!$B$15,$O159-1,V$14)*$L159+OFFSET('Dist Factors'!$B$15,$K159-1,V$14)*$H159</f>
        <v>15489.851180056827</v>
      </c>
      <c r="W159" s="9"/>
      <c r="X159" s="22">
        <f ca="1">OFFSET('Dist Factors'!$B$15,$O159-1,X$14)*$L159+OFFSET('Dist Factors'!$B$15,$K159-1,X$14)*$H159</f>
        <v>17028.912448798455</v>
      </c>
      <c r="Y159" s="9"/>
      <c r="Z159" s="22">
        <f ca="1">OFFSET('Dist Factors'!$B$15,$O159-1,Z$14)*$L159+OFFSET('Dist Factors'!$B$15,$K159-1,Z$14)*$H159</f>
        <v>29201.41285705733</v>
      </c>
      <c r="AA159" s="22"/>
      <c r="AB159" s="22">
        <f ca="1">OFFSET('Dist Factors'!$B$15,$O159-1,AB$14)*$L159+OFFSET('Dist Factors'!$B$15,$K159-1,AB$14)*$H159</f>
        <v>12447.270675475866</v>
      </c>
      <c r="AC159" s="9"/>
      <c r="AD159" s="22">
        <f ca="1">OFFSET('Dist Factors'!$B$15,$O159-1,AD$14)*$L159+OFFSET('Dist Factors'!$B$15,$K159-1,AD$14)*$H159</f>
        <v>3028.1955350320145</v>
      </c>
      <c r="AE159" s="9"/>
      <c r="AF159" s="22">
        <f ca="1">OFFSET('Dist Factors'!$B$15,$O159-1,AF$14)*$L159+OFFSET('Dist Factors'!$B$15,$K159-1,AF$14)*$H159</f>
        <v>33220.49694495344</v>
      </c>
      <c r="AG159" s="9"/>
      <c r="AH159" s="22">
        <f ca="1">OFFSET('Dist Factors'!$B$15,$O159-1,AH$14)*$L159+OFFSET('Dist Factors'!$B$15,$K159-1,AH$14)*$H159</f>
        <v>0</v>
      </c>
      <c r="AI159" s="9"/>
      <c r="AJ159" s="9">
        <f t="shared" ca="1" si="156"/>
        <v>151282.90897396815</v>
      </c>
      <c r="AL159" s="35" t="str">
        <f t="shared" ca="1" si="158"/>
        <v/>
      </c>
      <c r="AM159" s="107"/>
      <c r="AO159" s="235"/>
      <c r="AP159" s="242"/>
      <c r="AR159" s="199"/>
      <c r="AT159" s="199"/>
      <c r="AV159" s="199"/>
      <c r="AX159" s="199"/>
      <c r="AZ159" s="199"/>
      <c r="BB159" s="199"/>
      <c r="BD159" s="199"/>
      <c r="BF159" s="199"/>
      <c r="BH159" s="199"/>
      <c r="BJ159" s="199"/>
      <c r="BL159" s="199"/>
    </row>
    <row r="160" spans="2:64" ht="13" x14ac:dyDescent="0.3">
      <c r="B160" s="28">
        <f>B159+1</f>
        <v>101</v>
      </c>
      <c r="D160" s="63" t="s">
        <v>238</v>
      </c>
      <c r="F160" s="105">
        <f ca="1">Function!V160</f>
        <v>185521.51456395959</v>
      </c>
      <c r="G160" s="170"/>
      <c r="H160" s="66">
        <f>'Function Factors'!L13</f>
        <v>1107.36012997326</v>
      </c>
      <c r="I160" s="170"/>
      <c r="J160" s="170" t="s">
        <v>207</v>
      </c>
      <c r="K160" s="42">
        <f>_xlfn.IFNA(MATCH(J160,'Dist Factors'!$B$15:$B$431,0),0)</f>
        <v>11</v>
      </c>
      <c r="L160" s="105">
        <f t="shared" ca="1" si="174"/>
        <v>184414.15443398632</v>
      </c>
      <c r="M160" s="170"/>
      <c r="N160" s="41" t="s">
        <v>287</v>
      </c>
      <c r="O160" s="189">
        <f>_xlfn.IFNA(MATCH(N160,'Dist Factors'!$B$15:$B$431,0),0)</f>
        <v>41</v>
      </c>
      <c r="P160" s="30">
        <f ca="1">OFFSET('Dist Factors'!$B$15,$O160-1,P$14)*$L160+OFFSET('Dist Factors'!$B$15,$K160-1,P$14)*$H160</f>
        <v>15115.293253374944</v>
      </c>
      <c r="Q160" s="109"/>
      <c r="R160" s="30">
        <f ca="1">OFFSET('Dist Factors'!$B$15,$O160-1,R$14)*$L160+OFFSET('Dist Factors'!$B$15,$K160-1,R$14)*$H160</f>
        <v>2891.0199191785546</v>
      </c>
      <c r="S160" s="30"/>
      <c r="T160" s="30">
        <f ca="1">OFFSET('Dist Factors'!$B$15,$O160-1,T$14)*$L160+OFFSET('Dist Factors'!$B$15,$K160-1,T$14)*$H160</f>
        <v>29462.780608928366</v>
      </c>
      <c r="U160" s="30"/>
      <c r="V160" s="30">
        <f ca="1">OFFSET('Dist Factors'!$B$15,$O160-1,V$14)*$L160+OFFSET('Dist Factors'!$B$15,$K160-1,V$14)*$H160</f>
        <v>15007.743550611729</v>
      </c>
      <c r="W160" s="13"/>
      <c r="X160" s="30">
        <f ca="1">OFFSET('Dist Factors'!$B$15,$O160-1,X$14)*$L160+OFFSET('Dist Factors'!$B$15,$K160-1,X$14)*$H160</f>
        <v>20005.227527497074</v>
      </c>
      <c r="Y160" s="9"/>
      <c r="Z160" s="22">
        <f ca="1">OFFSET('Dist Factors'!$B$15,$O160-1,Z$14)*$L160+OFFSET('Dist Factors'!$B$15,$K160-1,Z$14)*$H160</f>
        <v>34338.67547194779</v>
      </c>
      <c r="AA160" s="22"/>
      <c r="AB160" s="22">
        <f ca="1">OFFSET('Dist Factors'!$B$15,$O160-1,AB$14)*$L160+OFFSET('Dist Factors'!$B$15,$K160-1,AB$14)*$H160</f>
        <v>15868.601840083793</v>
      </c>
      <c r="AC160" s="9"/>
      <c r="AD160" s="22">
        <f ca="1">OFFSET('Dist Factors'!$B$15,$O160-1,AD$14)*$L160+OFFSET('Dist Factors'!$B$15,$K160-1,AD$14)*$H160</f>
        <v>3655.4092250717326</v>
      </c>
      <c r="AE160" s="9"/>
      <c r="AF160" s="22">
        <f ca="1">OFFSET('Dist Factors'!$B$15,$O160-1,AF$14)*$L160+OFFSET('Dist Factors'!$B$15,$K160-1,AF$14)*$H160</f>
        <v>49176.763167265555</v>
      </c>
      <c r="AG160" s="9"/>
      <c r="AH160" s="22">
        <f ca="1">OFFSET('Dist Factors'!$B$15,$O160-1,AH$14)*$L160+OFFSET('Dist Factors'!$B$15,$K160-1,AH$14)*$H160</f>
        <v>0</v>
      </c>
      <c r="AI160" s="9"/>
      <c r="AJ160" s="9">
        <f t="shared" ca="1" si="156"/>
        <v>185521.51456395956</v>
      </c>
      <c r="AL160" s="35" t="str">
        <f t="shared" ca="1" si="158"/>
        <v/>
      </c>
      <c r="AM160" s="107"/>
      <c r="AO160" s="235">
        <f ca="1">Function!AL160</f>
        <v>103784.24238861445</v>
      </c>
      <c r="AP160" s="242">
        <f ca="1">IFERROR(AO160/F160,0)</f>
        <v>0.55941890423083118</v>
      </c>
      <c r="AR160" s="199">
        <f ca="1">$AP160*P160</f>
        <v>8455.780788930686</v>
      </c>
      <c r="AT160" s="199">
        <f ca="1">$AP160*R160</f>
        <v>1617.2911952963732</v>
      </c>
      <c r="AV160" s="199">
        <f ca="1">$AP160*T160</f>
        <v>16482.036443840087</v>
      </c>
      <c r="AX160" s="199">
        <f ca="1">$AP160*V160</f>
        <v>8395.6154520605378</v>
      </c>
      <c r="AZ160" s="199">
        <f ca="1">$AP160*X160</f>
        <v>11191.302462320873</v>
      </c>
      <c r="BB160" s="199">
        <f ca="1">$AP160*Z160</f>
        <v>19209.704205255151</v>
      </c>
      <c r="BD160" s="199">
        <f ca="1">$AP160*AB160</f>
        <v>8877.1958530550273</v>
      </c>
      <c r="BF160" s="199">
        <f ca="1">$AP160*AD160</f>
        <v>2044.9050232049003</v>
      </c>
      <c r="BH160" s="199">
        <f ca="1">$AP160*AF160</f>
        <v>27510.410964650797</v>
      </c>
      <c r="BJ160" s="199">
        <f ca="1">$AP160*AH160</f>
        <v>0</v>
      </c>
      <c r="BL160" s="199">
        <f t="shared" ca="1" si="155"/>
        <v>103784.24238861445</v>
      </c>
    </row>
    <row r="161" spans="2:64" ht="13" x14ac:dyDescent="0.3">
      <c r="B161" s="28"/>
      <c r="F161" s="170"/>
      <c r="H161" s="170"/>
      <c r="L161" s="170"/>
      <c r="Z161" s="99"/>
      <c r="AB161" s="99"/>
      <c r="AD161" s="99"/>
      <c r="AF161" s="99"/>
      <c r="AH161" s="99"/>
      <c r="AJ161" s="99">
        <f t="shared" si="156"/>
        <v>0</v>
      </c>
      <c r="AL161" s="35" t="str">
        <f t="shared" si="158"/>
        <v/>
      </c>
      <c r="AM161" s="107"/>
    </row>
    <row r="162" spans="2:64" ht="13" x14ac:dyDescent="0.3">
      <c r="B162" s="28">
        <f>B160+1</f>
        <v>102</v>
      </c>
      <c r="D162" s="97" t="s">
        <v>482</v>
      </c>
      <c r="F162" s="204">
        <f ca="1">SUM(F115:F160)</f>
        <v>949587.90622421936</v>
      </c>
      <c r="H162" s="204">
        <f>SUM(H115:H160)</f>
        <v>5563.8953516590282</v>
      </c>
      <c r="L162" s="204">
        <f ca="1">SUM(L115:L160)</f>
        <v>944024.01087256044</v>
      </c>
      <c r="P162" s="11">
        <f ca="1">SUM(P115:P160)</f>
        <v>72580.507899535951</v>
      </c>
      <c r="Q162" s="24"/>
      <c r="R162" s="11">
        <f ca="1">SUM(R115:R160)</f>
        <v>11790.101681596294</v>
      </c>
      <c r="S162" s="22"/>
      <c r="T162" s="11">
        <f ca="1">SUM(T115:T160)</f>
        <v>120154.54369492184</v>
      </c>
      <c r="U162" s="22"/>
      <c r="V162" s="11">
        <f ca="1">SUM(V115:V160)</f>
        <v>205551.86181963421</v>
      </c>
      <c r="X162" s="11">
        <f ca="1">SUM(X115:X160)</f>
        <v>81584.933105434073</v>
      </c>
      <c r="Z162" s="11">
        <f ca="1">SUM(Z115:Z160)</f>
        <v>140039.32409453468</v>
      </c>
      <c r="AB162" s="11">
        <f ca="1">SUM(AB115:AB160)</f>
        <v>64715.026001105478</v>
      </c>
      <c r="AD162" s="11">
        <f ca="1">SUM(AD115:AD160)</f>
        <v>14907.419407779964</v>
      </c>
      <c r="AF162" s="11">
        <f ca="1">SUM(AF115:AF160)</f>
        <v>208957.85412293038</v>
      </c>
      <c r="AH162" s="11">
        <f ca="1">SUM(AH115:AH160)</f>
        <v>29306.334396746555</v>
      </c>
      <c r="AJ162" s="11">
        <f ca="1">P162+R162+T162+V162+X162+Z162+AB162+AH162+AF162+AD162</f>
        <v>949587.90622421948</v>
      </c>
      <c r="AL162" s="35" t="str">
        <f ca="1">IF(ROUND(F162,4)=ROUND(AJ162,4), "", "check")</f>
        <v/>
      </c>
      <c r="AM162" s="107"/>
      <c r="AO162" s="236">
        <f ca="1">SUM(AO116:AO161)</f>
        <v>258252.10065614511</v>
      </c>
      <c r="AR162" s="236">
        <f ca="1">SUM(AR116:AR161)</f>
        <v>22277.059028175609</v>
      </c>
      <c r="AT162" s="236">
        <f ca="1">SUM(AT116:AT161)</f>
        <v>4260.8119016673481</v>
      </c>
      <c r="AV162" s="236">
        <f ca="1">SUM(AV116:AV161)</f>
        <v>43422.518621180992</v>
      </c>
      <c r="AX162" s="236">
        <f ca="1">SUM(AX116:AX161)</f>
        <v>26517.291196293638</v>
      </c>
      <c r="AZ162" s="236">
        <f ca="1">SUM(AZ116:AZ161)</f>
        <v>29152.031540649172</v>
      </c>
      <c r="BB162" s="236">
        <f ca="1">SUM(BB116:BB161)</f>
        <v>49990.303914007105</v>
      </c>
      <c r="BD162" s="236">
        <f ca="1">SUM(BD116:BD161)</f>
        <v>21308.655406944279</v>
      </c>
      <c r="BF162" s="236">
        <f ca="1">SUM(BF116:BF161)</f>
        <v>5184.0099603504113</v>
      </c>
      <c r="BH162" s="236">
        <f ca="1">SUM(BH116:BH161)</f>
        <v>56139.419086876565</v>
      </c>
      <c r="BJ162" s="236">
        <f ca="1">SUM(BJ116:BJ161)</f>
        <v>0</v>
      </c>
      <c r="BL162" s="236">
        <f ca="1">SUM(BL116:BL161)</f>
        <v>258252.10065614511</v>
      </c>
    </row>
    <row r="163" spans="2:64" ht="13" x14ac:dyDescent="0.3">
      <c r="B163" s="28"/>
      <c r="Q163" s="24"/>
      <c r="S163" s="22"/>
      <c r="U163" s="22"/>
      <c r="Z163" s="99"/>
      <c r="AB163" s="99"/>
      <c r="AD163" s="99"/>
      <c r="AF163" s="99"/>
      <c r="AH163" s="99"/>
      <c r="AJ163" s="99"/>
      <c r="AL163" s="35" t="str">
        <f t="shared" si="158"/>
        <v/>
      </c>
      <c r="AM163" s="107"/>
    </row>
    <row r="164" spans="2:64" ht="13.5" thickBot="1" x14ac:dyDescent="0.35">
      <c r="B164" s="28">
        <f>B162+1</f>
        <v>103</v>
      </c>
      <c r="D164" s="97" t="s">
        <v>483</v>
      </c>
      <c r="F164" s="207">
        <f ca="1">F162+F104+F109+F108+F97</f>
        <v>2570021.9495961652</v>
      </c>
      <c r="H164" s="207">
        <f>H162+H104+H109+H108+H97</f>
        <v>5563.8953516590282</v>
      </c>
      <c r="L164" s="207">
        <f ca="1">L162+L104+L109+L108+L97</f>
        <v>2564458.0542445062</v>
      </c>
      <c r="P164" s="60">
        <f ca="1">P162+P104+P109+P108+P97</f>
        <v>270544.32129128964</v>
      </c>
      <c r="Q164" s="24"/>
      <c r="R164" s="60">
        <f ca="1">R162+R104+R109+R108+R97</f>
        <v>49653.563421865147</v>
      </c>
      <c r="S164" s="22"/>
      <c r="T164" s="60">
        <f ca="1">T162+T104+T109+T108+T97</f>
        <v>505800.29360904114</v>
      </c>
      <c r="U164" s="22"/>
      <c r="V164" s="60">
        <f ca="1">V162+V104+V109+V108+V97</f>
        <v>209769.63233311317</v>
      </c>
      <c r="X164" s="60">
        <f ca="1">X162+X104+X109+X108+X97</f>
        <v>358838.07449580694</v>
      </c>
      <c r="Z164" s="60">
        <f ca="1">Z162+Z104+Z109+Z108+Z97</f>
        <v>568306.25453006651</v>
      </c>
      <c r="AB164" s="60">
        <f ca="1">AB162+AB104+AB109+AB108+AB97</f>
        <v>301364.32281612593</v>
      </c>
      <c r="AD164" s="60">
        <f ca="1">AD162+AD104+AD109+AD108+AD97</f>
        <v>53081.38852421011</v>
      </c>
      <c r="AF164" s="60">
        <f ca="1">AF162+AF104+AF109+AF108+AF97</f>
        <v>223357.76417790024</v>
      </c>
      <c r="AH164" s="60">
        <f ca="1">AH162+AH104+AH109+AH108+AH97</f>
        <v>29306.334396746555</v>
      </c>
      <c r="AJ164" s="60">
        <f ca="1">AJ162+AJ104+AJ109+AJ108+AJ97</f>
        <v>2570021.9495961652</v>
      </c>
      <c r="AL164" s="35" t="str">
        <f t="shared" ca="1" si="158"/>
        <v/>
      </c>
      <c r="AM164" s="107"/>
    </row>
    <row r="165" spans="2:64" ht="13.5" thickTop="1" x14ac:dyDescent="0.3">
      <c r="B165" s="28"/>
      <c r="F165" s="105"/>
      <c r="H165" s="105"/>
      <c r="L165" s="105"/>
      <c r="Z165" s="99"/>
      <c r="AB165" s="99"/>
      <c r="AD165" s="99"/>
      <c r="AF165" s="99"/>
      <c r="AH165" s="99"/>
      <c r="AJ165" s="99"/>
      <c r="AL165" s="35" t="str">
        <f t="shared" si="158"/>
        <v/>
      </c>
      <c r="AM165" s="107"/>
    </row>
    <row r="166" spans="2:64" ht="13" x14ac:dyDescent="0.3">
      <c r="B166" s="28"/>
      <c r="F166" s="105"/>
      <c r="H166" s="105"/>
      <c r="L166" s="105"/>
      <c r="Z166" s="99"/>
      <c r="AB166" s="99"/>
      <c r="AD166" s="99"/>
      <c r="AF166" s="99"/>
      <c r="AH166" s="99"/>
      <c r="AJ166" s="99"/>
      <c r="AL166" s="35" t="str">
        <f t="shared" si="158"/>
        <v/>
      </c>
      <c r="AM166" s="107"/>
    </row>
    <row r="167" spans="2:64" ht="13" x14ac:dyDescent="0.3">
      <c r="B167" s="28"/>
      <c r="F167" s="105"/>
      <c r="H167" s="105"/>
      <c r="L167" s="105"/>
      <c r="Z167" s="99"/>
      <c r="AB167" s="99"/>
      <c r="AD167" s="99"/>
      <c r="AF167" s="99"/>
      <c r="AH167" s="99"/>
      <c r="AJ167" s="99"/>
      <c r="AL167" s="35" t="str">
        <f t="shared" si="158"/>
        <v/>
      </c>
      <c r="AM167" s="107"/>
    </row>
    <row r="168" spans="2:64" ht="13" x14ac:dyDescent="0.3">
      <c r="B168" s="28"/>
      <c r="D168" s="6" t="s">
        <v>132</v>
      </c>
      <c r="Z168" s="99"/>
      <c r="AB168" s="99"/>
      <c r="AD168" s="99"/>
      <c r="AF168" s="99"/>
      <c r="AH168" s="99"/>
      <c r="AJ168" s="99"/>
      <c r="AL168" s="35" t="str">
        <f t="shared" si="158"/>
        <v/>
      </c>
      <c r="AM168" s="107"/>
    </row>
    <row r="169" spans="2:64" ht="13" x14ac:dyDescent="0.3">
      <c r="B169" s="28"/>
      <c r="D169" s="6"/>
      <c r="F169" s="113"/>
      <c r="H169" s="200"/>
      <c r="K169" s="91"/>
      <c r="L169" s="113"/>
      <c r="O169" s="186"/>
      <c r="P169" s="22"/>
      <c r="Q169" s="24"/>
      <c r="R169" s="22"/>
      <c r="S169" s="22"/>
      <c r="T169" s="22"/>
      <c r="U169" s="22"/>
      <c r="V169" s="22"/>
      <c r="W169" s="9"/>
      <c r="X169" s="22"/>
      <c r="Y169" s="9"/>
      <c r="Z169" s="22"/>
      <c r="AA169" s="22"/>
      <c r="AB169" s="22"/>
      <c r="AC169" s="9"/>
      <c r="AD169" s="22"/>
      <c r="AE169" s="9"/>
      <c r="AF169" s="22"/>
      <c r="AG169" s="9"/>
      <c r="AH169" s="22"/>
      <c r="AI169" s="9"/>
      <c r="AJ169" s="22"/>
      <c r="AL169" s="35" t="str">
        <f t="shared" si="158"/>
        <v/>
      </c>
      <c r="AM169" s="107"/>
    </row>
    <row r="170" spans="2:64" ht="13" x14ac:dyDescent="0.3">
      <c r="B170" s="28">
        <f>B164+1</f>
        <v>104</v>
      </c>
      <c r="D170" s="99" t="s">
        <v>146</v>
      </c>
      <c r="F170" s="113">
        <f ca="1">Function!V170</f>
        <v>0</v>
      </c>
      <c r="H170" s="200"/>
      <c r="K170" s="91">
        <f>_xlfn.IFNA(MATCH(J170,'Dist Factors'!$B$15:$B$431,0),0)</f>
        <v>0</v>
      </c>
      <c r="L170" s="113">
        <f t="shared" ref="L170:L176" ca="1" si="175">F170-H170</f>
        <v>0</v>
      </c>
      <c r="O170" s="186">
        <f>_xlfn.IFNA(MATCH(N170,'Dist Factors'!$B$15:$B$431,0),0)</f>
        <v>0</v>
      </c>
      <c r="P170" s="22">
        <f ca="1">OFFSET('Dist Factors'!$B$15,$O170-1,P$14)*$L170+OFFSET('Dist Factors'!$B$15,$K170-1,P$14)*$H170</f>
        <v>0</v>
      </c>
      <c r="Q170" s="24"/>
      <c r="R170" s="22">
        <f ca="1">OFFSET('Dist Factors'!$B$15,$O170-1,R$14)*$L170+OFFSET('Dist Factors'!$B$15,$K170-1,R$14)*$H170</f>
        <v>0</v>
      </c>
      <c r="S170" s="22"/>
      <c r="T170" s="22">
        <f ca="1">OFFSET('Dist Factors'!$B$15,$O170-1,T$14)*$L170+OFFSET('Dist Factors'!$B$15,$K170-1,T$14)*$H170</f>
        <v>0</v>
      </c>
      <c r="U170" s="22"/>
      <c r="V170" s="22">
        <f ca="1">OFFSET('Dist Factors'!$B$15,$O170-1,V$14)*$L170+OFFSET('Dist Factors'!$B$15,$K170-1,V$14)*$H170</f>
        <v>0</v>
      </c>
      <c r="W170" s="9"/>
      <c r="X170" s="22">
        <f ca="1">OFFSET('Dist Factors'!$B$15,$O170-1,X$14)*$L170+OFFSET('Dist Factors'!$B$15,$K170-1,X$14)*$H170</f>
        <v>0</v>
      </c>
      <c r="Y170" s="9"/>
      <c r="Z170" s="22">
        <f ca="1">OFFSET('Dist Factors'!$B$15,$O170-1,Z$14)*$L170+OFFSET('Dist Factors'!$B$15,$K170-1,Z$14)*$H170</f>
        <v>0</v>
      </c>
      <c r="AA170" s="22"/>
      <c r="AB170" s="22">
        <f ca="1">OFFSET('Dist Factors'!$B$15,$O170-1,AB$14)*$L170+OFFSET('Dist Factors'!$B$15,$K170-1,AB$14)*$H170</f>
        <v>0</v>
      </c>
      <c r="AC170" s="9"/>
      <c r="AD170" s="22">
        <f ca="1">OFFSET('Dist Factors'!$B$15,$O170-1,AD$14)*$L170+OFFSET('Dist Factors'!$B$15,$K170-1,AD$14)*$H170</f>
        <v>0</v>
      </c>
      <c r="AE170" s="9"/>
      <c r="AF170" s="22">
        <f ca="1">OFFSET('Dist Factors'!$B$15,$O170-1,AF$14)*$L170+OFFSET('Dist Factors'!$B$15,$K170-1,AF$14)*$H170</f>
        <v>0</v>
      </c>
      <c r="AG170" s="9"/>
      <c r="AH170" s="22">
        <f ca="1">OFFSET('Dist Factors'!$B$15,$O170-1,AH$14)*$L170+OFFSET('Dist Factors'!$B$15,$K170-1,AH$14)*$H170</f>
        <v>0</v>
      </c>
      <c r="AI170" s="9"/>
      <c r="AJ170" s="22">
        <f t="shared" ref="AJ170:AJ177" ca="1" si="176">P170+R170+T170+V170+X170+Z170+AB170+AD170+AF170+AH170</f>
        <v>0</v>
      </c>
      <c r="AL170" s="35" t="str">
        <f t="shared" ca="1" si="158"/>
        <v/>
      </c>
      <c r="AM170" s="107"/>
    </row>
    <row r="171" spans="2:64" ht="13" x14ac:dyDescent="0.3">
      <c r="B171" s="28">
        <f t="shared" ref="B171:B176" si="177">B170+1</f>
        <v>105</v>
      </c>
      <c r="D171" s="99" t="s">
        <v>157</v>
      </c>
      <c r="F171" s="113">
        <f ca="1">Function!V171</f>
        <v>0</v>
      </c>
      <c r="H171" s="200"/>
      <c r="J171" s="91"/>
      <c r="K171" s="91">
        <f>_xlfn.IFNA(MATCH(J171,'Dist Factors'!$B$15:$B$431,0),0)</f>
        <v>0</v>
      </c>
      <c r="L171" s="113">
        <f t="shared" ca="1" si="175"/>
        <v>0</v>
      </c>
      <c r="O171" s="186">
        <f>_xlfn.IFNA(MATCH(N171,'Dist Factors'!$B$15:$B$431,0),0)</f>
        <v>0</v>
      </c>
      <c r="P171" s="22">
        <f ca="1">OFFSET('Dist Factors'!$B$15,$O171-1,P$14)*$L171+OFFSET('Dist Factors'!$B$15,$K171-1,P$14)*$H171</f>
        <v>0</v>
      </c>
      <c r="Q171" s="24"/>
      <c r="R171" s="22">
        <f ca="1">OFFSET('Dist Factors'!$B$15,$O171-1,R$14)*$L171+OFFSET('Dist Factors'!$B$15,$K171-1,R$14)*$H171</f>
        <v>0</v>
      </c>
      <c r="S171" s="22"/>
      <c r="T171" s="22">
        <f ca="1">OFFSET('Dist Factors'!$B$15,$O171-1,T$14)*$L171+OFFSET('Dist Factors'!$B$15,$K171-1,T$14)*$H171</f>
        <v>0</v>
      </c>
      <c r="U171" s="22"/>
      <c r="V171" s="22">
        <f ca="1">OFFSET('Dist Factors'!$B$15,$O171-1,V$14)*$L171+OFFSET('Dist Factors'!$B$15,$K171-1,V$14)*$H171</f>
        <v>0</v>
      </c>
      <c r="W171" s="9"/>
      <c r="X171" s="22">
        <f ca="1">OFFSET('Dist Factors'!$B$15,$O171-1,X$14)*$L171+OFFSET('Dist Factors'!$B$15,$K171-1,X$14)*$H171</f>
        <v>0</v>
      </c>
      <c r="Y171" s="9"/>
      <c r="Z171" s="22">
        <f ca="1">OFFSET('Dist Factors'!$B$15,$O171-1,Z$14)*$L171+OFFSET('Dist Factors'!$B$15,$K171-1,Z$14)*$H171</f>
        <v>0</v>
      </c>
      <c r="AA171" s="22"/>
      <c r="AB171" s="22">
        <f ca="1">OFFSET('Dist Factors'!$B$15,$O171-1,AB$14)*$L171+OFFSET('Dist Factors'!$B$15,$K171-1,AB$14)*$H171</f>
        <v>0</v>
      </c>
      <c r="AC171" s="9"/>
      <c r="AD171" s="22">
        <f ca="1">OFFSET('Dist Factors'!$B$15,$O171-1,AD$14)*$L171+OFFSET('Dist Factors'!$B$15,$K171-1,AD$14)*$H171</f>
        <v>0</v>
      </c>
      <c r="AE171" s="9"/>
      <c r="AF171" s="22">
        <f ca="1">OFFSET('Dist Factors'!$B$15,$O171-1,AF$14)*$L171+OFFSET('Dist Factors'!$B$15,$K171-1,AF$14)*$H171</f>
        <v>0</v>
      </c>
      <c r="AG171" s="9"/>
      <c r="AH171" s="22">
        <f ca="1">OFFSET('Dist Factors'!$B$15,$O171-1,AH$14)*$L171+OFFSET('Dist Factors'!$B$15,$K171-1,AH$14)*$H171</f>
        <v>0</v>
      </c>
      <c r="AI171" s="9"/>
      <c r="AJ171" s="22">
        <f t="shared" ca="1" si="176"/>
        <v>0</v>
      </c>
      <c r="AL171" s="35" t="str">
        <f t="shared" ca="1" si="158"/>
        <v/>
      </c>
      <c r="AM171" s="107"/>
    </row>
    <row r="172" spans="2:64" ht="13" x14ac:dyDescent="0.3">
      <c r="B172" s="28">
        <f t="shared" si="177"/>
        <v>106</v>
      </c>
      <c r="D172" s="99" t="s">
        <v>133</v>
      </c>
      <c r="F172" s="113">
        <f ca="1">Function!V172</f>
        <v>0</v>
      </c>
      <c r="H172" s="200"/>
      <c r="J172" s="91"/>
      <c r="K172" s="91">
        <f>_xlfn.IFNA(MATCH(J172,'Dist Factors'!$B$15:$B$431,0),0)</f>
        <v>0</v>
      </c>
      <c r="L172" s="113">
        <f t="shared" ca="1" si="175"/>
        <v>0</v>
      </c>
      <c r="O172" s="186">
        <f>_xlfn.IFNA(MATCH(N172,'Dist Factors'!$B$15:$B$431,0),0)</f>
        <v>0</v>
      </c>
      <c r="P172" s="22">
        <f ca="1">OFFSET('Dist Factors'!$B$15,$O172-1,P$14)*$L172+OFFSET('Dist Factors'!$B$15,$K172-1,P$14)*$H172</f>
        <v>0</v>
      </c>
      <c r="Q172" s="24"/>
      <c r="R172" s="22">
        <f ca="1">OFFSET('Dist Factors'!$B$15,$O172-1,R$14)*$L172+OFFSET('Dist Factors'!$B$15,$K172-1,R$14)*$H172</f>
        <v>0</v>
      </c>
      <c r="S172" s="22"/>
      <c r="T172" s="22">
        <f ca="1">OFFSET('Dist Factors'!$B$15,$O172-1,T$14)*$L172+OFFSET('Dist Factors'!$B$15,$K172-1,T$14)*$H172</f>
        <v>0</v>
      </c>
      <c r="U172" s="22"/>
      <c r="V172" s="22">
        <f ca="1">OFFSET('Dist Factors'!$B$15,$O172-1,V$14)*$L172+OFFSET('Dist Factors'!$B$15,$K172-1,V$14)*$H172</f>
        <v>0</v>
      </c>
      <c r="W172" s="9"/>
      <c r="X172" s="22">
        <f ca="1">OFFSET('Dist Factors'!$B$15,$O172-1,X$14)*$L172+OFFSET('Dist Factors'!$B$15,$K172-1,X$14)*$H172</f>
        <v>0</v>
      </c>
      <c r="Y172" s="9"/>
      <c r="Z172" s="22">
        <f ca="1">OFFSET('Dist Factors'!$B$15,$O172-1,Z$14)*$L172+OFFSET('Dist Factors'!$B$15,$K172-1,Z$14)*$H172</f>
        <v>0</v>
      </c>
      <c r="AA172" s="22"/>
      <c r="AB172" s="22">
        <f ca="1">OFFSET('Dist Factors'!$B$15,$O172-1,AB$14)*$L172+OFFSET('Dist Factors'!$B$15,$K172-1,AB$14)*$H172</f>
        <v>0</v>
      </c>
      <c r="AC172" s="9"/>
      <c r="AD172" s="22">
        <f ca="1">OFFSET('Dist Factors'!$B$15,$O172-1,AD$14)*$L172+OFFSET('Dist Factors'!$B$15,$K172-1,AD$14)*$H172</f>
        <v>0</v>
      </c>
      <c r="AE172" s="9"/>
      <c r="AF172" s="22">
        <f ca="1">OFFSET('Dist Factors'!$B$15,$O172-1,AF$14)*$L172+OFFSET('Dist Factors'!$B$15,$K172-1,AF$14)*$H172</f>
        <v>0</v>
      </c>
      <c r="AG172" s="9"/>
      <c r="AH172" s="22">
        <f ca="1">OFFSET('Dist Factors'!$B$15,$O172-1,AH$14)*$L172+OFFSET('Dist Factors'!$B$15,$K172-1,AH$14)*$H172</f>
        <v>0</v>
      </c>
      <c r="AI172" s="9"/>
      <c r="AJ172" s="22">
        <f t="shared" ca="1" si="176"/>
        <v>0</v>
      </c>
      <c r="AL172" s="35" t="str">
        <f t="shared" ca="1" si="158"/>
        <v/>
      </c>
      <c r="AM172" s="107"/>
    </row>
    <row r="173" spans="2:64" ht="13" x14ac:dyDescent="0.3">
      <c r="B173" s="28">
        <f t="shared" si="177"/>
        <v>107</v>
      </c>
      <c r="D173" s="99" t="s">
        <v>148</v>
      </c>
      <c r="F173" s="113">
        <f ca="1">Function!V173</f>
        <v>26870.623617239937</v>
      </c>
      <c r="H173" s="200"/>
      <c r="J173" s="91"/>
      <c r="K173" s="91">
        <f>_xlfn.IFNA(MATCH(J173,'Dist Factors'!$B$15:$B$431,0),0)</f>
        <v>0</v>
      </c>
      <c r="L173" s="113">
        <f t="shared" ca="1" si="175"/>
        <v>26870.623617239937</v>
      </c>
      <c r="N173" s="70" t="s">
        <v>207</v>
      </c>
      <c r="O173" s="186">
        <f>_xlfn.IFNA(MATCH(N173,'Dist Factors'!$B$15:$B$431,0),0)</f>
        <v>11</v>
      </c>
      <c r="P173" s="22">
        <f ca="1">OFFSET('Dist Factors'!$B$15,$O173-1,P$14)*$L173+OFFSET('Dist Factors'!$B$15,$K173-1,P$14)*$H173</f>
        <v>0</v>
      </c>
      <c r="Q173" s="24"/>
      <c r="R173" s="22">
        <f ca="1">OFFSET('Dist Factors'!$B$15,$O173-1,R$14)*$L173+OFFSET('Dist Factors'!$B$15,$K173-1,R$14)*$H173</f>
        <v>0</v>
      </c>
      <c r="S173" s="22"/>
      <c r="T173" s="22">
        <f ca="1">OFFSET('Dist Factors'!$B$15,$O173-1,T$14)*$L173+OFFSET('Dist Factors'!$B$15,$K173-1,T$14)*$H173</f>
        <v>0</v>
      </c>
      <c r="U173" s="22"/>
      <c r="V173" s="22">
        <f ca="1">OFFSET('Dist Factors'!$B$15,$O173-1,V$14)*$L173+OFFSET('Dist Factors'!$B$15,$K173-1,V$14)*$H173</f>
        <v>0</v>
      </c>
      <c r="W173" s="9"/>
      <c r="X173" s="22">
        <f ca="1">OFFSET('Dist Factors'!$B$15,$O173-1,X$14)*$L173+OFFSET('Dist Factors'!$B$15,$K173-1,X$14)*$H173</f>
        <v>0</v>
      </c>
      <c r="Y173" s="9"/>
      <c r="Z173" s="22">
        <f ca="1">OFFSET('Dist Factors'!$B$15,$O173-1,Z$14)*$L173+OFFSET('Dist Factors'!$B$15,$K173-1,Z$14)*$H173</f>
        <v>0</v>
      </c>
      <c r="AA173" s="22"/>
      <c r="AB173" s="22">
        <f ca="1">OFFSET('Dist Factors'!$B$15,$O173-1,AB$14)*$L173+OFFSET('Dist Factors'!$B$15,$K173-1,AB$14)*$H173</f>
        <v>0</v>
      </c>
      <c r="AC173" s="9"/>
      <c r="AD173" s="22">
        <f ca="1">OFFSET('Dist Factors'!$B$15,$O173-1,AD$14)*$L173+OFFSET('Dist Factors'!$B$15,$K173-1,AD$14)*$H173</f>
        <v>0</v>
      </c>
      <c r="AE173" s="9"/>
      <c r="AF173" s="22">
        <f ca="1">OFFSET('Dist Factors'!$B$15,$O173-1,AF$14)*$L173+OFFSET('Dist Factors'!$B$15,$K173-1,AF$14)*$H173</f>
        <v>26870.623617239937</v>
      </c>
      <c r="AG173" s="9"/>
      <c r="AH173" s="22">
        <f ca="1">OFFSET('Dist Factors'!$B$15,$O173-1,AH$14)*$L173+OFFSET('Dist Factors'!$B$15,$K173-1,AH$14)*$H173</f>
        <v>0</v>
      </c>
      <c r="AI173" s="9"/>
      <c r="AJ173" s="22">
        <f t="shared" ca="1" si="176"/>
        <v>26870.623617239937</v>
      </c>
      <c r="AL173" s="35" t="str">
        <f ca="1">IF(ROUND(F173,4)=ROUND(AJ173,4), "", "check")</f>
        <v/>
      </c>
      <c r="AM173" s="107"/>
    </row>
    <row r="174" spans="2:64" ht="13" x14ac:dyDescent="0.3">
      <c r="B174" s="28">
        <f t="shared" si="177"/>
        <v>108</v>
      </c>
      <c r="D174" s="99" t="s">
        <v>149</v>
      </c>
      <c r="F174" s="113">
        <f ca="1">Function!V174</f>
        <v>14283.139384300001</v>
      </c>
      <c r="H174" s="200"/>
      <c r="J174" s="91"/>
      <c r="K174" s="91">
        <f>_xlfn.IFNA(MATCH(J174,'Dist Factors'!$B$15:$B$431,0),0)</f>
        <v>0</v>
      </c>
      <c r="L174" s="113">
        <f t="shared" ca="1" si="175"/>
        <v>14283.139384300001</v>
      </c>
      <c r="N174" s="70" t="s">
        <v>207</v>
      </c>
      <c r="O174" s="186">
        <f>_xlfn.IFNA(MATCH(N174,'Dist Factors'!$B$15:$B$431,0),0)</f>
        <v>11</v>
      </c>
      <c r="P174" s="22">
        <f ca="1">OFFSET('Dist Factors'!$B$15,$O174-1,P$14)*$L174+OFFSET('Dist Factors'!$B$15,$K174-1,P$14)*$H174</f>
        <v>0</v>
      </c>
      <c r="Q174" s="24"/>
      <c r="R174" s="22">
        <f ca="1">OFFSET('Dist Factors'!$B$15,$O174-1,R$14)*$L174+OFFSET('Dist Factors'!$B$15,$K174-1,R$14)*$H174</f>
        <v>0</v>
      </c>
      <c r="S174" s="22"/>
      <c r="T174" s="22">
        <f ca="1">OFFSET('Dist Factors'!$B$15,$O174-1,T$14)*$L174+OFFSET('Dist Factors'!$B$15,$K174-1,T$14)*$H174</f>
        <v>0</v>
      </c>
      <c r="U174" s="22"/>
      <c r="V174" s="22">
        <f ca="1">OFFSET('Dist Factors'!$B$15,$O174-1,V$14)*$L174+OFFSET('Dist Factors'!$B$15,$K174-1,V$14)*$H174</f>
        <v>0</v>
      </c>
      <c r="W174" s="9"/>
      <c r="X174" s="22">
        <f ca="1">OFFSET('Dist Factors'!$B$15,$O174-1,X$14)*$L174+OFFSET('Dist Factors'!$B$15,$K174-1,X$14)*$H174</f>
        <v>0</v>
      </c>
      <c r="Y174" s="9"/>
      <c r="Z174" s="22">
        <f ca="1">OFFSET('Dist Factors'!$B$15,$O174-1,Z$14)*$L174+OFFSET('Dist Factors'!$B$15,$K174-1,Z$14)*$H174</f>
        <v>0</v>
      </c>
      <c r="AA174" s="22"/>
      <c r="AB174" s="22">
        <f ca="1">OFFSET('Dist Factors'!$B$15,$O174-1,AB$14)*$L174+OFFSET('Dist Factors'!$B$15,$K174-1,AB$14)*$H174</f>
        <v>0</v>
      </c>
      <c r="AC174" s="9"/>
      <c r="AD174" s="22">
        <f ca="1">OFFSET('Dist Factors'!$B$15,$O174-1,AD$14)*$L174+OFFSET('Dist Factors'!$B$15,$K174-1,AD$14)*$H174</f>
        <v>0</v>
      </c>
      <c r="AE174" s="9"/>
      <c r="AF174" s="22">
        <f ca="1">OFFSET('Dist Factors'!$B$15,$O174-1,AF$14)*$L174+OFFSET('Dist Factors'!$B$15,$K174-1,AF$14)*$H174</f>
        <v>14283.139384300001</v>
      </c>
      <c r="AG174" s="9"/>
      <c r="AH174" s="22">
        <f ca="1">OFFSET('Dist Factors'!$B$15,$O174-1,AH$14)*$L174+OFFSET('Dist Factors'!$B$15,$K174-1,AH$14)*$H174</f>
        <v>0</v>
      </c>
      <c r="AI174" s="9"/>
      <c r="AJ174" s="22">
        <f t="shared" ca="1" si="176"/>
        <v>14283.139384300001</v>
      </c>
      <c r="AL174" s="35" t="str">
        <f t="shared" ca="1" si="158"/>
        <v/>
      </c>
      <c r="AM174" s="107"/>
    </row>
    <row r="175" spans="2:64" ht="13" x14ac:dyDescent="0.3">
      <c r="B175" s="28">
        <f t="shared" si="177"/>
        <v>109</v>
      </c>
      <c r="D175" s="99" t="s">
        <v>150</v>
      </c>
      <c r="F175" s="113">
        <f ca="1">Function!V175</f>
        <v>17761.652743977927</v>
      </c>
      <c r="H175" s="200"/>
      <c r="J175" s="91"/>
      <c r="K175" s="91">
        <f>_xlfn.IFNA(MATCH(J175,'Dist Factors'!$B$15:$B$431,0),0)</f>
        <v>0</v>
      </c>
      <c r="L175" s="113">
        <f t="shared" ca="1" si="175"/>
        <v>17761.652743977927</v>
      </c>
      <c r="N175" s="70" t="s">
        <v>207</v>
      </c>
      <c r="O175" s="186">
        <f>_xlfn.IFNA(MATCH(N175,'Dist Factors'!$B$15:$B$431,0),0)</f>
        <v>11</v>
      </c>
      <c r="P175" s="22">
        <f ca="1">OFFSET('Dist Factors'!$B$15,$O175-1,P$14)*$L175+OFFSET('Dist Factors'!$B$15,$K175-1,P$14)*$H175</f>
        <v>0</v>
      </c>
      <c r="Q175" s="24"/>
      <c r="R175" s="22">
        <f ca="1">OFFSET('Dist Factors'!$B$15,$O175-1,R$14)*$L175+OFFSET('Dist Factors'!$B$15,$K175-1,R$14)*$H175</f>
        <v>0</v>
      </c>
      <c r="S175" s="22"/>
      <c r="T175" s="22">
        <f ca="1">OFFSET('Dist Factors'!$B$15,$O175-1,T$14)*$L175+OFFSET('Dist Factors'!$B$15,$K175-1,T$14)*$H175</f>
        <v>0</v>
      </c>
      <c r="U175" s="22"/>
      <c r="V175" s="22">
        <f ca="1">OFFSET('Dist Factors'!$B$15,$O175-1,V$14)*$L175+OFFSET('Dist Factors'!$B$15,$K175-1,V$14)*$H175</f>
        <v>0</v>
      </c>
      <c r="W175" s="9"/>
      <c r="X175" s="22">
        <f ca="1">OFFSET('Dist Factors'!$B$15,$O175-1,X$14)*$L175+OFFSET('Dist Factors'!$B$15,$K175-1,X$14)*$H175</f>
        <v>0</v>
      </c>
      <c r="Y175" s="9"/>
      <c r="Z175" s="22">
        <f ca="1">OFFSET('Dist Factors'!$B$15,$O175-1,Z$14)*$L175+OFFSET('Dist Factors'!$B$15,$K175-1,Z$14)*$H175</f>
        <v>0</v>
      </c>
      <c r="AA175" s="22"/>
      <c r="AB175" s="22">
        <f ca="1">OFFSET('Dist Factors'!$B$15,$O175-1,AB$14)*$L175+OFFSET('Dist Factors'!$B$15,$K175-1,AB$14)*$H175</f>
        <v>0</v>
      </c>
      <c r="AC175" s="9"/>
      <c r="AD175" s="22">
        <f ca="1">OFFSET('Dist Factors'!$B$15,$O175-1,AD$14)*$L175+OFFSET('Dist Factors'!$B$15,$K175-1,AD$14)*$H175</f>
        <v>0</v>
      </c>
      <c r="AE175" s="9"/>
      <c r="AF175" s="22">
        <f ca="1">OFFSET('Dist Factors'!$B$15,$O175-1,AF$14)*$L175+OFFSET('Dist Factors'!$B$15,$K175-1,AF$14)*$H175</f>
        <v>17761.652743977927</v>
      </c>
      <c r="AG175" s="9"/>
      <c r="AH175" s="22">
        <f ca="1">OFFSET('Dist Factors'!$B$15,$O175-1,AH$14)*$L175+OFFSET('Dist Factors'!$B$15,$K175-1,AH$14)*$H175</f>
        <v>0</v>
      </c>
      <c r="AI175" s="9"/>
      <c r="AJ175" s="22">
        <f t="shared" ca="1" si="176"/>
        <v>17761.652743977927</v>
      </c>
      <c r="AL175" s="35" t="str">
        <f t="shared" ca="1" si="158"/>
        <v/>
      </c>
      <c r="AM175" s="107"/>
    </row>
    <row r="176" spans="2:64" ht="13" x14ac:dyDescent="0.3">
      <c r="B176" s="28">
        <f t="shared" si="177"/>
        <v>110</v>
      </c>
      <c r="D176" s="99" t="s">
        <v>465</v>
      </c>
      <c r="F176" s="113">
        <f ca="1">Function!V176</f>
        <v>6017.1693334783249</v>
      </c>
      <c r="H176" s="200">
        <v>3019.5891666666666</v>
      </c>
      <c r="J176" s="94" t="s">
        <v>273</v>
      </c>
      <c r="K176" s="91">
        <f>_xlfn.IFNA(MATCH(J176,'Dist Factors'!$B$15:$B$431,0),0)</f>
        <v>14</v>
      </c>
      <c r="L176" s="113">
        <f t="shared" ca="1" si="175"/>
        <v>2997.5801668116583</v>
      </c>
      <c r="N176" s="28" t="s">
        <v>280</v>
      </c>
      <c r="O176" s="186">
        <f>_xlfn.IFNA(MATCH(N176,'Dist Factors'!$B$15:$B$431,0),0)</f>
        <v>2</v>
      </c>
      <c r="P176" s="22">
        <f ca="1">OFFSET('Dist Factors'!$B$15,$O176-1,P$14)*$L176+OFFSET('Dist Factors'!$B$15,$K176-1,P$14)*$H176</f>
        <v>0</v>
      </c>
      <c r="Q176" s="24"/>
      <c r="R176" s="22">
        <f ca="1">OFFSET('Dist Factors'!$B$15,$O176-1,R$14)*$L176+OFFSET('Dist Factors'!$B$15,$K176-1,R$14)*$H176</f>
        <v>0</v>
      </c>
      <c r="S176" s="22"/>
      <c r="T176" s="22">
        <f ca="1">OFFSET('Dist Factors'!$B$15,$O176-1,T$14)*$L176+OFFSET('Dist Factors'!$B$15,$K176-1,T$14)*$H176</f>
        <v>848.26291139099851</v>
      </c>
      <c r="U176" s="22"/>
      <c r="V176" s="22">
        <f ca="1">OFFSET('Dist Factors'!$B$15,$O176-1,V$14)*$L176+OFFSET('Dist Factors'!$B$15,$K176-1,V$14)*$H176</f>
        <v>0</v>
      </c>
      <c r="W176" s="9"/>
      <c r="X176" s="22">
        <f ca="1">OFFSET('Dist Factors'!$B$15,$O176-1,X$14)*$L176+OFFSET('Dist Factors'!$B$15,$K176-1,X$14)*$H176</f>
        <v>601.79686258749189</v>
      </c>
      <c r="Y176" s="9"/>
      <c r="Z176" s="22">
        <f ca="1">OFFSET('Dist Factors'!$B$15,$O176-1,Z$14)*$L176+OFFSET('Dist Factors'!$B$15,$K176-1,Z$14)*$H176</f>
        <v>953.08983430920466</v>
      </c>
      <c r="AA176" s="22"/>
      <c r="AB176" s="22">
        <f ca="1">OFFSET('Dist Factors'!$B$15,$O176-1,AB$14)*$L176+OFFSET('Dist Factors'!$B$15,$K176-1,AB$14)*$H176</f>
        <v>505.40931093048738</v>
      </c>
      <c r="AC176" s="9"/>
      <c r="AD176" s="22">
        <f ca="1">OFFSET('Dist Factors'!$B$15,$O176-1,AD$14)*$L176+OFFSET('Dist Factors'!$B$15,$K176-1,AD$14)*$H176</f>
        <v>3108.6104142601425</v>
      </c>
      <c r="AE176" s="9"/>
      <c r="AF176" s="22">
        <f ca="1">OFFSET('Dist Factors'!$B$15,$O176-1,AF$14)*$L176+OFFSET('Dist Factors'!$B$15,$K176-1,AF$14)*$H176</f>
        <v>0</v>
      </c>
      <c r="AG176" s="9"/>
      <c r="AH176" s="22">
        <f ca="1">OFFSET('Dist Factors'!$B$15,$O176-1,AH$14)*$L176+OFFSET('Dist Factors'!$B$15,$K176-1,AH$14)*$H176</f>
        <v>0</v>
      </c>
      <c r="AI176" s="9"/>
      <c r="AJ176" s="22">
        <f t="shared" ca="1" si="176"/>
        <v>6017.1693334783249</v>
      </c>
      <c r="AL176" s="35" t="str">
        <f t="shared" ca="1" si="158"/>
        <v/>
      </c>
      <c r="AM176" s="107"/>
    </row>
    <row r="177" spans="2:39" ht="13" x14ac:dyDescent="0.3">
      <c r="B177" s="28"/>
      <c r="Z177" s="99"/>
      <c r="AB177" s="99"/>
      <c r="AD177" s="99"/>
      <c r="AE177" s="9"/>
      <c r="AF177" s="99"/>
      <c r="AG177" s="9"/>
      <c r="AH177" s="99"/>
      <c r="AJ177" s="99">
        <f t="shared" si="176"/>
        <v>0</v>
      </c>
      <c r="AL177" s="35" t="str">
        <f t="shared" si="158"/>
        <v/>
      </c>
      <c r="AM177" s="107"/>
    </row>
    <row r="178" spans="2:39" ht="13" x14ac:dyDescent="0.3">
      <c r="B178" s="28">
        <f>B176+1</f>
        <v>111</v>
      </c>
      <c r="D178" s="99" t="s">
        <v>484</v>
      </c>
      <c r="F178" s="79">
        <f ca="1">SUM(F170:F176)</f>
        <v>64932.585078996191</v>
      </c>
      <c r="H178" s="79">
        <f>SUM(H170:H176)</f>
        <v>3019.5891666666666</v>
      </c>
      <c r="J178" s="91"/>
      <c r="L178" s="79">
        <f ca="1">SUM(L170:L176)</f>
        <v>61912.995912329527</v>
      </c>
      <c r="P178" s="10">
        <f ca="1">SUM(P170:P176)</f>
        <v>0</v>
      </c>
      <c r="Q178" s="24"/>
      <c r="R178" s="10">
        <f ca="1">SUM(R170:R176)</f>
        <v>0</v>
      </c>
      <c r="S178" s="22"/>
      <c r="T178" s="10">
        <f ca="1">SUM(T170:T176)</f>
        <v>848.26291139099851</v>
      </c>
      <c r="U178" s="22"/>
      <c r="V178" s="10">
        <f ca="1">SUM(V170:V176)</f>
        <v>0</v>
      </c>
      <c r="X178" s="10">
        <f ca="1">SUM(X170:X176)</f>
        <v>601.79686258749189</v>
      </c>
      <c r="Z178" s="10">
        <f ca="1">SUM(Z170:Z176)</f>
        <v>953.08983430920466</v>
      </c>
      <c r="AB178" s="10">
        <f ca="1">SUM(AB170:AB176)</f>
        <v>505.40931093048738</v>
      </c>
      <c r="AD178" s="10">
        <f ca="1">SUM(AD170:AD176)</f>
        <v>3108.6104142601425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35" t="str">
        <f t="shared" ca="1" si="158"/>
        <v/>
      </c>
      <c r="AM178" s="107"/>
    </row>
    <row r="179" spans="2:39" ht="13" x14ac:dyDescent="0.3">
      <c r="B179" s="28"/>
      <c r="Q179" s="24"/>
      <c r="S179" s="22"/>
      <c r="U179" s="22"/>
      <c r="Z179" s="99"/>
      <c r="AB179" s="99"/>
      <c r="AD179" s="99"/>
      <c r="AF179" s="99"/>
      <c r="AH179" s="99"/>
      <c r="AJ179" s="99"/>
      <c r="AL179" s="35" t="str">
        <f t="shared" si="158"/>
        <v/>
      </c>
      <c r="AM179" s="107"/>
    </row>
    <row r="180" spans="2:39" ht="13.5" thickBot="1" x14ac:dyDescent="0.35">
      <c r="B180" s="28">
        <f>B178+1</f>
        <v>112</v>
      </c>
      <c r="D180" s="99" t="s">
        <v>172</v>
      </c>
      <c r="F180" s="207">
        <f ca="1">F164-F178</f>
        <v>2505089.3645171691</v>
      </c>
      <c r="H180" s="207">
        <f>H164-H178</f>
        <v>2544.3061849923615</v>
      </c>
      <c r="L180" s="207">
        <f ca="1">L164-L178</f>
        <v>2502545.0583321769</v>
      </c>
      <c r="P180" s="60">
        <f ca="1">P164-P178</f>
        <v>270544.32129128964</v>
      </c>
      <c r="Q180" s="24"/>
      <c r="R180" s="60">
        <f ca="1">R164-R178</f>
        <v>49653.563421865147</v>
      </c>
      <c r="S180" s="22"/>
      <c r="T180" s="60">
        <f ca="1">T164-T178</f>
        <v>504952.03069765016</v>
      </c>
      <c r="U180" s="22"/>
      <c r="V180" s="60">
        <f ca="1">V164-V178</f>
        <v>209769.63233311317</v>
      </c>
      <c r="X180" s="60">
        <f ca="1">X164-X178</f>
        <v>358236.27763321943</v>
      </c>
      <c r="Z180" s="60">
        <f ca="1">Z164-Z178</f>
        <v>567353.16469575732</v>
      </c>
      <c r="AB180" s="60">
        <f ca="1">AB164-AB178</f>
        <v>300858.91350519547</v>
      </c>
      <c r="AD180" s="60">
        <f ca="1">AD164-AD178</f>
        <v>49972.77810994997</v>
      </c>
      <c r="AF180" s="60">
        <f ca="1">AF164-AF178</f>
        <v>164442.34843238239</v>
      </c>
      <c r="AH180" s="60">
        <f ca="1">AH164-AH178</f>
        <v>29306.334396746555</v>
      </c>
      <c r="AJ180" s="60">
        <f ca="1">AJ164-AJ178</f>
        <v>2505089.3645171691</v>
      </c>
      <c r="AL180" s="35" t="str">
        <f t="shared" ca="1" si="158"/>
        <v/>
      </c>
      <c r="AM180" s="107"/>
    </row>
    <row r="181" spans="2:39" ht="13" thickTop="1" x14ac:dyDescent="0.25">
      <c r="D181" s="99" t="s">
        <v>487</v>
      </c>
    </row>
    <row r="182" spans="2:39" x14ac:dyDescent="0.25">
      <c r="V182" s="8"/>
    </row>
  </sheetData>
  <mergeCells count="5">
    <mergeCell ref="B5:AJ5"/>
    <mergeCell ref="B6:AJ6"/>
    <mergeCell ref="B7:AJ7"/>
    <mergeCell ref="P9:V9"/>
    <mergeCell ref="X9:AF9"/>
  </mergeCells>
  <phoneticPr fontId="13" type="noConversion"/>
  <pageMargins left="0.7" right="0.7" top="0.75" bottom="0.75" header="0.3" footer="0.3"/>
  <pageSetup scale="55" fitToHeight="4" orientation="landscape" r:id="rId1"/>
  <headerFooter>
    <oddHeader xml:space="preserve">&amp;R&amp;"Arial,Regular"&amp;10Filed: 2023-03-08
EB-2022-0200
Exhibit I.7.1-IGUA-72
Attachment 1
</oddHeader>
  </headerFooter>
  <customProperties>
    <customPr name="EpmWorksheetKeyString_GUID" r:id="rId2"/>
  </customProperties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07.01.12.72</Int_x002f_Exhibit_x002f_Tab>
    <Witnesses xmlns="0f3dc55c-bcca-45e2-bb95-d6030d9207f1">
      <Value>Amy Mikhaila</Value>
    </Witnesses>
    <_dlc_DocId xmlns="bc9be6ef-036f-4d38-ab45-2a4da0c93cb0">C6U45NHNYSXQ-1954422155-3665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Rates</Value>
    </Area>
    <Exhibit xmlns="0f3dc55c-bcca-45e2-bb95-d6030d9207f1">7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https://enbridge.sharepoint.com/teams/EB-2022-02002024Rebasing/_layouts/15/DocIdRedir.aspx?ID=C6U45NHNYSXQ-1954422155-3665</Url>
      <Description>C6U45NHNYSXQ-1954422155-3665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2C5F4A35-62AD-460D-BDE5-E092299A059A}"/>
</file>

<file path=customXml/itemProps2.xml><?xml version="1.0" encoding="utf-8"?>
<ds:datastoreItem xmlns:ds="http://schemas.openxmlformats.org/officeDocument/2006/customXml" ds:itemID="{99ECB752-421E-428E-8275-C5DC8A9158E6}"/>
</file>

<file path=customXml/itemProps3.xml><?xml version="1.0" encoding="utf-8"?>
<ds:datastoreItem xmlns:ds="http://schemas.openxmlformats.org/officeDocument/2006/customXml" ds:itemID="{399F9004-EF39-4FD6-8D1B-F97B76036FD9}"/>
</file>

<file path=customXml/itemProps4.xml><?xml version="1.0" encoding="utf-8"?>
<ds:datastoreItem xmlns:ds="http://schemas.openxmlformats.org/officeDocument/2006/customXml" ds:itemID="{62176069-E786-480E-B83D-C7216E3EC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</vt:lpstr>
      <vt:lpstr>Dist Cust Factors</vt:lpstr>
      <vt:lpstr>Total ALLOCATION</vt:lpstr>
      <vt:lpstr>Allocation Factors</vt:lpstr>
      <vt:lpstr>Dist ALLOCATION</vt:lpstr>
      <vt:lpstr>Gas Cost ALLOCATION</vt:lpstr>
      <vt:lpstr>'Allocation Factors'!Print_Area</vt:lpstr>
      <vt:lpstr>'Dist ALLOCATION'!Print_Area</vt:lpstr>
      <vt:lpstr>'Dist Cust Class'!Print_Area</vt:lpstr>
      <vt:lpstr>'Dist Factors'!Print_Area</vt:lpstr>
      <vt:lpstr>'Distribution Class'!Print_Area</vt:lpstr>
      <vt:lpstr>Function!Print_Area</vt:lpstr>
      <vt:lpstr>'Function Factors'!Print_Area</vt:lpstr>
      <vt:lpstr>'Gas Cost ALLOCATION'!Print_Area</vt:lpstr>
      <vt:lpstr>'Gas Supply Class'!Print_Area</vt:lpstr>
      <vt:lpstr>'Gas Supply Factors'!Print_Area</vt:lpstr>
      <vt:lpstr>'Stor Factors'!Print_Area</vt:lpstr>
      <vt:lpstr>'Storage Class'!Print_Area</vt:lpstr>
      <vt:lpstr>'Total ALLOCATION'!Print_Area</vt:lpstr>
      <vt:lpstr>'Trans Factors'!Print_Area</vt:lpstr>
      <vt:lpstr>'Transmission Class'!Print_Area</vt:lpstr>
      <vt:lpstr>Function!Print_Titles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2023-03-08T21:43:09Z</dcterms:created>
  <dcterms:modified xsi:type="dcterms:W3CDTF">2023-03-08T21:43:24Z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2023-03-08T21:43:24Z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d715e2d9-9528-472c-8b86-3a9d99bc4e4e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Exhibit I.7.1-IGUA-72 Attachment 1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Jennifer.Heard@enbridge.com</vt:lpwstr>
  </property>
  <property fmtid="{D5CDD505-2E9C-101B-9397-08002B2CF9AE}" pid="12" name="_dlc_DocIdItemGuid">
    <vt:lpwstr>4db7172d-7e82-40c9-bf9e-04caf28cd5c7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Jennifer Heard</vt:lpwstr>
  </property>
  <property fmtid="{D5CDD505-2E9C-101B-9397-08002B2CF9AE}" pid="16" name="_AdHocReviewCycleID">
    <vt:i4>1691938500</vt:i4>
  </property>
</Properties>
</file>