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34" documentId="8_{3399E349-75E2-42F1-9A75-8FE1077799F4}" xr6:coauthVersionLast="47" xr6:coauthVersionMax="47" xr10:uidLastSave="{85458851-D9D0-46EE-8AF0-A35B159670E1}"/>
  <bookViews>
    <workbookView xWindow="-28920" yWindow="-120" windowWidth="29040" windowHeight="15840" tabRatio="740" firstSheet="4" activeTab="5" xr2:uid="{5317FB8B-8F5F-44A2-A1A2-1FB50717F67C}"/>
  </bookViews>
  <sheets>
    <sheet name="443.02" sheetId="13" r:id="rId1"/>
    <sheet name="452.00" sheetId="15" r:id="rId2"/>
    <sheet name="453.00" sheetId="1" r:id="rId3"/>
    <sheet name="455.00" sheetId="2" r:id="rId4"/>
    <sheet name="456.00" sheetId="3" r:id="rId5"/>
    <sheet name="457.00" sheetId="4" r:id="rId6"/>
    <sheet name="462.00" sheetId="16" r:id="rId7"/>
    <sheet name="463.00" sheetId="17" r:id="rId8"/>
    <sheet name="464.00" sheetId="18" r:id="rId9"/>
    <sheet name="465.00" sheetId="19" r:id="rId10"/>
    <sheet name="466.00" sheetId="20" r:id="rId11"/>
    <sheet name="467.00" sheetId="21" r:id="rId12"/>
    <sheet name="472.00" sheetId="5" r:id="rId13"/>
    <sheet name="473.00" sheetId="6" state="hidden" r:id="rId14"/>
    <sheet name="473.01" sheetId="24" r:id="rId15"/>
    <sheet name="473.02" sheetId="23" r:id="rId16"/>
    <sheet name="475.21" sheetId="7" r:id="rId17"/>
    <sheet name="475.30" sheetId="8" r:id="rId18"/>
    <sheet name="477.00" sheetId="9" r:id="rId19"/>
    <sheet name="478.00" sheetId="10" r:id="rId20"/>
    <sheet name="482.00" sheetId="22" r:id="rId21"/>
    <sheet name="484.00" sheetId="11" r:id="rId22"/>
    <sheet name="485.00" sheetId="12" r:id="rId2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'443.02'!$A$1:$N$18</definedName>
    <definedName name="_xlnm.Print_Area" localSheetId="1">'452.00'!$A$1:$N$17</definedName>
    <definedName name="_xlnm.Print_Area" localSheetId="2">'453.00'!$A$1:$N$34</definedName>
    <definedName name="_xlnm.Print_Area" localSheetId="3">'455.00'!$A$1:$N$32</definedName>
    <definedName name="_xlnm.Print_Area" localSheetId="4">'456.00'!$A$1:$N$35</definedName>
    <definedName name="_xlnm.Print_Area" localSheetId="5">'457.00'!$A$1:$N$33</definedName>
    <definedName name="_xlnm.Print_Area" localSheetId="6">'462.00'!$A$1:$N$17</definedName>
    <definedName name="_xlnm.Print_Area" localSheetId="7">'463.00'!$A$1:$N$18</definedName>
    <definedName name="_xlnm.Print_Area" localSheetId="8">'464.00'!$A$1:$N$16</definedName>
    <definedName name="_xlnm.Print_Area" localSheetId="9">'465.00'!$A$1:$N$18</definedName>
    <definedName name="_xlnm.Print_Area" localSheetId="10">'466.00'!$A$1:$N$18</definedName>
    <definedName name="_xlnm.Print_Area" localSheetId="11">'467.00'!$A$1:$N$18</definedName>
    <definedName name="_xlnm.Print_Area" localSheetId="12">'472.00'!$A$1:$N$45</definedName>
    <definedName name="_xlnm.Print_Area" localSheetId="13">'473.00'!$A$1:$N$44</definedName>
    <definedName name="_xlnm.Print_Area" localSheetId="14">'473.01'!$A$1:$N$45</definedName>
    <definedName name="_xlnm.Print_Area" localSheetId="15">'473.02'!$A$1:$N$18</definedName>
    <definedName name="_xlnm.Print_Area" localSheetId="16">'475.21'!$A$1:$N$18</definedName>
    <definedName name="_xlnm.Print_Area" localSheetId="17">'475.30'!$A$1:$N$18</definedName>
    <definedName name="_xlnm.Print_Area" localSheetId="18">'477.00'!$A$1:$N$45</definedName>
    <definedName name="_xlnm.Print_Area" localSheetId="19">'478.00'!$A$1:$N$45</definedName>
    <definedName name="_xlnm.Print_Area" localSheetId="20">'482.00'!$A$1:$N$17</definedName>
    <definedName name="_xlnm.Print_Area" localSheetId="21">'484.00'!$A$1:$N$45</definedName>
    <definedName name="_xlnm.Print_Area" localSheetId="22">'485.00'!$A$1:$N$45</definedName>
    <definedName name="_xlnm.Print_Titles" localSheetId="2">'453.00'!$1:$4</definedName>
    <definedName name="_xlnm.Print_Titles" localSheetId="4">'456.00'!$1:$4</definedName>
    <definedName name="_xlnm.Print_Titles" localSheetId="12">'472.00'!$1:$4</definedName>
    <definedName name="_xlnm.Print_Titles" localSheetId="13">'473.00'!$1:$4</definedName>
    <definedName name="_xlnm.Print_Titles" localSheetId="14">'473.01'!$1:$4</definedName>
    <definedName name="_xlnm.Print_Titles" localSheetId="15">'473.02'!$1:$4</definedName>
    <definedName name="_xlnm.Print_Titles" localSheetId="18">'477.00'!$1:$4</definedName>
    <definedName name="_xlnm.Print_Titles" localSheetId="19">'478.00'!$1:$4</definedName>
    <definedName name="_xlnm.Print_Titles" localSheetId="21">'484.00'!$1:$4</definedName>
    <definedName name="_xlnm.Print_Titles" localSheetId="22">'485.00'!$1:$4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0" l="1"/>
  <c r="H7" i="20"/>
  <c r="H8" i="20"/>
  <c r="H9" i="20"/>
  <c r="H5" i="20"/>
  <c r="M16" i="13" l="1"/>
  <c r="N16" i="13" s="1"/>
  <c r="L16" i="13"/>
  <c r="K16" i="13"/>
  <c r="J16" i="13"/>
  <c r="I16" i="13"/>
  <c r="H9" i="13"/>
  <c r="L15" i="13"/>
  <c r="L14" i="13"/>
  <c r="K10" i="13"/>
  <c r="L10" i="13" s="1"/>
  <c r="K11" i="13"/>
  <c r="L11" i="13" s="1"/>
  <c r="K12" i="13"/>
  <c r="L12" i="13" s="1"/>
  <c r="K13" i="13"/>
  <c r="L13" i="13" s="1"/>
  <c r="K14" i="13"/>
  <c r="K15" i="13"/>
  <c r="K9" i="13"/>
  <c r="L9" i="13" s="1"/>
  <c r="J8" i="13"/>
  <c r="J11" i="13"/>
  <c r="J12" i="13"/>
  <c r="J13" i="13"/>
  <c r="J14" i="13"/>
  <c r="J15" i="13"/>
  <c r="J7" i="13"/>
  <c r="I8" i="13"/>
  <c r="I9" i="13"/>
  <c r="J9" i="13" s="1"/>
  <c r="I10" i="13"/>
  <c r="J10" i="13" s="1"/>
  <c r="I11" i="13"/>
  <c r="I12" i="13"/>
  <c r="I13" i="13"/>
  <c r="I14" i="13"/>
  <c r="I15" i="13"/>
  <c r="I7" i="13"/>
  <c r="M6" i="13"/>
  <c r="M7" i="13"/>
  <c r="M8" i="13"/>
  <c r="M9" i="13"/>
  <c r="N9" i="13" s="1"/>
  <c r="M10" i="13"/>
  <c r="N10" i="13" s="1"/>
  <c r="M11" i="13"/>
  <c r="N11" i="13" s="1"/>
  <c r="M12" i="13"/>
  <c r="N12" i="13" s="1"/>
  <c r="M13" i="13"/>
  <c r="N13" i="13" s="1"/>
  <c r="M14" i="13"/>
  <c r="N14" i="13" s="1"/>
  <c r="M15" i="13"/>
  <c r="N15" i="13" s="1"/>
  <c r="M43" i="5"/>
  <c r="N43" i="5" s="1"/>
  <c r="K43" i="5"/>
  <c r="L43" i="5" s="1"/>
  <c r="I43" i="5"/>
  <c r="J43" i="5" s="1"/>
  <c r="H43" i="5"/>
  <c r="M15" i="22"/>
  <c r="N15" i="22" s="1"/>
  <c r="K15" i="22"/>
  <c r="L15" i="22" s="1"/>
  <c r="I15" i="22"/>
  <c r="J15" i="22" s="1"/>
  <c r="H15" i="22"/>
  <c r="M43" i="12"/>
  <c r="N43" i="12" s="1"/>
  <c r="K43" i="12"/>
  <c r="L43" i="12" s="1"/>
  <c r="I43" i="12"/>
  <c r="J43" i="12" s="1"/>
  <c r="H43" i="12"/>
  <c r="M43" i="11"/>
  <c r="N43" i="11" s="1"/>
  <c r="K43" i="11"/>
  <c r="L43" i="11" s="1"/>
  <c r="I43" i="11"/>
  <c r="J43" i="11" s="1"/>
  <c r="H43" i="11"/>
  <c r="M43" i="10"/>
  <c r="N43" i="10" s="1"/>
  <c r="K43" i="10"/>
  <c r="L43" i="10" s="1"/>
  <c r="I43" i="10"/>
  <c r="J43" i="10" s="1"/>
  <c r="H43" i="10"/>
  <c r="M43" i="9" l="1"/>
  <c r="N43" i="9" s="1"/>
  <c r="K43" i="9"/>
  <c r="L43" i="9" s="1"/>
  <c r="I43" i="9"/>
  <c r="J43" i="9" s="1"/>
  <c r="H43" i="9"/>
  <c r="N5" i="8"/>
  <c r="M5" i="8"/>
  <c r="M5" i="7"/>
  <c r="N5" i="7" s="1"/>
  <c r="L5" i="7"/>
  <c r="K5" i="7"/>
  <c r="J5" i="7"/>
  <c r="I5" i="7"/>
  <c r="H5" i="7"/>
  <c r="M16" i="8"/>
  <c r="N16" i="8" s="1"/>
  <c r="K16" i="8"/>
  <c r="L16" i="8" s="1"/>
  <c r="I16" i="8"/>
  <c r="J16" i="8" s="1"/>
  <c r="H16" i="8"/>
  <c r="H16" i="7"/>
  <c r="H16" i="23"/>
  <c r="H43" i="24"/>
  <c r="F42" i="24"/>
  <c r="M43" i="24"/>
  <c r="N43" i="24" s="1"/>
  <c r="K43" i="24"/>
  <c r="I43" i="24"/>
  <c r="M16" i="21"/>
  <c r="N16" i="21" s="1"/>
  <c r="K16" i="21"/>
  <c r="L16" i="21" s="1"/>
  <c r="I16" i="21"/>
  <c r="J16" i="21" s="1"/>
  <c r="M16" i="20"/>
  <c r="N16" i="20" s="1"/>
  <c r="K16" i="20"/>
  <c r="L16" i="20" s="1"/>
  <c r="J16" i="20"/>
  <c r="I16" i="20"/>
  <c r="M15" i="16"/>
  <c r="N15" i="16" s="1"/>
  <c r="K15" i="16"/>
  <c r="L15" i="16" s="1"/>
  <c r="J15" i="16"/>
  <c r="I15" i="16"/>
  <c r="M16" i="17"/>
  <c r="N16" i="17" s="1"/>
  <c r="K16" i="17"/>
  <c r="L16" i="17" s="1"/>
  <c r="I16" i="17"/>
  <c r="J16" i="17" s="1"/>
  <c r="M14" i="18"/>
  <c r="N14" i="18" s="1"/>
  <c r="L14" i="18"/>
  <c r="K14" i="18"/>
  <c r="J14" i="18"/>
  <c r="I14" i="18"/>
  <c r="M16" i="19"/>
  <c r="N16" i="19" s="1"/>
  <c r="K16" i="19"/>
  <c r="L16" i="19" s="1"/>
  <c r="I16" i="19"/>
  <c r="J16" i="19" s="1"/>
  <c r="M31" i="4"/>
  <c r="N31" i="4" s="1"/>
  <c r="K31" i="4"/>
  <c r="L31" i="4" s="1"/>
  <c r="I31" i="4"/>
  <c r="J31" i="4" s="1"/>
  <c r="H31" i="4"/>
  <c r="M33" i="3"/>
  <c r="N33" i="3" s="1"/>
  <c r="K33" i="3"/>
  <c r="L33" i="3" s="1"/>
  <c r="I33" i="3"/>
  <c r="J33" i="3" s="1"/>
  <c r="H33" i="3"/>
  <c r="N30" i="2"/>
  <c r="M30" i="2"/>
  <c r="L30" i="2"/>
  <c r="K30" i="2"/>
  <c r="I30" i="2"/>
  <c r="J30" i="2" s="1"/>
  <c r="H27" i="2"/>
  <c r="H30" i="2"/>
  <c r="M32" i="1"/>
  <c r="N32" i="1" s="1"/>
  <c r="K32" i="1"/>
  <c r="L32" i="1" s="1"/>
  <c r="I32" i="1"/>
  <c r="J32" i="1" s="1"/>
  <c r="H32" i="1"/>
  <c r="M15" i="15"/>
  <c r="N15" i="15" s="1"/>
  <c r="K15" i="15"/>
  <c r="L15" i="15" s="1"/>
  <c r="I15" i="15"/>
  <c r="J15" i="15" s="1"/>
  <c r="H14" i="15"/>
  <c r="H15" i="15"/>
  <c r="E45" i="24"/>
  <c r="C45" i="24"/>
  <c r="G42" i="24"/>
  <c r="G41" i="24"/>
  <c r="H41" i="24" s="1"/>
  <c r="F41" i="24"/>
  <c r="D41" i="24"/>
  <c r="G40" i="24"/>
  <c r="H40" i="24" s="1"/>
  <c r="F40" i="24"/>
  <c r="G39" i="24"/>
  <c r="H39" i="24" s="1"/>
  <c r="F39" i="24"/>
  <c r="D39" i="24"/>
  <c r="I38" i="24"/>
  <c r="J38" i="24" s="1"/>
  <c r="G38" i="24"/>
  <c r="H38" i="24" s="1"/>
  <c r="G37" i="24"/>
  <c r="I39" i="24" s="1"/>
  <c r="F37" i="24"/>
  <c r="D37" i="24"/>
  <c r="G36" i="24"/>
  <c r="F36" i="24"/>
  <c r="D36" i="24"/>
  <c r="I35" i="24"/>
  <c r="G35" i="24"/>
  <c r="K39" i="24" s="1"/>
  <c r="F35" i="24"/>
  <c r="D35" i="24"/>
  <c r="G34" i="24"/>
  <c r="H34" i="24" s="1"/>
  <c r="F34" i="24"/>
  <c r="D34" i="24"/>
  <c r="G33" i="24"/>
  <c r="G32" i="24"/>
  <c r="D32" i="24"/>
  <c r="F32" i="24"/>
  <c r="G31" i="24"/>
  <c r="I33" i="24" s="1"/>
  <c r="F31" i="24"/>
  <c r="D31" i="24"/>
  <c r="G30" i="24"/>
  <c r="H30" i="24" s="1"/>
  <c r="F30" i="24"/>
  <c r="D30" i="24"/>
  <c r="G29" i="24"/>
  <c r="K33" i="24" s="1"/>
  <c r="L33" i="24" s="1"/>
  <c r="F29" i="24"/>
  <c r="D29" i="24"/>
  <c r="H28" i="24"/>
  <c r="G28" i="24"/>
  <c r="F28" i="24"/>
  <c r="D28" i="24"/>
  <c r="H27" i="24"/>
  <c r="G27" i="24"/>
  <c r="F27" i="24"/>
  <c r="D27" i="24"/>
  <c r="G26" i="24"/>
  <c r="K30" i="24" s="1"/>
  <c r="L30" i="24" s="1"/>
  <c r="F26" i="24"/>
  <c r="D26" i="24"/>
  <c r="G25" i="24"/>
  <c r="F25" i="24"/>
  <c r="D25" i="24"/>
  <c r="G24" i="24"/>
  <c r="I26" i="24" s="1"/>
  <c r="J26" i="24" s="1"/>
  <c r="F24" i="24"/>
  <c r="D24" i="24"/>
  <c r="H23" i="24"/>
  <c r="G23" i="24"/>
  <c r="F23" i="24"/>
  <c r="D23" i="24"/>
  <c r="G22" i="24"/>
  <c r="K26" i="24" s="1"/>
  <c r="L26" i="24" s="1"/>
  <c r="F22" i="24"/>
  <c r="D22" i="24"/>
  <c r="G21" i="24"/>
  <c r="F21" i="24"/>
  <c r="D21" i="24"/>
  <c r="G20" i="24"/>
  <c r="I22" i="24" s="1"/>
  <c r="J22" i="24" s="1"/>
  <c r="F20" i="24"/>
  <c r="D20" i="24"/>
  <c r="G19" i="24"/>
  <c r="K23" i="24" s="1"/>
  <c r="L23" i="24" s="1"/>
  <c r="F19" i="24"/>
  <c r="D19" i="24"/>
  <c r="G18" i="24"/>
  <c r="F18" i="24"/>
  <c r="D18" i="24"/>
  <c r="G17" i="24"/>
  <c r="F17" i="24"/>
  <c r="D17" i="24"/>
  <c r="G16" i="24"/>
  <c r="I18" i="24" s="1"/>
  <c r="J18" i="24" s="1"/>
  <c r="F16" i="24"/>
  <c r="D16" i="24"/>
  <c r="H15" i="24"/>
  <c r="G15" i="24"/>
  <c r="F15" i="24"/>
  <c r="D15" i="24"/>
  <c r="G14" i="24"/>
  <c r="F14" i="24"/>
  <c r="D14" i="24"/>
  <c r="G13" i="24"/>
  <c r="F13" i="24"/>
  <c r="D13" i="24"/>
  <c r="I12" i="24"/>
  <c r="J12" i="24" s="1"/>
  <c r="G12" i="24"/>
  <c r="I14" i="24" s="1"/>
  <c r="J14" i="24" s="1"/>
  <c r="F12" i="24"/>
  <c r="D12" i="24"/>
  <c r="G11" i="24"/>
  <c r="H11" i="24" s="1"/>
  <c r="F11" i="24"/>
  <c r="D11" i="24"/>
  <c r="G10" i="24"/>
  <c r="F10" i="24"/>
  <c r="D10" i="24"/>
  <c r="G9" i="24"/>
  <c r="I11" i="24" s="1"/>
  <c r="J11" i="24" s="1"/>
  <c r="F9" i="24"/>
  <c r="D9" i="24"/>
  <c r="G8" i="24"/>
  <c r="F8" i="24"/>
  <c r="D8" i="24"/>
  <c r="G7" i="24"/>
  <c r="F7" i="24"/>
  <c r="D7" i="24"/>
  <c r="G6" i="24"/>
  <c r="F6" i="24"/>
  <c r="D6" i="24"/>
  <c r="G5" i="24"/>
  <c r="H5" i="24" s="1"/>
  <c r="F5" i="24"/>
  <c r="D5" i="24"/>
  <c r="E18" i="23"/>
  <c r="C18" i="23"/>
  <c r="G15" i="23"/>
  <c r="H15" i="23" s="1"/>
  <c r="F15" i="23"/>
  <c r="D15" i="23"/>
  <c r="G14" i="23"/>
  <c r="H14" i="23" s="1"/>
  <c r="F14" i="23"/>
  <c r="D14" i="23"/>
  <c r="G13" i="23"/>
  <c r="H13" i="23" s="1"/>
  <c r="G12" i="23"/>
  <c r="H12" i="23" s="1"/>
  <c r="F12" i="23"/>
  <c r="D12" i="23"/>
  <c r="G11" i="23"/>
  <c r="H11" i="23" s="1"/>
  <c r="G10" i="23"/>
  <c r="H10" i="23" s="1"/>
  <c r="F10" i="23"/>
  <c r="D10" i="23"/>
  <c r="G9" i="23"/>
  <c r="F9" i="23"/>
  <c r="D9" i="23"/>
  <c r="G8" i="23"/>
  <c r="K12" i="23" s="1"/>
  <c r="F8" i="23"/>
  <c r="D8" i="23"/>
  <c r="G7" i="23"/>
  <c r="F7" i="23"/>
  <c r="D7" i="23"/>
  <c r="G6" i="23"/>
  <c r="M15" i="23" s="1"/>
  <c r="G5" i="23"/>
  <c r="I6" i="23" s="1"/>
  <c r="F5" i="23"/>
  <c r="D5" i="23"/>
  <c r="I16" i="23" l="1"/>
  <c r="J16" i="23" s="1"/>
  <c r="K16" i="23"/>
  <c r="L16" i="23" s="1"/>
  <c r="M16" i="23"/>
  <c r="N16" i="23" s="1"/>
  <c r="K11" i="23"/>
  <c r="I14" i="23"/>
  <c r="K6" i="23"/>
  <c r="L6" i="23" s="1"/>
  <c r="H7" i="23"/>
  <c r="I9" i="23"/>
  <c r="J9" i="23" s="1"/>
  <c r="K13" i="23"/>
  <c r="M9" i="23"/>
  <c r="I7" i="23"/>
  <c r="K10" i="23"/>
  <c r="H8" i="23"/>
  <c r="I8" i="23"/>
  <c r="J8" i="23" s="1"/>
  <c r="I11" i="23"/>
  <c r="J11" i="23" s="1"/>
  <c r="J43" i="24"/>
  <c r="D42" i="24"/>
  <c r="L43" i="24"/>
  <c r="H20" i="24"/>
  <c r="H24" i="24"/>
  <c r="I28" i="24"/>
  <c r="J28" i="24" s="1"/>
  <c r="M14" i="24"/>
  <c r="K18" i="24"/>
  <c r="L18" i="24" s="1"/>
  <c r="I24" i="24"/>
  <c r="J24" i="24" s="1"/>
  <c r="I41" i="24"/>
  <c r="M42" i="24"/>
  <c r="N42" i="24" s="1"/>
  <c r="K22" i="24"/>
  <c r="L22" i="24" s="1"/>
  <c r="H16" i="24"/>
  <c r="I20" i="24"/>
  <c r="J20" i="24" s="1"/>
  <c r="M5" i="24"/>
  <c r="N5" i="24" s="1"/>
  <c r="K14" i="24"/>
  <c r="L14" i="24" s="1"/>
  <c r="H12" i="24"/>
  <c r="I16" i="24"/>
  <c r="J16" i="24" s="1"/>
  <c r="H31" i="24"/>
  <c r="I36" i="24"/>
  <c r="J36" i="24" s="1"/>
  <c r="I10" i="24"/>
  <c r="J10" i="24" s="1"/>
  <c r="H19" i="24"/>
  <c r="I23" i="24"/>
  <c r="J23" i="24" s="1"/>
  <c r="I27" i="24"/>
  <c r="J27" i="24" s="1"/>
  <c r="I42" i="24"/>
  <c r="J42" i="24" s="1"/>
  <c r="I19" i="24"/>
  <c r="J19" i="24" s="1"/>
  <c r="I34" i="24"/>
  <c r="J34" i="24" s="1"/>
  <c r="K40" i="24"/>
  <c r="K10" i="24"/>
  <c r="L10" i="24" s="1"/>
  <c r="I15" i="24"/>
  <c r="J15" i="24" s="1"/>
  <c r="I30" i="24"/>
  <c r="J30" i="24" s="1"/>
  <c r="K37" i="24"/>
  <c r="L37" i="24" s="1"/>
  <c r="H35" i="24"/>
  <c r="K15" i="24"/>
  <c r="L15" i="24" s="1"/>
  <c r="K19" i="24"/>
  <c r="L19" i="24" s="1"/>
  <c r="M26" i="24"/>
  <c r="N26" i="24" s="1"/>
  <c r="K27" i="24"/>
  <c r="L27" i="24" s="1"/>
  <c r="M30" i="24"/>
  <c r="K31" i="24"/>
  <c r="L31" i="24" s="1"/>
  <c r="H32" i="24"/>
  <c r="D33" i="24"/>
  <c r="M33" i="24"/>
  <c r="N33" i="24" s="1"/>
  <c r="K34" i="24"/>
  <c r="M37" i="24"/>
  <c r="L40" i="24"/>
  <c r="J41" i="24"/>
  <c r="B45" i="24"/>
  <c r="D45" i="24" s="1"/>
  <c r="H7" i="24"/>
  <c r="H8" i="24"/>
  <c r="H9" i="24"/>
  <c r="H13" i="24"/>
  <c r="N14" i="24"/>
  <c r="H17" i="24"/>
  <c r="H21" i="24"/>
  <c r="H25" i="24"/>
  <c r="H29" i="24"/>
  <c r="N30" i="24"/>
  <c r="I32" i="24"/>
  <c r="J32" i="24" s="1"/>
  <c r="F33" i="24"/>
  <c r="L34" i="24"/>
  <c r="J35" i="24"/>
  <c r="H36" i="24"/>
  <c r="N37" i="24"/>
  <c r="K38" i="24"/>
  <c r="L38" i="24" s="1"/>
  <c r="D40" i="24"/>
  <c r="M40" i="24"/>
  <c r="K41" i="24"/>
  <c r="H42" i="24"/>
  <c r="M10" i="24"/>
  <c r="N10" i="24" s="1"/>
  <c r="M18" i="24"/>
  <c r="N18" i="24" s="1"/>
  <c r="M22" i="24"/>
  <c r="N22" i="24" s="1"/>
  <c r="I7" i="24"/>
  <c r="J7" i="24" s="1"/>
  <c r="I13" i="24"/>
  <c r="J13" i="24" s="1"/>
  <c r="M15" i="24"/>
  <c r="K24" i="24"/>
  <c r="L24" i="24" s="1"/>
  <c r="M34" i="24"/>
  <c r="H6" i="24"/>
  <c r="H10" i="24"/>
  <c r="H14" i="24"/>
  <c r="N15" i="24"/>
  <c r="H18" i="24"/>
  <c r="H22" i="24"/>
  <c r="H26" i="24"/>
  <c r="K32" i="24"/>
  <c r="H33" i="24"/>
  <c r="N34" i="24"/>
  <c r="H37" i="24"/>
  <c r="D38" i="24"/>
  <c r="M38" i="24"/>
  <c r="J39" i="24"/>
  <c r="M41" i="24"/>
  <c r="N41" i="24" s="1"/>
  <c r="K11" i="24"/>
  <c r="L11" i="24" s="1"/>
  <c r="I8" i="24"/>
  <c r="J8" i="24" s="1"/>
  <c r="K12" i="24"/>
  <c r="L12" i="24" s="1"/>
  <c r="I17" i="24"/>
  <c r="J17" i="24" s="1"/>
  <c r="K20" i="24"/>
  <c r="L20" i="24" s="1"/>
  <c r="I25" i="24"/>
  <c r="J25" i="24" s="1"/>
  <c r="M27" i="24"/>
  <c r="N27" i="24" s="1"/>
  <c r="I29" i="24"/>
  <c r="J29" i="24" s="1"/>
  <c r="M31" i="24"/>
  <c r="N31" i="24" s="1"/>
  <c r="M6" i="24"/>
  <c r="M7" i="24"/>
  <c r="M8" i="24"/>
  <c r="N8" i="24" s="1"/>
  <c r="K9" i="24"/>
  <c r="L9" i="24" s="1"/>
  <c r="M12" i="24"/>
  <c r="K13" i="24"/>
  <c r="L13" i="24" s="1"/>
  <c r="M16" i="24"/>
  <c r="K17" i="24"/>
  <c r="L17" i="24" s="1"/>
  <c r="M20" i="24"/>
  <c r="N20" i="24" s="1"/>
  <c r="K21" i="24"/>
  <c r="L21" i="24" s="1"/>
  <c r="M24" i="24"/>
  <c r="N24" i="24" s="1"/>
  <c r="K25" i="24"/>
  <c r="L25" i="24" s="1"/>
  <c r="M28" i="24"/>
  <c r="K29" i="24"/>
  <c r="L29" i="24" s="1"/>
  <c r="L32" i="24"/>
  <c r="M35" i="24"/>
  <c r="N35" i="24" s="1"/>
  <c r="K36" i="24"/>
  <c r="L36" i="24" s="1"/>
  <c r="I37" i="24"/>
  <c r="J37" i="24" s="1"/>
  <c r="F38" i="24"/>
  <c r="N38" i="24"/>
  <c r="K42" i="24"/>
  <c r="I9" i="24"/>
  <c r="J9" i="24" s="1"/>
  <c r="M11" i="24"/>
  <c r="N11" i="24" s="1"/>
  <c r="K16" i="24"/>
  <c r="L16" i="24" s="1"/>
  <c r="M19" i="24"/>
  <c r="N19" i="24" s="1"/>
  <c r="I21" i="24"/>
  <c r="J21" i="24" s="1"/>
  <c r="M23" i="24"/>
  <c r="N23" i="24" s="1"/>
  <c r="K28" i="24"/>
  <c r="L28" i="24" s="1"/>
  <c r="K35" i="24"/>
  <c r="L35" i="24" s="1"/>
  <c r="N40" i="24"/>
  <c r="L41" i="24"/>
  <c r="N6" i="24"/>
  <c r="N7" i="24"/>
  <c r="N12" i="24"/>
  <c r="N16" i="24"/>
  <c r="N28" i="24"/>
  <c r="M32" i="24"/>
  <c r="N32" i="24" s="1"/>
  <c r="J33" i="24"/>
  <c r="L39" i="24"/>
  <c r="I40" i="24"/>
  <c r="J40" i="24" s="1"/>
  <c r="L42" i="24"/>
  <c r="G45" i="24"/>
  <c r="M9" i="24"/>
  <c r="N9" i="24" s="1"/>
  <c r="M13" i="24"/>
  <c r="N13" i="24" s="1"/>
  <c r="M17" i="24"/>
  <c r="N17" i="24" s="1"/>
  <c r="M21" i="24"/>
  <c r="N21" i="24" s="1"/>
  <c r="M25" i="24"/>
  <c r="N25" i="24" s="1"/>
  <c r="M29" i="24"/>
  <c r="N29" i="24" s="1"/>
  <c r="I31" i="24"/>
  <c r="J31" i="24" s="1"/>
  <c r="M36" i="24"/>
  <c r="N36" i="24" s="1"/>
  <c r="M39" i="24"/>
  <c r="N39" i="24" s="1"/>
  <c r="H5" i="23"/>
  <c r="D6" i="23"/>
  <c r="M6" i="23"/>
  <c r="N6" i="23" s="1"/>
  <c r="K7" i="23"/>
  <c r="L7" i="23" s="1"/>
  <c r="M10" i="23"/>
  <c r="N10" i="23" s="1"/>
  <c r="L13" i="23"/>
  <c r="J14" i="23"/>
  <c r="B18" i="23"/>
  <c r="D18" i="23" s="1"/>
  <c r="H9" i="23"/>
  <c r="D13" i="23"/>
  <c r="M13" i="23"/>
  <c r="N13" i="23" s="1"/>
  <c r="K14" i="23"/>
  <c r="L14" i="23" s="1"/>
  <c r="L10" i="23"/>
  <c r="N15" i="23"/>
  <c r="M7" i="23"/>
  <c r="K8" i="23"/>
  <c r="L8" i="23" s="1"/>
  <c r="L11" i="23"/>
  <c r="I12" i="23"/>
  <c r="J12" i="23" s="1"/>
  <c r="F13" i="23"/>
  <c r="I15" i="23"/>
  <c r="J15" i="23" s="1"/>
  <c r="I5" i="23"/>
  <c r="J5" i="23" s="1"/>
  <c r="K5" i="23"/>
  <c r="L5" i="23" s="1"/>
  <c r="H6" i="23"/>
  <c r="N7" i="23"/>
  <c r="D11" i="23"/>
  <c r="M11" i="23"/>
  <c r="N11" i="23" s="1"/>
  <c r="M14" i="23"/>
  <c r="N14" i="23" s="1"/>
  <c r="J7" i="23"/>
  <c r="N9" i="23"/>
  <c r="F6" i="23"/>
  <c r="M8" i="23"/>
  <c r="N8" i="23" s="1"/>
  <c r="K9" i="23"/>
  <c r="L9" i="23" s="1"/>
  <c r="I10" i="23"/>
  <c r="J10" i="23" s="1"/>
  <c r="F11" i="23"/>
  <c r="K15" i="23"/>
  <c r="L15" i="23" s="1"/>
  <c r="M5" i="23"/>
  <c r="N5" i="23" s="1"/>
  <c r="J6" i="23"/>
  <c r="L12" i="23"/>
  <c r="I13" i="23"/>
  <c r="J13" i="23" s="1"/>
  <c r="G18" i="23"/>
  <c r="M12" i="23"/>
  <c r="N12" i="23" s="1"/>
  <c r="H18" i="23" l="1"/>
  <c r="H45" i="24"/>
  <c r="F45" i="24"/>
  <c r="F18" i="23"/>
  <c r="G26" i="1" l="1"/>
  <c r="G42" i="12" l="1"/>
  <c r="G41" i="12"/>
  <c r="B41" i="12"/>
  <c r="B40" i="12"/>
  <c r="B39" i="12"/>
  <c r="G42" i="11"/>
  <c r="G41" i="11"/>
  <c r="G40" i="11"/>
  <c r="G39" i="11"/>
  <c r="G38" i="11"/>
  <c r="G37" i="11"/>
  <c r="G36" i="11"/>
  <c r="G35" i="11"/>
  <c r="G34" i="11"/>
  <c r="G33" i="11"/>
  <c r="G32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5" i="11"/>
  <c r="E17" i="22"/>
  <c r="C17" i="22"/>
  <c r="B17" i="22"/>
  <c r="K14" i="22"/>
  <c r="L14" i="22" s="1"/>
  <c r="I14" i="22"/>
  <c r="J14" i="22" s="1"/>
  <c r="H14" i="22"/>
  <c r="F14" i="22"/>
  <c r="D14" i="22"/>
  <c r="K13" i="22"/>
  <c r="L13" i="22" s="1"/>
  <c r="I13" i="22"/>
  <c r="J13" i="22" s="1"/>
  <c r="F13" i="22"/>
  <c r="D13" i="22"/>
  <c r="K12" i="22"/>
  <c r="L12" i="22" s="1"/>
  <c r="I12" i="22"/>
  <c r="J12" i="22" s="1"/>
  <c r="H12" i="22"/>
  <c r="F12" i="22"/>
  <c r="D12" i="22"/>
  <c r="K11" i="22"/>
  <c r="L11" i="22" s="1"/>
  <c r="I11" i="22"/>
  <c r="J11" i="22" s="1"/>
  <c r="H11" i="22"/>
  <c r="F11" i="22"/>
  <c r="D11" i="22"/>
  <c r="K10" i="22"/>
  <c r="L10" i="22" s="1"/>
  <c r="I10" i="22"/>
  <c r="J10" i="22" s="1"/>
  <c r="H10" i="22"/>
  <c r="F10" i="22"/>
  <c r="D10" i="22"/>
  <c r="K9" i="22"/>
  <c r="L9" i="22" s="1"/>
  <c r="I9" i="22"/>
  <c r="J9" i="22" s="1"/>
  <c r="H9" i="22"/>
  <c r="F9" i="22"/>
  <c r="D9" i="22"/>
  <c r="I8" i="22"/>
  <c r="J8" i="22" s="1"/>
  <c r="H8" i="22"/>
  <c r="F8" i="22"/>
  <c r="D8" i="22"/>
  <c r="I7" i="22"/>
  <c r="J7" i="22" s="1"/>
  <c r="H7" i="22"/>
  <c r="F7" i="22"/>
  <c r="D7" i="22"/>
  <c r="F6" i="22"/>
  <c r="D6" i="22"/>
  <c r="H5" i="22"/>
  <c r="F5" i="22"/>
  <c r="D5" i="22"/>
  <c r="G42" i="10"/>
  <c r="G41" i="10"/>
  <c r="G40" i="10"/>
  <c r="G39" i="10"/>
  <c r="G38" i="10"/>
  <c r="G37" i="10"/>
  <c r="G36" i="10"/>
  <c r="G35" i="10"/>
  <c r="G34" i="10"/>
  <c r="G33" i="10"/>
  <c r="G32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5" i="10"/>
  <c r="B41" i="10"/>
  <c r="B40" i="10"/>
  <c r="B39" i="10"/>
  <c r="G38" i="9"/>
  <c r="G37" i="9"/>
  <c r="G36" i="9"/>
  <c r="G35" i="9"/>
  <c r="G34" i="9"/>
  <c r="B41" i="9"/>
  <c r="B40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5" i="9"/>
  <c r="G15" i="8"/>
  <c r="G14" i="8"/>
  <c r="G13" i="8"/>
  <c r="G12" i="8"/>
  <c r="G11" i="8"/>
  <c r="G10" i="8"/>
  <c r="G9" i="8"/>
  <c r="G8" i="8"/>
  <c r="G7" i="8"/>
  <c r="G6" i="8"/>
  <c r="B14" i="8"/>
  <c r="B13" i="8"/>
  <c r="B12" i="8"/>
  <c r="G15" i="7"/>
  <c r="G14" i="7"/>
  <c r="I16" i="7" s="1"/>
  <c r="G13" i="7"/>
  <c r="I15" i="7" s="1"/>
  <c r="G12" i="7"/>
  <c r="G11" i="7"/>
  <c r="G10" i="7"/>
  <c r="G9" i="7"/>
  <c r="G8" i="7"/>
  <c r="G7" i="7"/>
  <c r="G6" i="7"/>
  <c r="B15" i="7"/>
  <c r="B14" i="7"/>
  <c r="B13" i="7"/>
  <c r="J15" i="7" s="1"/>
  <c r="B12" i="7"/>
  <c r="G42" i="6"/>
  <c r="G41" i="6"/>
  <c r="G40" i="6"/>
  <c r="G39" i="6"/>
  <c r="G38" i="6"/>
  <c r="G37" i="6"/>
  <c r="G36" i="6"/>
  <c r="G35" i="6"/>
  <c r="G34" i="6"/>
  <c r="G33" i="6"/>
  <c r="G32" i="6"/>
  <c r="B42" i="6"/>
  <c r="B40" i="6"/>
  <c r="B39" i="6"/>
  <c r="B38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5" i="6"/>
  <c r="G44" i="6" s="1"/>
  <c r="B32" i="6"/>
  <c r="B33" i="6"/>
  <c r="G37" i="5"/>
  <c r="G34" i="5"/>
  <c r="G33" i="5"/>
  <c r="G32" i="5"/>
  <c r="B40" i="5"/>
  <c r="B37" i="5"/>
  <c r="B35" i="5"/>
  <c r="E18" i="21"/>
  <c r="F18" i="21" s="1"/>
  <c r="C18" i="21"/>
  <c r="B18" i="21"/>
  <c r="K15" i="21"/>
  <c r="L15" i="21" s="1"/>
  <c r="I15" i="21"/>
  <c r="J15" i="21" s="1"/>
  <c r="H15" i="21"/>
  <c r="F15" i="21"/>
  <c r="D15" i="21"/>
  <c r="K14" i="21"/>
  <c r="L14" i="21" s="1"/>
  <c r="I14" i="21"/>
  <c r="J14" i="21" s="1"/>
  <c r="H14" i="21"/>
  <c r="F14" i="21"/>
  <c r="D14" i="21"/>
  <c r="K13" i="21"/>
  <c r="L13" i="21" s="1"/>
  <c r="I13" i="21"/>
  <c r="J13" i="21" s="1"/>
  <c r="H13" i="21"/>
  <c r="F13" i="21"/>
  <c r="D13" i="21"/>
  <c r="K12" i="21"/>
  <c r="L12" i="21" s="1"/>
  <c r="I12" i="21"/>
  <c r="J12" i="21" s="1"/>
  <c r="H12" i="21"/>
  <c r="F12" i="21"/>
  <c r="D12" i="21"/>
  <c r="K11" i="21"/>
  <c r="L11" i="21" s="1"/>
  <c r="I11" i="21"/>
  <c r="J11" i="21" s="1"/>
  <c r="H11" i="21"/>
  <c r="F11" i="21"/>
  <c r="D11" i="21"/>
  <c r="K10" i="21"/>
  <c r="L10" i="21" s="1"/>
  <c r="I10" i="21"/>
  <c r="J10" i="21" s="1"/>
  <c r="H10" i="21"/>
  <c r="F10" i="21"/>
  <c r="D10" i="21"/>
  <c r="K9" i="21"/>
  <c r="L9" i="21" s="1"/>
  <c r="I9" i="21"/>
  <c r="J9" i="21" s="1"/>
  <c r="H9" i="21"/>
  <c r="F9" i="21"/>
  <c r="D9" i="21"/>
  <c r="I8" i="21"/>
  <c r="J8" i="21" s="1"/>
  <c r="H8" i="21"/>
  <c r="F8" i="21"/>
  <c r="D8" i="21"/>
  <c r="I7" i="21"/>
  <c r="J7" i="21" s="1"/>
  <c r="H7" i="21"/>
  <c r="F7" i="21"/>
  <c r="D7" i="21"/>
  <c r="H6" i="21"/>
  <c r="F6" i="21"/>
  <c r="D6" i="21"/>
  <c r="H5" i="21"/>
  <c r="F5" i="21"/>
  <c r="D5" i="21"/>
  <c r="M15" i="21"/>
  <c r="N15" i="21" s="1"/>
  <c r="E18" i="20"/>
  <c r="C18" i="20"/>
  <c r="B18" i="20"/>
  <c r="K15" i="20"/>
  <c r="L15" i="20" s="1"/>
  <c r="I15" i="20"/>
  <c r="J15" i="20" s="1"/>
  <c r="F15" i="20"/>
  <c r="D15" i="20"/>
  <c r="K14" i="20"/>
  <c r="L14" i="20" s="1"/>
  <c r="I14" i="20"/>
  <c r="J14" i="20" s="1"/>
  <c r="F14" i="20"/>
  <c r="D14" i="20"/>
  <c r="K13" i="20"/>
  <c r="L13" i="20" s="1"/>
  <c r="I13" i="20"/>
  <c r="J13" i="20" s="1"/>
  <c r="H13" i="20"/>
  <c r="F13" i="20"/>
  <c r="D13" i="20"/>
  <c r="K12" i="20"/>
  <c r="L12" i="20" s="1"/>
  <c r="I12" i="20"/>
  <c r="J12" i="20" s="1"/>
  <c r="H12" i="20"/>
  <c r="F12" i="20"/>
  <c r="D12" i="20"/>
  <c r="K11" i="20"/>
  <c r="L11" i="20" s="1"/>
  <c r="I11" i="20"/>
  <c r="J11" i="20" s="1"/>
  <c r="H11" i="20"/>
  <c r="F11" i="20"/>
  <c r="D11" i="20"/>
  <c r="K10" i="20"/>
  <c r="L10" i="20" s="1"/>
  <c r="J10" i="20"/>
  <c r="I10" i="20"/>
  <c r="F10" i="20"/>
  <c r="D10" i="20"/>
  <c r="K9" i="20"/>
  <c r="L9" i="20" s="1"/>
  <c r="I9" i="20"/>
  <c r="J9" i="20" s="1"/>
  <c r="F9" i="20"/>
  <c r="D9" i="20"/>
  <c r="I8" i="20"/>
  <c r="J8" i="20" s="1"/>
  <c r="F8" i="20"/>
  <c r="D8" i="20"/>
  <c r="I7" i="20"/>
  <c r="J7" i="20" s="1"/>
  <c r="F7" i="20"/>
  <c r="D7" i="20"/>
  <c r="F6" i="20"/>
  <c r="D6" i="20"/>
  <c r="F5" i="20"/>
  <c r="D5" i="20"/>
  <c r="E18" i="19"/>
  <c r="C18" i="19"/>
  <c r="B18" i="19"/>
  <c r="K15" i="19"/>
  <c r="L15" i="19" s="1"/>
  <c r="I15" i="19"/>
  <c r="J15" i="19" s="1"/>
  <c r="H15" i="19"/>
  <c r="F15" i="19"/>
  <c r="D15" i="19"/>
  <c r="K14" i="19"/>
  <c r="L14" i="19" s="1"/>
  <c r="I14" i="19"/>
  <c r="J14" i="19" s="1"/>
  <c r="F14" i="19"/>
  <c r="D14" i="19"/>
  <c r="K13" i="19"/>
  <c r="L13" i="19" s="1"/>
  <c r="I13" i="19"/>
  <c r="J13" i="19" s="1"/>
  <c r="H13" i="19"/>
  <c r="F13" i="19"/>
  <c r="D13" i="19"/>
  <c r="K12" i="19"/>
  <c r="L12" i="19" s="1"/>
  <c r="I12" i="19"/>
  <c r="J12" i="19" s="1"/>
  <c r="H12" i="19"/>
  <c r="F12" i="19"/>
  <c r="D12" i="19"/>
  <c r="K11" i="19"/>
  <c r="L11" i="19" s="1"/>
  <c r="I11" i="19"/>
  <c r="J11" i="19" s="1"/>
  <c r="H11" i="19"/>
  <c r="F11" i="19"/>
  <c r="D11" i="19"/>
  <c r="K10" i="19"/>
  <c r="L10" i="19" s="1"/>
  <c r="I10" i="19"/>
  <c r="J10" i="19" s="1"/>
  <c r="H10" i="19"/>
  <c r="F10" i="19"/>
  <c r="D10" i="19"/>
  <c r="K9" i="19"/>
  <c r="L9" i="19" s="1"/>
  <c r="I9" i="19"/>
  <c r="J9" i="19" s="1"/>
  <c r="H9" i="19"/>
  <c r="F9" i="19"/>
  <c r="D9" i="19"/>
  <c r="I8" i="19"/>
  <c r="J8" i="19" s="1"/>
  <c r="H8" i="19"/>
  <c r="F8" i="19"/>
  <c r="D8" i="19"/>
  <c r="I7" i="19"/>
  <c r="J7" i="19" s="1"/>
  <c r="H7" i="19"/>
  <c r="F7" i="19"/>
  <c r="D7" i="19"/>
  <c r="H6" i="19"/>
  <c r="F6" i="19"/>
  <c r="D6" i="19"/>
  <c r="H5" i="19"/>
  <c r="F5" i="19"/>
  <c r="D5" i="19"/>
  <c r="E16" i="18"/>
  <c r="F16" i="18" s="1"/>
  <c r="C16" i="18"/>
  <c r="D16" i="18" s="1"/>
  <c r="B16" i="18"/>
  <c r="L13" i="18"/>
  <c r="K13" i="18"/>
  <c r="J13" i="18"/>
  <c r="I13" i="18"/>
  <c r="F13" i="18"/>
  <c r="D13" i="18"/>
  <c r="L12" i="18"/>
  <c r="K12" i="18"/>
  <c r="J12" i="18"/>
  <c r="I12" i="18"/>
  <c r="F12" i="18"/>
  <c r="D12" i="18"/>
  <c r="L11" i="18"/>
  <c r="K11" i="18"/>
  <c r="J11" i="18"/>
  <c r="I11" i="18"/>
  <c r="F11" i="18"/>
  <c r="D11" i="18"/>
  <c r="L10" i="18"/>
  <c r="K10" i="18"/>
  <c r="J10" i="18"/>
  <c r="I10" i="18"/>
  <c r="F10" i="18"/>
  <c r="D10" i="18"/>
  <c r="K9" i="18"/>
  <c r="L9" i="18" s="1"/>
  <c r="J9" i="18"/>
  <c r="I9" i="18"/>
  <c r="F9" i="18"/>
  <c r="D9" i="18"/>
  <c r="J8" i="18"/>
  <c r="I8" i="18"/>
  <c r="F8" i="18"/>
  <c r="D8" i="18"/>
  <c r="I7" i="18"/>
  <c r="J7" i="18" s="1"/>
  <c r="F7" i="18"/>
  <c r="D7" i="18"/>
  <c r="F6" i="18"/>
  <c r="D6" i="18"/>
  <c r="H5" i="18"/>
  <c r="F5" i="18"/>
  <c r="D5" i="18"/>
  <c r="E18" i="17"/>
  <c r="C18" i="17"/>
  <c r="B18" i="17"/>
  <c r="K15" i="17"/>
  <c r="L15" i="17" s="1"/>
  <c r="I15" i="17"/>
  <c r="J15" i="17" s="1"/>
  <c r="F15" i="17"/>
  <c r="D15" i="17"/>
  <c r="K14" i="17"/>
  <c r="L14" i="17" s="1"/>
  <c r="I14" i="17"/>
  <c r="J14" i="17" s="1"/>
  <c r="H14" i="17"/>
  <c r="F14" i="17"/>
  <c r="D14" i="17"/>
  <c r="K13" i="17"/>
  <c r="L13" i="17" s="1"/>
  <c r="I13" i="17"/>
  <c r="J13" i="17" s="1"/>
  <c r="H13" i="17"/>
  <c r="F13" i="17"/>
  <c r="D13" i="17"/>
  <c r="K12" i="17"/>
  <c r="L12" i="17" s="1"/>
  <c r="I12" i="17"/>
  <c r="J12" i="17" s="1"/>
  <c r="F12" i="17"/>
  <c r="D12" i="17"/>
  <c r="L11" i="17"/>
  <c r="K11" i="17"/>
  <c r="I11" i="17"/>
  <c r="J11" i="17" s="1"/>
  <c r="H11" i="17"/>
  <c r="F11" i="17"/>
  <c r="D11" i="17"/>
  <c r="K10" i="17"/>
  <c r="L10" i="17" s="1"/>
  <c r="I10" i="17"/>
  <c r="J10" i="17" s="1"/>
  <c r="H10" i="17"/>
  <c r="F10" i="17"/>
  <c r="D10" i="17"/>
  <c r="K9" i="17"/>
  <c r="L9" i="17" s="1"/>
  <c r="I9" i="17"/>
  <c r="J9" i="17" s="1"/>
  <c r="H9" i="17"/>
  <c r="F9" i="17"/>
  <c r="D9" i="17"/>
  <c r="I8" i="17"/>
  <c r="J8" i="17" s="1"/>
  <c r="H8" i="17"/>
  <c r="F8" i="17"/>
  <c r="D8" i="17"/>
  <c r="M7" i="17"/>
  <c r="I7" i="17"/>
  <c r="J7" i="17" s="1"/>
  <c r="H7" i="17"/>
  <c r="F7" i="17"/>
  <c r="D7" i="17"/>
  <c r="F6" i="17"/>
  <c r="D6" i="17"/>
  <c r="F5" i="17"/>
  <c r="D5" i="17"/>
  <c r="E17" i="16"/>
  <c r="C17" i="16"/>
  <c r="B17" i="16"/>
  <c r="K14" i="16"/>
  <c r="L14" i="16" s="1"/>
  <c r="I14" i="16"/>
  <c r="J14" i="16" s="1"/>
  <c r="F14" i="16"/>
  <c r="D14" i="16"/>
  <c r="K13" i="16"/>
  <c r="L13" i="16" s="1"/>
  <c r="I13" i="16"/>
  <c r="J13" i="16" s="1"/>
  <c r="F13" i="16"/>
  <c r="D13" i="16"/>
  <c r="K12" i="16"/>
  <c r="L12" i="16" s="1"/>
  <c r="I12" i="16"/>
  <c r="J12" i="16" s="1"/>
  <c r="H12" i="16"/>
  <c r="F12" i="16"/>
  <c r="D12" i="16"/>
  <c r="K11" i="16"/>
  <c r="L11" i="16" s="1"/>
  <c r="I11" i="16"/>
  <c r="J11" i="16" s="1"/>
  <c r="F11" i="16"/>
  <c r="D11" i="16"/>
  <c r="K10" i="16"/>
  <c r="L10" i="16" s="1"/>
  <c r="I10" i="16"/>
  <c r="J10" i="16" s="1"/>
  <c r="H10" i="16"/>
  <c r="F10" i="16"/>
  <c r="D10" i="16"/>
  <c r="K9" i="16"/>
  <c r="L9" i="16" s="1"/>
  <c r="I9" i="16"/>
  <c r="J9" i="16" s="1"/>
  <c r="F9" i="16"/>
  <c r="D9" i="16"/>
  <c r="I8" i="16"/>
  <c r="J8" i="16" s="1"/>
  <c r="H8" i="16"/>
  <c r="F8" i="16"/>
  <c r="D8" i="16"/>
  <c r="I7" i="16"/>
  <c r="J7" i="16" s="1"/>
  <c r="H7" i="16"/>
  <c r="F7" i="16"/>
  <c r="D7" i="16"/>
  <c r="H6" i="16"/>
  <c r="F6" i="16"/>
  <c r="D6" i="16"/>
  <c r="F5" i="16"/>
  <c r="D5" i="16"/>
  <c r="M8" i="16"/>
  <c r="G25" i="4"/>
  <c r="G26" i="4"/>
  <c r="B29" i="4"/>
  <c r="B27" i="3"/>
  <c r="G27" i="1"/>
  <c r="G21" i="1"/>
  <c r="B27" i="1"/>
  <c r="E17" i="15"/>
  <c r="C17" i="15"/>
  <c r="B17" i="15"/>
  <c r="K14" i="15"/>
  <c r="L14" i="15" s="1"/>
  <c r="I14" i="15"/>
  <c r="J14" i="15" s="1"/>
  <c r="F14" i="15"/>
  <c r="D14" i="15"/>
  <c r="K13" i="15"/>
  <c r="L13" i="15" s="1"/>
  <c r="I13" i="15"/>
  <c r="J13" i="15" s="1"/>
  <c r="H13" i="15"/>
  <c r="F13" i="15"/>
  <c r="D13" i="15"/>
  <c r="K12" i="15"/>
  <c r="L12" i="15" s="1"/>
  <c r="I12" i="15"/>
  <c r="J12" i="15" s="1"/>
  <c r="H12" i="15"/>
  <c r="F12" i="15"/>
  <c r="D12" i="15"/>
  <c r="K11" i="15"/>
  <c r="L11" i="15" s="1"/>
  <c r="I11" i="15"/>
  <c r="J11" i="15" s="1"/>
  <c r="H11" i="15"/>
  <c r="F11" i="15"/>
  <c r="D11" i="15"/>
  <c r="K10" i="15"/>
  <c r="L10" i="15" s="1"/>
  <c r="J10" i="15"/>
  <c r="I10" i="15"/>
  <c r="F10" i="15"/>
  <c r="D10" i="15"/>
  <c r="K9" i="15"/>
  <c r="L9" i="15" s="1"/>
  <c r="J9" i="15"/>
  <c r="I9" i="15"/>
  <c r="F9" i="15"/>
  <c r="D9" i="15"/>
  <c r="I8" i="15"/>
  <c r="J8" i="15" s="1"/>
  <c r="F8" i="15"/>
  <c r="D8" i="15"/>
  <c r="J7" i="15"/>
  <c r="I7" i="15"/>
  <c r="F7" i="15"/>
  <c r="D7" i="15"/>
  <c r="F6" i="15"/>
  <c r="D6" i="15"/>
  <c r="F5" i="15"/>
  <c r="D5" i="15"/>
  <c r="M14" i="15"/>
  <c r="E18" i="13"/>
  <c r="C18" i="13"/>
  <c r="B18" i="13"/>
  <c r="F15" i="13"/>
  <c r="D15" i="13"/>
  <c r="F14" i="13"/>
  <c r="D14" i="13"/>
  <c r="F13" i="13"/>
  <c r="D13" i="13"/>
  <c r="F12" i="13"/>
  <c r="D12" i="13"/>
  <c r="F5" i="13"/>
  <c r="D5" i="13"/>
  <c r="J16" i="7" l="1"/>
  <c r="D18" i="13"/>
  <c r="F18" i="13"/>
  <c r="L15" i="7"/>
  <c r="J14" i="7"/>
  <c r="L12" i="7"/>
  <c r="J13" i="7"/>
  <c r="K14" i="7"/>
  <c r="L14" i="7" s="1"/>
  <c r="I12" i="7"/>
  <c r="J12" i="7" s="1"/>
  <c r="I13" i="7"/>
  <c r="K15" i="7"/>
  <c r="I14" i="7"/>
  <c r="K16" i="7"/>
  <c r="L16" i="7" s="1"/>
  <c r="K12" i="7"/>
  <c r="I10" i="7"/>
  <c r="J10" i="7" s="1"/>
  <c r="M6" i="7"/>
  <c r="M14" i="7"/>
  <c r="N14" i="7" s="1"/>
  <c r="I6" i="7"/>
  <c r="J6" i="7" s="1"/>
  <c r="K10" i="7"/>
  <c r="L10" i="7" s="1"/>
  <c r="M7" i="7"/>
  <c r="N7" i="7" s="1"/>
  <c r="M15" i="7"/>
  <c r="N15" i="7" s="1"/>
  <c r="N12" i="7"/>
  <c r="M8" i="7"/>
  <c r="M16" i="7"/>
  <c r="N16" i="7" s="1"/>
  <c r="M9" i="7"/>
  <c r="N9" i="7" s="1"/>
  <c r="K6" i="7"/>
  <c r="L6" i="7" s="1"/>
  <c r="M12" i="7"/>
  <c r="M10" i="7"/>
  <c r="N10" i="7" s="1"/>
  <c r="N6" i="7"/>
  <c r="K7" i="7"/>
  <c r="L7" i="7" s="1"/>
  <c r="I7" i="7"/>
  <c r="J7" i="7" s="1"/>
  <c r="M11" i="7"/>
  <c r="N11" i="7" s="1"/>
  <c r="K8" i="7"/>
  <c r="L8" i="7" s="1"/>
  <c r="I8" i="7"/>
  <c r="J8" i="7" s="1"/>
  <c r="N8" i="7"/>
  <c r="K9" i="7"/>
  <c r="L9" i="7" s="1"/>
  <c r="M13" i="7"/>
  <c r="N13" i="7" s="1"/>
  <c r="I11" i="7"/>
  <c r="J11" i="7" s="1"/>
  <c r="K13" i="7"/>
  <c r="L13" i="7" s="1"/>
  <c r="K11" i="7"/>
  <c r="L11" i="7" s="1"/>
  <c r="I9" i="7"/>
  <c r="J9" i="7" s="1"/>
  <c r="D18" i="21"/>
  <c r="D18" i="17"/>
  <c r="F18" i="17"/>
  <c r="D18" i="20"/>
  <c r="D17" i="15"/>
  <c r="D17" i="22"/>
  <c r="F17" i="22"/>
  <c r="M14" i="22"/>
  <c r="N14" i="22" s="1"/>
  <c r="K9" i="8"/>
  <c r="L9" i="8" s="1"/>
  <c r="B44" i="6"/>
  <c r="D18" i="19"/>
  <c r="F18" i="19"/>
  <c r="D17" i="16"/>
  <c r="F17" i="16"/>
  <c r="M8" i="22"/>
  <c r="N8" i="22" s="1"/>
  <c r="M7" i="22"/>
  <c r="N7" i="22" s="1"/>
  <c r="M9" i="22"/>
  <c r="N9" i="22" s="1"/>
  <c r="M11" i="22"/>
  <c r="N11" i="22" s="1"/>
  <c r="M12" i="22"/>
  <c r="N12" i="22" s="1"/>
  <c r="M10" i="22"/>
  <c r="N10" i="22" s="1"/>
  <c r="M5" i="22"/>
  <c r="N5" i="22" s="1"/>
  <c r="M13" i="22"/>
  <c r="N13" i="22" s="1"/>
  <c r="G17" i="22"/>
  <c r="H17" i="22" s="1"/>
  <c r="M6" i="22"/>
  <c r="N6" i="22" s="1"/>
  <c r="I7" i="8"/>
  <c r="J7" i="8" s="1"/>
  <c r="F18" i="20"/>
  <c r="M10" i="16"/>
  <c r="N10" i="16" s="1"/>
  <c r="N8" i="16"/>
  <c r="M9" i="16"/>
  <c r="N9" i="16" s="1"/>
  <c r="M15" i="17"/>
  <c r="N15" i="17" s="1"/>
  <c r="M6" i="17"/>
  <c r="M8" i="19"/>
  <c r="N8" i="19" s="1"/>
  <c r="M11" i="16"/>
  <c r="N7" i="17"/>
  <c r="M8" i="17"/>
  <c r="N8" i="17" s="1"/>
  <c r="M5" i="18"/>
  <c r="N5" i="18" s="1"/>
  <c r="N11" i="16"/>
  <c r="M12" i="16"/>
  <c r="N12" i="16" s="1"/>
  <c r="M9" i="17"/>
  <c r="N9" i="17" s="1"/>
  <c r="G18" i="17"/>
  <c r="H18" i="17" s="1"/>
  <c r="M9" i="18"/>
  <c r="N9" i="18" s="1"/>
  <c r="M13" i="18"/>
  <c r="N13" i="18" s="1"/>
  <c r="G18" i="19"/>
  <c r="H18" i="19" s="1"/>
  <c r="M5" i="16"/>
  <c r="M13" i="16"/>
  <c r="N13" i="16" s="1"/>
  <c r="G17" i="16"/>
  <c r="H17" i="16" s="1"/>
  <c r="M10" i="17"/>
  <c r="N10" i="17" s="1"/>
  <c r="M10" i="18"/>
  <c r="N10" i="18" s="1"/>
  <c r="M11" i="20"/>
  <c r="N11" i="20" s="1"/>
  <c r="M6" i="16"/>
  <c r="N6" i="16" s="1"/>
  <c r="M14" i="16"/>
  <c r="N14" i="16" s="1"/>
  <c r="M11" i="17"/>
  <c r="N11" i="17" s="1"/>
  <c r="M12" i="17"/>
  <c r="N12" i="17" s="1"/>
  <c r="M15" i="19"/>
  <c r="N15" i="19" s="1"/>
  <c r="M7" i="19"/>
  <c r="N7" i="19" s="1"/>
  <c r="M11" i="19"/>
  <c r="N11" i="19" s="1"/>
  <c r="M7" i="16"/>
  <c r="N7" i="16" s="1"/>
  <c r="M13" i="17"/>
  <c r="N13" i="17" s="1"/>
  <c r="M14" i="17"/>
  <c r="N14" i="17" s="1"/>
  <c r="M8" i="18"/>
  <c r="N8" i="18" s="1"/>
  <c r="M7" i="18"/>
  <c r="N7" i="18" s="1"/>
  <c r="M6" i="18"/>
  <c r="N6" i="18" s="1"/>
  <c r="G16" i="18"/>
  <c r="H16" i="18" s="1"/>
  <c r="M12" i="18"/>
  <c r="N12" i="18" s="1"/>
  <c r="M11" i="18"/>
  <c r="N11" i="18" s="1"/>
  <c r="M8" i="21"/>
  <c r="N8" i="21" s="1"/>
  <c r="M5" i="17"/>
  <c r="M12" i="20"/>
  <c r="N12" i="20" s="1"/>
  <c r="M9" i="19"/>
  <c r="N9" i="19" s="1"/>
  <c r="M5" i="20"/>
  <c r="M13" i="20"/>
  <c r="N13" i="20" s="1"/>
  <c r="M9" i="21"/>
  <c r="N9" i="21" s="1"/>
  <c r="M10" i="19"/>
  <c r="N10" i="19" s="1"/>
  <c r="M6" i="20"/>
  <c r="M14" i="20"/>
  <c r="N14" i="20" s="1"/>
  <c r="G18" i="20"/>
  <c r="H18" i="20" s="1"/>
  <c r="M10" i="21"/>
  <c r="N10" i="21" s="1"/>
  <c r="M7" i="20"/>
  <c r="M15" i="20"/>
  <c r="N15" i="20" s="1"/>
  <c r="M11" i="21"/>
  <c r="N11" i="21" s="1"/>
  <c r="M12" i="19"/>
  <c r="N12" i="19" s="1"/>
  <c r="M8" i="20"/>
  <c r="M12" i="21"/>
  <c r="N12" i="21" s="1"/>
  <c r="M5" i="19"/>
  <c r="N5" i="19" s="1"/>
  <c r="M13" i="19"/>
  <c r="N13" i="19" s="1"/>
  <c r="M9" i="20"/>
  <c r="M5" i="21"/>
  <c r="N5" i="21" s="1"/>
  <c r="M13" i="21"/>
  <c r="N13" i="21" s="1"/>
  <c r="M6" i="19"/>
  <c r="N6" i="19" s="1"/>
  <c r="M14" i="19"/>
  <c r="N14" i="19" s="1"/>
  <c r="M10" i="20"/>
  <c r="M6" i="21"/>
  <c r="N6" i="21" s="1"/>
  <c r="M14" i="21"/>
  <c r="N14" i="21" s="1"/>
  <c r="G18" i="21"/>
  <c r="H18" i="21" s="1"/>
  <c r="M7" i="21"/>
  <c r="N7" i="21" s="1"/>
  <c r="F17" i="15"/>
  <c r="N6" i="15"/>
  <c r="M7" i="15"/>
  <c r="N14" i="15"/>
  <c r="M9" i="15"/>
  <c r="N9" i="15" s="1"/>
  <c r="M10" i="15"/>
  <c r="N10" i="15" s="1"/>
  <c r="M11" i="15"/>
  <c r="N11" i="15" s="1"/>
  <c r="N7" i="15"/>
  <c r="M12" i="15"/>
  <c r="N12" i="15" s="1"/>
  <c r="M5" i="15"/>
  <c r="N5" i="15" s="1"/>
  <c r="M13" i="15"/>
  <c r="N13" i="15" s="1"/>
  <c r="G17" i="15"/>
  <c r="H17" i="15" s="1"/>
  <c r="M8" i="15"/>
  <c r="N8" i="15" s="1"/>
  <c r="M6" i="15"/>
  <c r="G18" i="13"/>
  <c r="H18" i="13" s="1"/>
  <c r="M5" i="13"/>
  <c r="E45" i="12" l="1"/>
  <c r="C45" i="12"/>
  <c r="B45" i="12"/>
  <c r="H42" i="12"/>
  <c r="F42" i="12"/>
  <c r="D42" i="12"/>
  <c r="H41" i="12"/>
  <c r="F41" i="12"/>
  <c r="D41" i="12"/>
  <c r="G40" i="12"/>
  <c r="I42" i="12" s="1"/>
  <c r="J42" i="12" s="1"/>
  <c r="F40" i="12"/>
  <c r="D40" i="12"/>
  <c r="G39" i="12"/>
  <c r="F39" i="12"/>
  <c r="D39" i="12"/>
  <c r="G38" i="12"/>
  <c r="F38" i="12"/>
  <c r="D38" i="12"/>
  <c r="G37" i="12"/>
  <c r="F37" i="12"/>
  <c r="D37" i="12"/>
  <c r="G36" i="12"/>
  <c r="F36" i="12"/>
  <c r="D36" i="12"/>
  <c r="G35" i="12"/>
  <c r="F35" i="12"/>
  <c r="D35" i="12"/>
  <c r="G34" i="12"/>
  <c r="F34" i="12"/>
  <c r="D34" i="12"/>
  <c r="G33" i="12"/>
  <c r="F33" i="12"/>
  <c r="D33" i="12"/>
  <c r="G32" i="12"/>
  <c r="F32" i="12"/>
  <c r="D32" i="12"/>
  <c r="G31" i="12"/>
  <c r="H31" i="12" s="1"/>
  <c r="F31" i="12"/>
  <c r="D31" i="12"/>
  <c r="G30" i="12"/>
  <c r="F30" i="12"/>
  <c r="D30" i="12"/>
  <c r="G29" i="12"/>
  <c r="F29" i="12"/>
  <c r="D29" i="12"/>
  <c r="G28" i="12"/>
  <c r="F28" i="12"/>
  <c r="D28" i="12"/>
  <c r="G27" i="12"/>
  <c r="F27" i="12"/>
  <c r="D27" i="12"/>
  <c r="G26" i="12"/>
  <c r="F26" i="12"/>
  <c r="D26" i="12"/>
  <c r="G25" i="12"/>
  <c r="F25" i="12"/>
  <c r="D25" i="12"/>
  <c r="G24" i="12"/>
  <c r="F24" i="12"/>
  <c r="D24" i="12"/>
  <c r="G23" i="12"/>
  <c r="H23" i="12" s="1"/>
  <c r="F23" i="12"/>
  <c r="D23" i="12"/>
  <c r="G22" i="12"/>
  <c r="F22" i="12"/>
  <c r="D22" i="12"/>
  <c r="G21" i="12"/>
  <c r="F21" i="12"/>
  <c r="D21" i="12"/>
  <c r="G20" i="12"/>
  <c r="F20" i="12"/>
  <c r="D20" i="12"/>
  <c r="G19" i="12"/>
  <c r="F19" i="12"/>
  <c r="D19" i="12"/>
  <c r="G18" i="12"/>
  <c r="F18" i="12"/>
  <c r="D18" i="12"/>
  <c r="G17" i="12"/>
  <c r="F17" i="12"/>
  <c r="D17" i="12"/>
  <c r="G16" i="12"/>
  <c r="F16" i="12"/>
  <c r="D16" i="12"/>
  <c r="G15" i="12"/>
  <c r="H15" i="12" s="1"/>
  <c r="F15" i="12"/>
  <c r="D15" i="12"/>
  <c r="G14" i="12"/>
  <c r="F14" i="12"/>
  <c r="D14" i="12"/>
  <c r="G13" i="12"/>
  <c r="F13" i="12"/>
  <c r="D13" i="12"/>
  <c r="G12" i="12"/>
  <c r="F12" i="12"/>
  <c r="D12" i="12"/>
  <c r="G11" i="12"/>
  <c r="F11" i="12"/>
  <c r="D11" i="12"/>
  <c r="G10" i="12"/>
  <c r="F10" i="12"/>
  <c r="D10" i="12"/>
  <c r="G9" i="12"/>
  <c r="F9" i="12"/>
  <c r="D9" i="12"/>
  <c r="G8" i="12"/>
  <c r="F8" i="12"/>
  <c r="D8" i="12"/>
  <c r="G7" i="12"/>
  <c r="F7" i="12"/>
  <c r="D7" i="12"/>
  <c r="G6" i="12"/>
  <c r="H6" i="12" s="1"/>
  <c r="F6" i="12"/>
  <c r="D6" i="12"/>
  <c r="G5" i="12"/>
  <c r="F5" i="12"/>
  <c r="D5" i="12"/>
  <c r="E45" i="11"/>
  <c r="C45" i="11"/>
  <c r="B45" i="11"/>
  <c r="H42" i="11"/>
  <c r="F42" i="11"/>
  <c r="D42" i="11"/>
  <c r="H41" i="11"/>
  <c r="F41" i="11"/>
  <c r="D41" i="11"/>
  <c r="F40" i="11"/>
  <c r="D40" i="11"/>
  <c r="F39" i="11"/>
  <c r="D39" i="11"/>
  <c r="F38" i="11"/>
  <c r="D38" i="11"/>
  <c r="F37" i="11"/>
  <c r="D37" i="11"/>
  <c r="F36" i="11"/>
  <c r="D36" i="11"/>
  <c r="F35" i="11"/>
  <c r="D35" i="11"/>
  <c r="F34" i="11"/>
  <c r="D34" i="11"/>
  <c r="F33" i="11"/>
  <c r="D33" i="11"/>
  <c r="F32" i="11"/>
  <c r="D32" i="11"/>
  <c r="F31" i="11"/>
  <c r="D31" i="11"/>
  <c r="F30" i="11"/>
  <c r="D30" i="11"/>
  <c r="F29" i="11"/>
  <c r="D29" i="11"/>
  <c r="F28" i="11"/>
  <c r="D28" i="11"/>
  <c r="F27" i="11"/>
  <c r="D27" i="11"/>
  <c r="F26" i="11"/>
  <c r="D26" i="11"/>
  <c r="F25" i="11"/>
  <c r="D25" i="11"/>
  <c r="F24" i="11"/>
  <c r="D24" i="11"/>
  <c r="F23" i="11"/>
  <c r="D23" i="11"/>
  <c r="F22" i="11"/>
  <c r="D22" i="11"/>
  <c r="F21" i="11"/>
  <c r="D21" i="11"/>
  <c r="F20" i="11"/>
  <c r="D20" i="11"/>
  <c r="F19" i="11"/>
  <c r="D19" i="11"/>
  <c r="F18" i="11"/>
  <c r="D18" i="11"/>
  <c r="F17" i="11"/>
  <c r="D17" i="11"/>
  <c r="F16" i="11"/>
  <c r="D16" i="11"/>
  <c r="F15" i="11"/>
  <c r="D15" i="11"/>
  <c r="F14" i="11"/>
  <c r="D14" i="11"/>
  <c r="F13" i="11"/>
  <c r="D13" i="11"/>
  <c r="F12" i="11"/>
  <c r="D12" i="11"/>
  <c r="F11" i="11"/>
  <c r="D11" i="11"/>
  <c r="F10" i="11"/>
  <c r="D10" i="11"/>
  <c r="F9" i="11"/>
  <c r="D9" i="11"/>
  <c r="F8" i="11"/>
  <c r="D8" i="11"/>
  <c r="F7" i="11"/>
  <c r="D7" i="11"/>
  <c r="F6" i="11"/>
  <c r="D6" i="11"/>
  <c r="F5" i="11"/>
  <c r="D5" i="11"/>
  <c r="E45" i="10"/>
  <c r="C45" i="10"/>
  <c r="B45" i="10"/>
  <c r="H42" i="10"/>
  <c r="F42" i="10"/>
  <c r="D42" i="10"/>
  <c r="H41" i="10"/>
  <c r="F41" i="10"/>
  <c r="D41" i="10"/>
  <c r="H40" i="10"/>
  <c r="F40" i="10"/>
  <c r="D40" i="10"/>
  <c r="H39" i="10"/>
  <c r="F39" i="10"/>
  <c r="D39" i="10"/>
  <c r="F38" i="10"/>
  <c r="D38" i="10"/>
  <c r="F37" i="10"/>
  <c r="D37" i="10"/>
  <c r="F36" i="10"/>
  <c r="D36" i="10"/>
  <c r="F35" i="10"/>
  <c r="D35" i="10"/>
  <c r="F34" i="10"/>
  <c r="D34" i="10"/>
  <c r="F33" i="10"/>
  <c r="D33" i="10"/>
  <c r="F32" i="10"/>
  <c r="D32" i="10"/>
  <c r="F31" i="10"/>
  <c r="D31" i="10"/>
  <c r="F30" i="10"/>
  <c r="D30" i="10"/>
  <c r="F29" i="10"/>
  <c r="D29" i="10"/>
  <c r="F28" i="10"/>
  <c r="D28" i="10"/>
  <c r="F27" i="10"/>
  <c r="D27" i="10"/>
  <c r="F26" i="10"/>
  <c r="D26" i="10"/>
  <c r="F25" i="10"/>
  <c r="D25" i="10"/>
  <c r="F24" i="10"/>
  <c r="D24" i="10"/>
  <c r="F23" i="10"/>
  <c r="D23" i="10"/>
  <c r="F22" i="10"/>
  <c r="D22" i="10"/>
  <c r="F21" i="10"/>
  <c r="D21" i="10"/>
  <c r="F20" i="10"/>
  <c r="D20" i="10"/>
  <c r="F19" i="10"/>
  <c r="D19" i="10"/>
  <c r="K22" i="10"/>
  <c r="L22" i="10" s="1"/>
  <c r="F18" i="10"/>
  <c r="D18" i="10"/>
  <c r="F17" i="10"/>
  <c r="D17" i="10"/>
  <c r="F16" i="10"/>
  <c r="D16" i="10"/>
  <c r="F15" i="10"/>
  <c r="D15" i="10"/>
  <c r="K18" i="10"/>
  <c r="L18" i="10" s="1"/>
  <c r="F14" i="10"/>
  <c r="D14" i="10"/>
  <c r="F13" i="10"/>
  <c r="D13" i="10"/>
  <c r="F12" i="10"/>
  <c r="D12" i="10"/>
  <c r="F11" i="10"/>
  <c r="D11" i="10"/>
  <c r="F10" i="10"/>
  <c r="D10" i="10"/>
  <c r="F9" i="10"/>
  <c r="D9" i="10"/>
  <c r="F8" i="10"/>
  <c r="D8" i="10"/>
  <c r="F7" i="10"/>
  <c r="D7" i="10"/>
  <c r="F6" i="10"/>
  <c r="D6" i="10"/>
  <c r="F5" i="10"/>
  <c r="D5" i="10"/>
  <c r="E45" i="9"/>
  <c r="C45" i="9"/>
  <c r="B45" i="9"/>
  <c r="H42" i="9"/>
  <c r="F42" i="9"/>
  <c r="D42" i="9"/>
  <c r="H41" i="9"/>
  <c r="F41" i="9"/>
  <c r="D41" i="9"/>
  <c r="I42" i="9"/>
  <c r="J42" i="9" s="1"/>
  <c r="F40" i="9"/>
  <c r="D40" i="9"/>
  <c r="H39" i="9"/>
  <c r="I41" i="9"/>
  <c r="J41" i="9" s="1"/>
  <c r="F39" i="9"/>
  <c r="D39" i="9"/>
  <c r="I40" i="9"/>
  <c r="J40" i="9" s="1"/>
  <c r="F38" i="9"/>
  <c r="D38" i="9"/>
  <c r="F37" i="9"/>
  <c r="D37" i="9"/>
  <c r="F36" i="9"/>
  <c r="D36" i="9"/>
  <c r="F35" i="9"/>
  <c r="D35" i="9"/>
  <c r="F34" i="9"/>
  <c r="D34" i="9"/>
  <c r="F33" i="9"/>
  <c r="D33" i="9"/>
  <c r="F32" i="9"/>
  <c r="D32" i="9"/>
  <c r="H31" i="9"/>
  <c r="F31" i="9"/>
  <c r="D31" i="9"/>
  <c r="I32" i="9"/>
  <c r="J32" i="9" s="1"/>
  <c r="F30" i="9"/>
  <c r="D30" i="9"/>
  <c r="K33" i="9"/>
  <c r="L33" i="9" s="1"/>
  <c r="F29" i="9"/>
  <c r="D29" i="9"/>
  <c r="F28" i="9"/>
  <c r="D28" i="9"/>
  <c r="F27" i="9"/>
  <c r="D27" i="9"/>
  <c r="F26" i="9"/>
  <c r="D26" i="9"/>
  <c r="H25" i="9"/>
  <c r="F25" i="9"/>
  <c r="D25" i="9"/>
  <c r="F24" i="9"/>
  <c r="D24" i="9"/>
  <c r="H23" i="9"/>
  <c r="F23" i="9"/>
  <c r="D23" i="9"/>
  <c r="F22" i="9"/>
  <c r="D22" i="9"/>
  <c r="H21" i="9"/>
  <c r="F21" i="9"/>
  <c r="D21" i="9"/>
  <c r="F20" i="9"/>
  <c r="D20" i="9"/>
  <c r="F19" i="9"/>
  <c r="D19" i="9"/>
  <c r="F18" i="9"/>
  <c r="D18" i="9"/>
  <c r="H17" i="9"/>
  <c r="F17" i="9"/>
  <c r="D17" i="9"/>
  <c r="F16" i="9"/>
  <c r="D16" i="9"/>
  <c r="H15" i="9"/>
  <c r="F15" i="9"/>
  <c r="D15" i="9"/>
  <c r="F14" i="9"/>
  <c r="D14" i="9"/>
  <c r="F13" i="9"/>
  <c r="D13" i="9"/>
  <c r="I14" i="9"/>
  <c r="J14" i="9" s="1"/>
  <c r="F12" i="9"/>
  <c r="D12" i="9"/>
  <c r="F11" i="9"/>
  <c r="D11" i="9"/>
  <c r="I12" i="9"/>
  <c r="J12" i="9" s="1"/>
  <c r="F10" i="9"/>
  <c r="D10" i="9"/>
  <c r="F9" i="9"/>
  <c r="D9" i="9"/>
  <c r="F8" i="9"/>
  <c r="D8" i="9"/>
  <c r="F7" i="9"/>
  <c r="D7" i="9"/>
  <c r="H6" i="9"/>
  <c r="F6" i="9"/>
  <c r="D6" i="9"/>
  <c r="H5" i="9"/>
  <c r="F5" i="9"/>
  <c r="D5" i="9"/>
  <c r="E18" i="8"/>
  <c r="C18" i="8"/>
  <c r="B18" i="8"/>
  <c r="H15" i="8"/>
  <c r="F15" i="8"/>
  <c r="D15" i="8"/>
  <c r="H14" i="8"/>
  <c r="F14" i="8"/>
  <c r="D14" i="8"/>
  <c r="I15" i="8"/>
  <c r="J15" i="8" s="1"/>
  <c r="F13" i="8"/>
  <c r="D13" i="8"/>
  <c r="I14" i="8"/>
  <c r="J14" i="8" s="1"/>
  <c r="F12" i="8"/>
  <c r="D12" i="8"/>
  <c r="F11" i="8"/>
  <c r="D11" i="8"/>
  <c r="F10" i="8"/>
  <c r="D10" i="8"/>
  <c r="I11" i="8"/>
  <c r="J11" i="8" s="1"/>
  <c r="F9" i="8"/>
  <c r="D9" i="8"/>
  <c r="F8" i="8"/>
  <c r="D8" i="8"/>
  <c r="H7" i="8"/>
  <c r="F7" i="8"/>
  <c r="D7" i="8"/>
  <c r="F6" i="8"/>
  <c r="D6" i="8"/>
  <c r="E44" i="6"/>
  <c r="C44" i="6"/>
  <c r="H42" i="6"/>
  <c r="F42" i="6"/>
  <c r="D42" i="6"/>
  <c r="H41" i="6"/>
  <c r="F41" i="6"/>
  <c r="D41" i="6"/>
  <c r="H40" i="6"/>
  <c r="I42" i="6"/>
  <c r="J42" i="6" s="1"/>
  <c r="F40" i="6"/>
  <c r="D40" i="6"/>
  <c r="H39" i="6"/>
  <c r="I41" i="6"/>
  <c r="J41" i="6" s="1"/>
  <c r="F39" i="6"/>
  <c r="D39" i="6"/>
  <c r="I40" i="6"/>
  <c r="J40" i="6" s="1"/>
  <c r="F38" i="6"/>
  <c r="D38" i="6"/>
  <c r="K41" i="6"/>
  <c r="L41" i="6" s="1"/>
  <c r="F37" i="6"/>
  <c r="D37" i="6"/>
  <c r="F36" i="6"/>
  <c r="D36" i="6"/>
  <c r="F35" i="6"/>
  <c r="D35" i="6"/>
  <c r="F34" i="6"/>
  <c r="D34" i="6"/>
  <c r="F33" i="6"/>
  <c r="D33" i="6"/>
  <c r="F32" i="6"/>
  <c r="D32" i="6"/>
  <c r="F31" i="6"/>
  <c r="D31" i="6"/>
  <c r="F30" i="6"/>
  <c r="D30" i="6"/>
  <c r="F29" i="6"/>
  <c r="D29" i="6"/>
  <c r="F28" i="6"/>
  <c r="D28" i="6"/>
  <c r="F27" i="6"/>
  <c r="D27" i="6"/>
  <c r="F26" i="6"/>
  <c r="D26" i="6"/>
  <c r="F25" i="6"/>
  <c r="D25" i="6"/>
  <c r="F24" i="6"/>
  <c r="D24" i="6"/>
  <c r="F23" i="6"/>
  <c r="D23" i="6"/>
  <c r="F22" i="6"/>
  <c r="D22" i="6"/>
  <c r="K25" i="6"/>
  <c r="L25" i="6" s="1"/>
  <c r="F21" i="6"/>
  <c r="D21" i="6"/>
  <c r="F20" i="6"/>
  <c r="D20" i="6"/>
  <c r="F19" i="6"/>
  <c r="D19" i="6"/>
  <c r="F18" i="6"/>
  <c r="D18" i="6"/>
  <c r="K21" i="6"/>
  <c r="L21" i="6" s="1"/>
  <c r="F17" i="6"/>
  <c r="D17" i="6"/>
  <c r="F16" i="6"/>
  <c r="D16" i="6"/>
  <c r="F15" i="6"/>
  <c r="D15" i="6"/>
  <c r="F14" i="6"/>
  <c r="D14" i="6"/>
  <c r="F13" i="6"/>
  <c r="D13" i="6"/>
  <c r="F12" i="6"/>
  <c r="D12" i="6"/>
  <c r="F11" i="6"/>
  <c r="D11" i="6"/>
  <c r="F10" i="6"/>
  <c r="D10" i="6"/>
  <c r="F9" i="6"/>
  <c r="D9" i="6"/>
  <c r="F8" i="6"/>
  <c r="D8" i="6"/>
  <c r="F7" i="6"/>
  <c r="D7" i="6"/>
  <c r="F6" i="6"/>
  <c r="D6" i="6"/>
  <c r="F5" i="6"/>
  <c r="D5" i="6"/>
  <c r="I41" i="5"/>
  <c r="J41" i="5" s="1"/>
  <c r="I42" i="5"/>
  <c r="J42" i="5" s="1"/>
  <c r="G6" i="5"/>
  <c r="H6" i="5" s="1"/>
  <c r="G7" i="5"/>
  <c r="G8" i="5"/>
  <c r="G9" i="5"/>
  <c r="G10" i="5"/>
  <c r="H10" i="5" s="1"/>
  <c r="G11" i="5"/>
  <c r="G12" i="5"/>
  <c r="G13" i="5"/>
  <c r="G14" i="5"/>
  <c r="H14" i="5" s="1"/>
  <c r="G15" i="5"/>
  <c r="F5" i="5"/>
  <c r="F6" i="5"/>
  <c r="F7" i="5"/>
  <c r="F8" i="5"/>
  <c r="F9" i="5"/>
  <c r="F10" i="5"/>
  <c r="F11" i="5"/>
  <c r="F12" i="5"/>
  <c r="F13" i="5"/>
  <c r="F14" i="5"/>
  <c r="F15" i="5"/>
  <c r="D5" i="5"/>
  <c r="D6" i="5"/>
  <c r="D7" i="5"/>
  <c r="D8" i="5"/>
  <c r="D9" i="5"/>
  <c r="D10" i="5"/>
  <c r="D11" i="5"/>
  <c r="D12" i="5"/>
  <c r="D13" i="5"/>
  <c r="D14" i="5"/>
  <c r="D15" i="5"/>
  <c r="D16" i="5"/>
  <c r="G16" i="5"/>
  <c r="F16" i="5"/>
  <c r="E45" i="5"/>
  <c r="C45" i="5"/>
  <c r="B45" i="5"/>
  <c r="H42" i="5"/>
  <c r="F42" i="5"/>
  <c r="D42" i="5"/>
  <c r="H41" i="5"/>
  <c r="F41" i="5"/>
  <c r="D41" i="5"/>
  <c r="H40" i="5"/>
  <c r="F40" i="5"/>
  <c r="D40" i="5"/>
  <c r="H39" i="5"/>
  <c r="F39" i="5"/>
  <c r="D39" i="5"/>
  <c r="G38" i="5"/>
  <c r="K42" i="5" s="1"/>
  <c r="L42" i="5" s="1"/>
  <c r="F38" i="5"/>
  <c r="D38" i="5"/>
  <c r="I39" i="5"/>
  <c r="J39" i="5" s="1"/>
  <c r="F37" i="5"/>
  <c r="D37" i="5"/>
  <c r="H36" i="5"/>
  <c r="F36" i="5"/>
  <c r="D36" i="5"/>
  <c r="G35" i="5"/>
  <c r="F35" i="5"/>
  <c r="D35" i="5"/>
  <c r="H34" i="5"/>
  <c r="F34" i="5"/>
  <c r="D34" i="5"/>
  <c r="F33" i="5"/>
  <c r="D33" i="5"/>
  <c r="H32" i="5"/>
  <c r="F32" i="5"/>
  <c r="D32" i="5"/>
  <c r="G31" i="5"/>
  <c r="F31" i="5"/>
  <c r="D31" i="5"/>
  <c r="G30" i="5"/>
  <c r="H30" i="5" s="1"/>
  <c r="F30" i="5"/>
  <c r="D30" i="5"/>
  <c r="G29" i="5"/>
  <c r="H29" i="5" s="1"/>
  <c r="F29" i="5"/>
  <c r="D29" i="5"/>
  <c r="G28" i="5"/>
  <c r="H28" i="5" s="1"/>
  <c r="F28" i="5"/>
  <c r="D28" i="5"/>
  <c r="G27" i="5"/>
  <c r="F27" i="5"/>
  <c r="D27" i="5"/>
  <c r="G26" i="5"/>
  <c r="H26" i="5" s="1"/>
  <c r="F26" i="5"/>
  <c r="D26" i="5"/>
  <c r="G25" i="5"/>
  <c r="F25" i="5"/>
  <c r="D25" i="5"/>
  <c r="G24" i="5"/>
  <c r="H24" i="5" s="1"/>
  <c r="F24" i="5"/>
  <c r="D24" i="5"/>
  <c r="G23" i="5"/>
  <c r="H23" i="5" s="1"/>
  <c r="F23" i="5"/>
  <c r="D23" i="5"/>
  <c r="G22" i="5"/>
  <c r="F22" i="5"/>
  <c r="D22" i="5"/>
  <c r="G21" i="5"/>
  <c r="H21" i="5" s="1"/>
  <c r="F21" i="5"/>
  <c r="D21" i="5"/>
  <c r="G20" i="5"/>
  <c r="F20" i="5"/>
  <c r="D20" i="5"/>
  <c r="G19" i="5"/>
  <c r="H19" i="5" s="1"/>
  <c r="F19" i="5"/>
  <c r="D19" i="5"/>
  <c r="G18" i="5"/>
  <c r="H18" i="5" s="1"/>
  <c r="F18" i="5"/>
  <c r="D18" i="5"/>
  <c r="G17" i="5"/>
  <c r="H17" i="5" s="1"/>
  <c r="F17" i="5"/>
  <c r="D17" i="5"/>
  <c r="G5" i="5"/>
  <c r="H5" i="5" s="1"/>
  <c r="E33" i="4"/>
  <c r="C33" i="4"/>
  <c r="B33" i="4"/>
  <c r="F30" i="4"/>
  <c r="D30" i="4"/>
  <c r="H29" i="4"/>
  <c r="F29" i="4"/>
  <c r="D29" i="4"/>
  <c r="I30" i="4"/>
  <c r="J30" i="4" s="1"/>
  <c r="F28" i="4"/>
  <c r="D28" i="4"/>
  <c r="H27" i="4"/>
  <c r="I29" i="4"/>
  <c r="J29" i="4" s="1"/>
  <c r="F27" i="4"/>
  <c r="D27" i="4"/>
  <c r="I28" i="4"/>
  <c r="J28" i="4" s="1"/>
  <c r="F26" i="4"/>
  <c r="D26" i="4"/>
  <c r="F25" i="4"/>
  <c r="D25" i="4"/>
  <c r="F24" i="4"/>
  <c r="D24" i="4"/>
  <c r="F23" i="4"/>
  <c r="D23" i="4"/>
  <c r="I24" i="4"/>
  <c r="J24" i="4" s="1"/>
  <c r="F22" i="4"/>
  <c r="D22" i="4"/>
  <c r="F21" i="4"/>
  <c r="D21" i="4"/>
  <c r="F20" i="4"/>
  <c r="D20" i="4"/>
  <c r="L19" i="4"/>
  <c r="J19" i="4"/>
  <c r="G19" i="4"/>
  <c r="F19" i="4"/>
  <c r="D19" i="4"/>
  <c r="L18" i="4"/>
  <c r="J18" i="4"/>
  <c r="G18" i="4"/>
  <c r="I20" i="4" s="1"/>
  <c r="J20" i="4" s="1"/>
  <c r="F18" i="4"/>
  <c r="D18" i="4"/>
  <c r="L17" i="4"/>
  <c r="J17" i="4"/>
  <c r="G17" i="4"/>
  <c r="F17" i="4"/>
  <c r="D17" i="4"/>
  <c r="L16" i="4"/>
  <c r="J16" i="4"/>
  <c r="G16" i="4"/>
  <c r="F16" i="4"/>
  <c r="D16" i="4"/>
  <c r="L15" i="4"/>
  <c r="J15" i="4"/>
  <c r="G15" i="4"/>
  <c r="F15" i="4"/>
  <c r="D15" i="4"/>
  <c r="L14" i="4"/>
  <c r="J14" i="4"/>
  <c r="G14" i="4"/>
  <c r="F14" i="4"/>
  <c r="D14" i="4"/>
  <c r="L13" i="4"/>
  <c r="J13" i="4"/>
  <c r="G13" i="4"/>
  <c r="F13" i="4"/>
  <c r="D13" i="4"/>
  <c r="L12" i="4"/>
  <c r="J12" i="4"/>
  <c r="G12" i="4"/>
  <c r="F12" i="4"/>
  <c r="D12" i="4"/>
  <c r="L11" i="4"/>
  <c r="J11" i="4"/>
  <c r="G11" i="4"/>
  <c r="F11" i="4"/>
  <c r="D11" i="4"/>
  <c r="L10" i="4"/>
  <c r="J10" i="4"/>
  <c r="G10" i="4"/>
  <c r="F10" i="4"/>
  <c r="D10" i="4"/>
  <c r="L9" i="4"/>
  <c r="J9" i="4"/>
  <c r="G9" i="4"/>
  <c r="F9" i="4"/>
  <c r="D9" i="4"/>
  <c r="J8" i="4"/>
  <c r="G8" i="4"/>
  <c r="F8" i="4"/>
  <c r="D8" i="4"/>
  <c r="J7" i="4"/>
  <c r="G7" i="4"/>
  <c r="F7" i="4"/>
  <c r="D7" i="4"/>
  <c r="G6" i="4"/>
  <c r="I8" i="4" s="1"/>
  <c r="F6" i="4"/>
  <c r="D6" i="4"/>
  <c r="G5" i="4"/>
  <c r="F5" i="4"/>
  <c r="D5" i="4"/>
  <c r="L11" i="3"/>
  <c r="L12" i="3"/>
  <c r="L13" i="3"/>
  <c r="L14" i="3"/>
  <c r="L15" i="3"/>
  <c r="L16" i="3"/>
  <c r="L17" i="3"/>
  <c r="L18" i="3"/>
  <c r="L19" i="3"/>
  <c r="L20" i="3"/>
  <c r="L21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I31" i="3"/>
  <c r="J31" i="3" s="1"/>
  <c r="I32" i="3"/>
  <c r="J32" i="3" s="1"/>
  <c r="G6" i="3"/>
  <c r="F6" i="3"/>
  <c r="D6" i="3"/>
  <c r="E35" i="3"/>
  <c r="C35" i="3"/>
  <c r="B35" i="3"/>
  <c r="H32" i="3"/>
  <c r="F32" i="3"/>
  <c r="D32" i="3"/>
  <c r="H31" i="3"/>
  <c r="F31" i="3"/>
  <c r="D31" i="3"/>
  <c r="F30" i="3"/>
  <c r="D30" i="3"/>
  <c r="F29" i="3"/>
  <c r="D29" i="3"/>
  <c r="K29" i="3"/>
  <c r="L29" i="3" s="1"/>
  <c r="F28" i="3"/>
  <c r="D28" i="3"/>
  <c r="G27" i="3"/>
  <c r="F27" i="3"/>
  <c r="D27" i="3"/>
  <c r="H26" i="3"/>
  <c r="F26" i="3"/>
  <c r="D26" i="3"/>
  <c r="F25" i="3"/>
  <c r="D25" i="3"/>
  <c r="F24" i="3"/>
  <c r="D24" i="3"/>
  <c r="F23" i="3"/>
  <c r="D23" i="3"/>
  <c r="H22" i="3"/>
  <c r="F22" i="3"/>
  <c r="D22" i="3"/>
  <c r="G21" i="3"/>
  <c r="F21" i="3"/>
  <c r="D21" i="3"/>
  <c r="G20" i="3"/>
  <c r="F20" i="3"/>
  <c r="D20" i="3"/>
  <c r="G19" i="3"/>
  <c r="F19" i="3"/>
  <c r="D19" i="3"/>
  <c r="G18" i="3"/>
  <c r="F18" i="3"/>
  <c r="D18" i="3"/>
  <c r="G17" i="3"/>
  <c r="F17" i="3"/>
  <c r="D17" i="3"/>
  <c r="G16" i="3"/>
  <c r="K20" i="3" s="1"/>
  <c r="F16" i="3"/>
  <c r="D16" i="3"/>
  <c r="G15" i="3"/>
  <c r="F15" i="3"/>
  <c r="D15" i="3"/>
  <c r="G14" i="3"/>
  <c r="F14" i="3"/>
  <c r="D14" i="3"/>
  <c r="G13" i="3"/>
  <c r="K17" i="3" s="1"/>
  <c r="F13" i="3"/>
  <c r="D13" i="3"/>
  <c r="G12" i="3"/>
  <c r="F12" i="3"/>
  <c r="D12" i="3"/>
  <c r="G11" i="3"/>
  <c r="F11" i="3"/>
  <c r="D11" i="3"/>
  <c r="G10" i="3"/>
  <c r="F10" i="3"/>
  <c r="D10" i="3"/>
  <c r="G9" i="3"/>
  <c r="F9" i="3"/>
  <c r="D9" i="3"/>
  <c r="G8" i="3"/>
  <c r="F8" i="3"/>
  <c r="D8" i="3"/>
  <c r="G7" i="3"/>
  <c r="F7" i="3"/>
  <c r="D7" i="3"/>
  <c r="G5" i="3"/>
  <c r="F5" i="3"/>
  <c r="D5" i="3"/>
  <c r="E32" i="2"/>
  <c r="C32" i="2"/>
  <c r="B32" i="2"/>
  <c r="G29" i="2"/>
  <c r="F29" i="2"/>
  <c r="D29" i="2"/>
  <c r="G28" i="2"/>
  <c r="F28" i="2"/>
  <c r="D28" i="2"/>
  <c r="G27" i="2"/>
  <c r="F27" i="2"/>
  <c r="D27" i="2"/>
  <c r="G26" i="2"/>
  <c r="H26" i="2" s="1"/>
  <c r="F26" i="2"/>
  <c r="D26" i="2"/>
  <c r="G25" i="2"/>
  <c r="F25" i="2"/>
  <c r="D25" i="2"/>
  <c r="G24" i="2"/>
  <c r="F24" i="2"/>
  <c r="D24" i="2"/>
  <c r="G23" i="2"/>
  <c r="F23" i="2"/>
  <c r="D23" i="2"/>
  <c r="G22" i="2"/>
  <c r="F22" i="2"/>
  <c r="D22" i="2"/>
  <c r="G21" i="2"/>
  <c r="F21" i="2"/>
  <c r="D21" i="2"/>
  <c r="G20" i="2"/>
  <c r="F20" i="2"/>
  <c r="D20" i="2"/>
  <c r="L19" i="2"/>
  <c r="J19" i="2"/>
  <c r="G19" i="2"/>
  <c r="F19" i="2"/>
  <c r="D19" i="2"/>
  <c r="L18" i="2"/>
  <c r="J18" i="2"/>
  <c r="G18" i="2"/>
  <c r="F18" i="2"/>
  <c r="D18" i="2"/>
  <c r="L17" i="2"/>
  <c r="J17" i="2"/>
  <c r="G17" i="2"/>
  <c r="F17" i="2"/>
  <c r="D17" i="2"/>
  <c r="L16" i="2"/>
  <c r="J16" i="2"/>
  <c r="G16" i="2"/>
  <c r="F16" i="2"/>
  <c r="D16" i="2"/>
  <c r="L15" i="2"/>
  <c r="J15" i="2"/>
  <c r="G15" i="2"/>
  <c r="F15" i="2"/>
  <c r="D15" i="2"/>
  <c r="L14" i="2"/>
  <c r="J14" i="2"/>
  <c r="G14" i="2"/>
  <c r="F14" i="2"/>
  <c r="D14" i="2"/>
  <c r="L13" i="2"/>
  <c r="J13" i="2"/>
  <c r="G13" i="2"/>
  <c r="F13" i="2"/>
  <c r="D13" i="2"/>
  <c r="L12" i="2"/>
  <c r="J12" i="2"/>
  <c r="G12" i="2"/>
  <c r="F12" i="2"/>
  <c r="D12" i="2"/>
  <c r="L11" i="2"/>
  <c r="J11" i="2"/>
  <c r="G11" i="2"/>
  <c r="F11" i="2"/>
  <c r="D11" i="2"/>
  <c r="L10" i="2"/>
  <c r="J10" i="2"/>
  <c r="G10" i="2"/>
  <c r="F10" i="2"/>
  <c r="D10" i="2"/>
  <c r="J9" i="2"/>
  <c r="G9" i="2"/>
  <c r="F9" i="2"/>
  <c r="D9" i="2"/>
  <c r="J8" i="2"/>
  <c r="G8" i="2"/>
  <c r="F8" i="2"/>
  <c r="D8" i="2"/>
  <c r="G7" i="2"/>
  <c r="F7" i="2"/>
  <c r="D7" i="2"/>
  <c r="G6" i="2"/>
  <c r="F6" i="2"/>
  <c r="D6" i="2"/>
  <c r="G5" i="2"/>
  <c r="F5" i="2"/>
  <c r="D5" i="2"/>
  <c r="L10" i="1"/>
  <c r="L11" i="1"/>
  <c r="L12" i="1"/>
  <c r="L13" i="1"/>
  <c r="L14" i="1"/>
  <c r="L15" i="1"/>
  <c r="L16" i="1"/>
  <c r="L17" i="1"/>
  <c r="L18" i="1"/>
  <c r="L19" i="1"/>
  <c r="L20" i="1"/>
  <c r="L21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D5" i="1"/>
  <c r="D6" i="1"/>
  <c r="D7" i="1"/>
  <c r="D8" i="1"/>
  <c r="D9" i="1"/>
  <c r="D10" i="1"/>
  <c r="D11" i="1"/>
  <c r="D12" i="1"/>
  <c r="D13" i="1"/>
  <c r="D14" i="1"/>
  <c r="F5" i="1"/>
  <c r="F6" i="1"/>
  <c r="F7" i="1"/>
  <c r="F8" i="1"/>
  <c r="F9" i="1"/>
  <c r="F10" i="1"/>
  <c r="F11" i="1"/>
  <c r="F12" i="1"/>
  <c r="F13" i="1"/>
  <c r="F14" i="1"/>
  <c r="G5" i="1"/>
  <c r="G6" i="1"/>
  <c r="G7" i="1"/>
  <c r="G8" i="1"/>
  <c r="G9" i="1"/>
  <c r="G10" i="1"/>
  <c r="K14" i="1" s="1"/>
  <c r="G11" i="1"/>
  <c r="G12" i="1"/>
  <c r="G13" i="1"/>
  <c r="G14" i="1"/>
  <c r="G15" i="1"/>
  <c r="F15" i="1"/>
  <c r="D15" i="1"/>
  <c r="E18" i="7"/>
  <c r="C18" i="7"/>
  <c r="B18" i="7"/>
  <c r="H15" i="7"/>
  <c r="F15" i="7"/>
  <c r="D15" i="7"/>
  <c r="H14" i="7"/>
  <c r="F14" i="7"/>
  <c r="D14" i="7"/>
  <c r="H13" i="7"/>
  <c r="F13" i="7"/>
  <c r="D13" i="7"/>
  <c r="F12" i="7"/>
  <c r="D12" i="7"/>
  <c r="H11" i="7"/>
  <c r="F11" i="7"/>
  <c r="D11" i="7"/>
  <c r="F10" i="7"/>
  <c r="D10" i="7"/>
  <c r="H9" i="7"/>
  <c r="F9" i="7"/>
  <c r="D9" i="7"/>
  <c r="F8" i="7"/>
  <c r="D8" i="7"/>
  <c r="H7" i="7"/>
  <c r="F7" i="7"/>
  <c r="D7" i="7"/>
  <c r="F6" i="7"/>
  <c r="D6" i="7"/>
  <c r="K17" i="4" l="1"/>
  <c r="K9" i="3"/>
  <c r="L9" i="3" s="1"/>
  <c r="K18" i="3"/>
  <c r="I13" i="3"/>
  <c r="I19" i="3"/>
  <c r="K16" i="3"/>
  <c r="I9" i="3"/>
  <c r="K19" i="3"/>
  <c r="I12" i="1"/>
  <c r="K11" i="1"/>
  <c r="K9" i="4"/>
  <c r="I20" i="3"/>
  <c r="I18" i="3"/>
  <c r="K21" i="3"/>
  <c r="I17" i="3"/>
  <c r="I14" i="3"/>
  <c r="I8" i="3"/>
  <c r="J8" i="3" s="1"/>
  <c r="K13" i="3"/>
  <c r="I29" i="2"/>
  <c r="J29" i="2" s="1"/>
  <c r="I16" i="2"/>
  <c r="I27" i="2"/>
  <c r="J27" i="2" s="1"/>
  <c r="I8" i="1"/>
  <c r="K15" i="1"/>
  <c r="K12" i="1"/>
  <c r="I15" i="1"/>
  <c r="I11" i="1"/>
  <c r="I13" i="8"/>
  <c r="J13" i="8" s="1"/>
  <c r="K29" i="4"/>
  <c r="L29" i="4" s="1"/>
  <c r="I41" i="12"/>
  <c r="J41" i="12" s="1"/>
  <c r="I40" i="12"/>
  <c r="J40" i="12" s="1"/>
  <c r="H39" i="12"/>
  <c r="I42" i="11"/>
  <c r="J42" i="11" s="1"/>
  <c r="I41" i="11"/>
  <c r="J41" i="11" s="1"/>
  <c r="H40" i="11"/>
  <c r="I40" i="11"/>
  <c r="J40" i="11" s="1"/>
  <c r="H39" i="11"/>
  <c r="I42" i="10"/>
  <c r="J42" i="10" s="1"/>
  <c r="K42" i="10"/>
  <c r="L42" i="10" s="1"/>
  <c r="I32" i="12"/>
  <c r="J32" i="12" s="1"/>
  <c r="K33" i="12"/>
  <c r="L33" i="12" s="1"/>
  <c r="I24" i="12"/>
  <c r="J24" i="12" s="1"/>
  <c r="I16" i="12"/>
  <c r="J16" i="12" s="1"/>
  <c r="K41" i="12"/>
  <c r="L41" i="12" s="1"/>
  <c r="I10" i="12"/>
  <c r="J10" i="12" s="1"/>
  <c r="K17" i="12"/>
  <c r="L17" i="12" s="1"/>
  <c r="K15" i="12"/>
  <c r="L15" i="12" s="1"/>
  <c r="K25" i="12"/>
  <c r="L25" i="12" s="1"/>
  <c r="K11" i="12"/>
  <c r="L11" i="12" s="1"/>
  <c r="K13" i="12"/>
  <c r="L13" i="12" s="1"/>
  <c r="I12" i="12"/>
  <c r="J12" i="12" s="1"/>
  <c r="H11" i="12"/>
  <c r="I14" i="12"/>
  <c r="J14" i="12" s="1"/>
  <c r="H13" i="12"/>
  <c r="K23" i="12"/>
  <c r="L23" i="12" s="1"/>
  <c r="I22" i="12"/>
  <c r="J22" i="12" s="1"/>
  <c r="H21" i="12"/>
  <c r="K31" i="12"/>
  <c r="L31" i="12" s="1"/>
  <c r="I30" i="12"/>
  <c r="J30" i="12" s="1"/>
  <c r="H29" i="12"/>
  <c r="K39" i="12"/>
  <c r="L39" i="12" s="1"/>
  <c r="I38" i="12"/>
  <c r="J38" i="12" s="1"/>
  <c r="H37" i="12"/>
  <c r="M42" i="12"/>
  <c r="N42" i="12" s="1"/>
  <c r="H7" i="12"/>
  <c r="H8" i="12"/>
  <c r="H9" i="12"/>
  <c r="K21" i="12"/>
  <c r="L21" i="12" s="1"/>
  <c r="I20" i="12"/>
  <c r="J20" i="12" s="1"/>
  <c r="H19" i="12"/>
  <c r="K29" i="12"/>
  <c r="L29" i="12" s="1"/>
  <c r="I28" i="12"/>
  <c r="J28" i="12" s="1"/>
  <c r="H27" i="12"/>
  <c r="K37" i="12"/>
  <c r="L37" i="12" s="1"/>
  <c r="I36" i="12"/>
  <c r="J36" i="12" s="1"/>
  <c r="H35" i="12"/>
  <c r="D45" i="12"/>
  <c r="H5" i="12"/>
  <c r="K19" i="12"/>
  <c r="L19" i="12" s="1"/>
  <c r="I18" i="12"/>
  <c r="J18" i="12" s="1"/>
  <c r="H17" i="12"/>
  <c r="K27" i="12"/>
  <c r="L27" i="12" s="1"/>
  <c r="I26" i="12"/>
  <c r="J26" i="12" s="1"/>
  <c r="H25" i="12"/>
  <c r="K35" i="12"/>
  <c r="L35" i="12" s="1"/>
  <c r="I34" i="12"/>
  <c r="J34" i="12" s="1"/>
  <c r="H33" i="12"/>
  <c r="F45" i="12"/>
  <c r="M5" i="12"/>
  <c r="N5" i="12" s="1"/>
  <c r="I7" i="12"/>
  <c r="J7" i="12" s="1"/>
  <c r="I8" i="12"/>
  <c r="J8" i="12" s="1"/>
  <c r="I9" i="12"/>
  <c r="J9" i="12" s="1"/>
  <c r="M9" i="12"/>
  <c r="N9" i="12" s="1"/>
  <c r="K10" i="12"/>
  <c r="L10" i="12" s="1"/>
  <c r="I11" i="12"/>
  <c r="J11" i="12" s="1"/>
  <c r="M11" i="12"/>
  <c r="N11" i="12" s="1"/>
  <c r="K12" i="12"/>
  <c r="L12" i="12" s="1"/>
  <c r="I13" i="12"/>
  <c r="J13" i="12" s="1"/>
  <c r="M13" i="12"/>
  <c r="N13" i="12" s="1"/>
  <c r="K14" i="12"/>
  <c r="L14" i="12" s="1"/>
  <c r="I15" i="12"/>
  <c r="J15" i="12" s="1"/>
  <c r="M15" i="12"/>
  <c r="N15" i="12" s="1"/>
  <c r="K16" i="12"/>
  <c r="L16" i="12" s="1"/>
  <c r="I17" i="12"/>
  <c r="J17" i="12" s="1"/>
  <c r="M17" i="12"/>
  <c r="N17" i="12" s="1"/>
  <c r="K18" i="12"/>
  <c r="L18" i="12" s="1"/>
  <c r="I19" i="12"/>
  <c r="J19" i="12" s="1"/>
  <c r="M19" i="12"/>
  <c r="N19" i="12" s="1"/>
  <c r="K20" i="12"/>
  <c r="L20" i="12" s="1"/>
  <c r="I21" i="12"/>
  <c r="J21" i="12" s="1"/>
  <c r="M21" i="12"/>
  <c r="N21" i="12" s="1"/>
  <c r="K22" i="12"/>
  <c r="L22" i="12" s="1"/>
  <c r="I23" i="12"/>
  <c r="J23" i="12" s="1"/>
  <c r="M23" i="12"/>
  <c r="N23" i="12" s="1"/>
  <c r="K24" i="12"/>
  <c r="L24" i="12" s="1"/>
  <c r="I25" i="12"/>
  <c r="J25" i="12" s="1"/>
  <c r="M25" i="12"/>
  <c r="N25" i="12" s="1"/>
  <c r="K26" i="12"/>
  <c r="L26" i="12" s="1"/>
  <c r="I27" i="12"/>
  <c r="J27" i="12" s="1"/>
  <c r="M27" i="12"/>
  <c r="N27" i="12" s="1"/>
  <c r="K28" i="12"/>
  <c r="L28" i="12" s="1"/>
  <c r="I29" i="12"/>
  <c r="J29" i="12" s="1"/>
  <c r="M29" i="12"/>
  <c r="N29" i="12" s="1"/>
  <c r="K30" i="12"/>
  <c r="L30" i="12" s="1"/>
  <c r="I31" i="12"/>
  <c r="J31" i="12" s="1"/>
  <c r="M31" i="12"/>
  <c r="N31" i="12" s="1"/>
  <c r="K32" i="12"/>
  <c r="L32" i="12" s="1"/>
  <c r="I33" i="12"/>
  <c r="J33" i="12" s="1"/>
  <c r="M33" i="12"/>
  <c r="N33" i="12" s="1"/>
  <c r="K34" i="12"/>
  <c r="L34" i="12" s="1"/>
  <c r="I35" i="12"/>
  <c r="J35" i="12" s="1"/>
  <c r="M35" i="12"/>
  <c r="N35" i="12" s="1"/>
  <c r="K36" i="12"/>
  <c r="L36" i="12" s="1"/>
  <c r="I37" i="12"/>
  <c r="J37" i="12" s="1"/>
  <c r="M37" i="12"/>
  <c r="N37" i="12" s="1"/>
  <c r="K38" i="12"/>
  <c r="L38" i="12" s="1"/>
  <c r="I39" i="12"/>
  <c r="J39" i="12" s="1"/>
  <c r="M39" i="12"/>
  <c r="N39" i="12" s="1"/>
  <c r="K40" i="12"/>
  <c r="L40" i="12" s="1"/>
  <c r="M41" i="12"/>
  <c r="N41" i="12" s="1"/>
  <c r="K42" i="12"/>
  <c r="L42" i="12" s="1"/>
  <c r="H10" i="12"/>
  <c r="H12" i="12"/>
  <c r="H14" i="12"/>
  <c r="H16" i="12"/>
  <c r="H18" i="12"/>
  <c r="H20" i="12"/>
  <c r="H24" i="12"/>
  <c r="H26" i="12"/>
  <c r="H28" i="12"/>
  <c r="H30" i="12"/>
  <c r="H32" i="12"/>
  <c r="H34" i="12"/>
  <c r="H36" i="12"/>
  <c r="H38" i="12"/>
  <c r="H40" i="12"/>
  <c r="G45" i="12"/>
  <c r="H45" i="12" s="1"/>
  <c r="M6" i="12"/>
  <c r="N6" i="12" s="1"/>
  <c r="M7" i="12"/>
  <c r="N7" i="12" s="1"/>
  <c r="M8" i="12"/>
  <c r="N8" i="12" s="1"/>
  <c r="K9" i="12"/>
  <c r="L9" i="12" s="1"/>
  <c r="M10" i="12"/>
  <c r="N10" i="12" s="1"/>
  <c r="M12" i="12"/>
  <c r="N12" i="12" s="1"/>
  <c r="M14" i="12"/>
  <c r="N14" i="12" s="1"/>
  <c r="M16" i="12"/>
  <c r="N16" i="12" s="1"/>
  <c r="M18" i="12"/>
  <c r="N18" i="12" s="1"/>
  <c r="M20" i="12"/>
  <c r="N20" i="12" s="1"/>
  <c r="M22" i="12"/>
  <c r="N22" i="12" s="1"/>
  <c r="M24" i="12"/>
  <c r="N24" i="12" s="1"/>
  <c r="M26" i="12"/>
  <c r="N26" i="12" s="1"/>
  <c r="M28" i="12"/>
  <c r="N28" i="12" s="1"/>
  <c r="M30" i="12"/>
  <c r="N30" i="12" s="1"/>
  <c r="M32" i="12"/>
  <c r="N32" i="12" s="1"/>
  <c r="M34" i="12"/>
  <c r="N34" i="12" s="1"/>
  <c r="M36" i="12"/>
  <c r="N36" i="12" s="1"/>
  <c r="M38" i="12"/>
  <c r="N38" i="12" s="1"/>
  <c r="M40" i="12"/>
  <c r="N40" i="12" s="1"/>
  <c r="K41" i="11"/>
  <c r="L41" i="11" s="1"/>
  <c r="I38" i="11"/>
  <c r="J38" i="11" s="1"/>
  <c r="I34" i="11"/>
  <c r="J34" i="11" s="1"/>
  <c r="I30" i="11"/>
  <c r="J30" i="11" s="1"/>
  <c r="I26" i="11"/>
  <c r="J26" i="11" s="1"/>
  <c r="I22" i="11"/>
  <c r="J22" i="11" s="1"/>
  <c r="I18" i="11"/>
  <c r="J18" i="11" s="1"/>
  <c r="I14" i="11"/>
  <c r="J14" i="11" s="1"/>
  <c r="I10" i="11"/>
  <c r="J10" i="11" s="1"/>
  <c r="K11" i="11"/>
  <c r="L11" i="11" s="1"/>
  <c r="K15" i="11"/>
  <c r="L15" i="11" s="1"/>
  <c r="K19" i="11"/>
  <c r="L19" i="11" s="1"/>
  <c r="K23" i="11"/>
  <c r="L23" i="11" s="1"/>
  <c r="K27" i="11"/>
  <c r="L27" i="11" s="1"/>
  <c r="K31" i="11"/>
  <c r="L31" i="11" s="1"/>
  <c r="K35" i="11"/>
  <c r="L35" i="11" s="1"/>
  <c r="K39" i="11"/>
  <c r="L39" i="11" s="1"/>
  <c r="K10" i="11"/>
  <c r="L10" i="11" s="1"/>
  <c r="I12" i="11"/>
  <c r="J12" i="11" s="1"/>
  <c r="I16" i="11"/>
  <c r="J16" i="11" s="1"/>
  <c r="I20" i="11"/>
  <c r="J20" i="11" s="1"/>
  <c r="I24" i="11"/>
  <c r="J24" i="11" s="1"/>
  <c r="I28" i="11"/>
  <c r="J28" i="11" s="1"/>
  <c r="I32" i="11"/>
  <c r="J32" i="11" s="1"/>
  <c r="I36" i="11"/>
  <c r="J36" i="11" s="1"/>
  <c r="M42" i="11"/>
  <c r="N42" i="11" s="1"/>
  <c r="K13" i="11"/>
  <c r="L13" i="11" s="1"/>
  <c r="K17" i="11"/>
  <c r="L17" i="11" s="1"/>
  <c r="K21" i="11"/>
  <c r="L21" i="11" s="1"/>
  <c r="K25" i="11"/>
  <c r="L25" i="11" s="1"/>
  <c r="K29" i="11"/>
  <c r="L29" i="11" s="1"/>
  <c r="K33" i="11"/>
  <c r="L33" i="11" s="1"/>
  <c r="K37" i="11"/>
  <c r="L37" i="11" s="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D45" i="11"/>
  <c r="F45" i="11"/>
  <c r="M5" i="11"/>
  <c r="N5" i="11" s="1"/>
  <c r="I7" i="11"/>
  <c r="J7" i="11" s="1"/>
  <c r="I8" i="11"/>
  <c r="J8" i="11" s="1"/>
  <c r="I9" i="11"/>
  <c r="J9" i="11" s="1"/>
  <c r="M9" i="11"/>
  <c r="N9" i="11" s="1"/>
  <c r="I11" i="11"/>
  <c r="J11" i="11" s="1"/>
  <c r="M11" i="11"/>
  <c r="N11" i="11" s="1"/>
  <c r="K12" i="11"/>
  <c r="L12" i="11" s="1"/>
  <c r="I13" i="11"/>
  <c r="J13" i="11" s="1"/>
  <c r="M13" i="11"/>
  <c r="N13" i="11" s="1"/>
  <c r="K14" i="11"/>
  <c r="L14" i="11" s="1"/>
  <c r="I15" i="11"/>
  <c r="J15" i="11" s="1"/>
  <c r="M15" i="11"/>
  <c r="N15" i="11" s="1"/>
  <c r="K16" i="11"/>
  <c r="L16" i="11" s="1"/>
  <c r="I17" i="11"/>
  <c r="J17" i="11" s="1"/>
  <c r="M17" i="11"/>
  <c r="N17" i="11" s="1"/>
  <c r="K18" i="11"/>
  <c r="L18" i="11" s="1"/>
  <c r="I19" i="11"/>
  <c r="J19" i="11" s="1"/>
  <c r="M19" i="11"/>
  <c r="N19" i="11" s="1"/>
  <c r="K20" i="11"/>
  <c r="L20" i="11" s="1"/>
  <c r="I21" i="11"/>
  <c r="J21" i="11" s="1"/>
  <c r="M21" i="11"/>
  <c r="N21" i="11" s="1"/>
  <c r="K22" i="11"/>
  <c r="L22" i="11" s="1"/>
  <c r="I23" i="11"/>
  <c r="J23" i="11" s="1"/>
  <c r="M23" i="11"/>
  <c r="N23" i="11" s="1"/>
  <c r="K24" i="11"/>
  <c r="L24" i="11" s="1"/>
  <c r="I25" i="11"/>
  <c r="J25" i="11" s="1"/>
  <c r="M25" i="11"/>
  <c r="N25" i="11" s="1"/>
  <c r="K26" i="11"/>
  <c r="L26" i="11" s="1"/>
  <c r="I27" i="11"/>
  <c r="J27" i="11" s="1"/>
  <c r="M27" i="11"/>
  <c r="N27" i="11" s="1"/>
  <c r="K28" i="11"/>
  <c r="L28" i="11" s="1"/>
  <c r="I29" i="11"/>
  <c r="J29" i="11" s="1"/>
  <c r="M29" i="11"/>
  <c r="N29" i="11" s="1"/>
  <c r="K30" i="11"/>
  <c r="L30" i="11" s="1"/>
  <c r="I31" i="11"/>
  <c r="J31" i="11" s="1"/>
  <c r="M31" i="11"/>
  <c r="N31" i="11" s="1"/>
  <c r="K32" i="11"/>
  <c r="L32" i="11" s="1"/>
  <c r="I33" i="11"/>
  <c r="J33" i="11" s="1"/>
  <c r="M33" i="11"/>
  <c r="N33" i="11" s="1"/>
  <c r="K34" i="11"/>
  <c r="L34" i="11" s="1"/>
  <c r="I35" i="11"/>
  <c r="J35" i="11" s="1"/>
  <c r="M35" i="11"/>
  <c r="N35" i="11" s="1"/>
  <c r="K36" i="11"/>
  <c r="L36" i="11" s="1"/>
  <c r="I37" i="11"/>
  <c r="J37" i="11" s="1"/>
  <c r="M37" i="11"/>
  <c r="N37" i="11" s="1"/>
  <c r="K38" i="11"/>
  <c r="L38" i="11" s="1"/>
  <c r="I39" i="11"/>
  <c r="J39" i="11" s="1"/>
  <c r="M39" i="11"/>
  <c r="N39" i="11" s="1"/>
  <c r="K40" i="11"/>
  <c r="L40" i="11" s="1"/>
  <c r="M41" i="11"/>
  <c r="N41" i="11" s="1"/>
  <c r="K42" i="11"/>
  <c r="L42" i="11" s="1"/>
  <c r="G45" i="11"/>
  <c r="H45" i="11" s="1"/>
  <c r="M6" i="11"/>
  <c r="N6" i="11" s="1"/>
  <c r="M7" i="11"/>
  <c r="N7" i="11" s="1"/>
  <c r="M8" i="11"/>
  <c r="N8" i="11" s="1"/>
  <c r="K9" i="11"/>
  <c r="L9" i="11" s="1"/>
  <c r="M10" i="11"/>
  <c r="N10" i="11" s="1"/>
  <c r="M12" i="11"/>
  <c r="N12" i="11" s="1"/>
  <c r="M14" i="11"/>
  <c r="N14" i="11" s="1"/>
  <c r="M16" i="11"/>
  <c r="N16" i="11" s="1"/>
  <c r="M18" i="11"/>
  <c r="N18" i="11" s="1"/>
  <c r="M20" i="11"/>
  <c r="N20" i="11" s="1"/>
  <c r="M22" i="11"/>
  <c r="N22" i="11" s="1"/>
  <c r="M24" i="11"/>
  <c r="N24" i="11" s="1"/>
  <c r="M26" i="11"/>
  <c r="N26" i="11" s="1"/>
  <c r="M28" i="11"/>
  <c r="N28" i="11" s="1"/>
  <c r="M30" i="11"/>
  <c r="N30" i="11" s="1"/>
  <c r="M32" i="11"/>
  <c r="N32" i="11" s="1"/>
  <c r="M34" i="11"/>
  <c r="N34" i="11" s="1"/>
  <c r="M36" i="11"/>
  <c r="N36" i="11" s="1"/>
  <c r="M38" i="11"/>
  <c r="N38" i="11" s="1"/>
  <c r="M40" i="11"/>
  <c r="N40" i="11" s="1"/>
  <c r="D45" i="10"/>
  <c r="K38" i="10"/>
  <c r="L38" i="10" s="1"/>
  <c r="K34" i="10"/>
  <c r="L34" i="10" s="1"/>
  <c r="K30" i="10"/>
  <c r="L30" i="10" s="1"/>
  <c r="K26" i="10"/>
  <c r="L26" i="10" s="1"/>
  <c r="K14" i="10"/>
  <c r="L14" i="10" s="1"/>
  <c r="K10" i="10"/>
  <c r="L10" i="10" s="1"/>
  <c r="M42" i="10"/>
  <c r="N42" i="10" s="1"/>
  <c r="K13" i="10"/>
  <c r="L13" i="10" s="1"/>
  <c r="K17" i="10"/>
  <c r="L17" i="10" s="1"/>
  <c r="K21" i="10"/>
  <c r="L21" i="10" s="1"/>
  <c r="K25" i="10"/>
  <c r="L25" i="10" s="1"/>
  <c r="K29" i="10"/>
  <c r="L29" i="10" s="1"/>
  <c r="K33" i="10"/>
  <c r="L33" i="10" s="1"/>
  <c r="K37" i="10"/>
  <c r="L37" i="10" s="1"/>
  <c r="K41" i="10"/>
  <c r="L41" i="10" s="1"/>
  <c r="I10" i="10"/>
  <c r="J10" i="10" s="1"/>
  <c r="K16" i="10"/>
  <c r="L16" i="10" s="1"/>
  <c r="K20" i="10"/>
  <c r="L20" i="10" s="1"/>
  <c r="K24" i="10"/>
  <c r="L24" i="10" s="1"/>
  <c r="K28" i="10"/>
  <c r="L28" i="10" s="1"/>
  <c r="K32" i="10"/>
  <c r="L32" i="10" s="1"/>
  <c r="K36" i="10"/>
  <c r="L36" i="10" s="1"/>
  <c r="K40" i="10"/>
  <c r="L40" i="10" s="1"/>
  <c r="K11" i="10"/>
  <c r="L11" i="10" s="1"/>
  <c r="K15" i="10"/>
  <c r="L15" i="10" s="1"/>
  <c r="K19" i="10"/>
  <c r="L19" i="10" s="1"/>
  <c r="K23" i="10"/>
  <c r="L23" i="10" s="1"/>
  <c r="K27" i="10"/>
  <c r="L27" i="10" s="1"/>
  <c r="K31" i="10"/>
  <c r="L31" i="10" s="1"/>
  <c r="K35" i="10"/>
  <c r="L35" i="10" s="1"/>
  <c r="K39" i="10"/>
  <c r="L39" i="10" s="1"/>
  <c r="I40" i="10"/>
  <c r="J40" i="10" s="1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F45" i="10"/>
  <c r="M5" i="10"/>
  <c r="N5" i="10" s="1"/>
  <c r="I7" i="10"/>
  <c r="J7" i="10" s="1"/>
  <c r="I8" i="10"/>
  <c r="J8" i="10" s="1"/>
  <c r="I9" i="10"/>
  <c r="J9" i="10" s="1"/>
  <c r="M9" i="10"/>
  <c r="N9" i="10" s="1"/>
  <c r="I11" i="10"/>
  <c r="J11" i="10" s="1"/>
  <c r="M11" i="10"/>
  <c r="N11" i="10" s="1"/>
  <c r="K12" i="10"/>
  <c r="L12" i="10" s="1"/>
  <c r="I13" i="10"/>
  <c r="J13" i="10" s="1"/>
  <c r="M13" i="10"/>
  <c r="N13" i="10" s="1"/>
  <c r="I15" i="10"/>
  <c r="J15" i="10" s="1"/>
  <c r="M15" i="10"/>
  <c r="N15" i="10" s="1"/>
  <c r="I17" i="10"/>
  <c r="J17" i="10" s="1"/>
  <c r="M17" i="10"/>
  <c r="N17" i="10" s="1"/>
  <c r="I19" i="10"/>
  <c r="J19" i="10" s="1"/>
  <c r="M19" i="10"/>
  <c r="N19" i="10" s="1"/>
  <c r="I21" i="10"/>
  <c r="J21" i="10" s="1"/>
  <c r="M21" i="10"/>
  <c r="N21" i="10" s="1"/>
  <c r="I23" i="10"/>
  <c r="J23" i="10" s="1"/>
  <c r="M23" i="10"/>
  <c r="N23" i="10" s="1"/>
  <c r="I25" i="10"/>
  <c r="J25" i="10" s="1"/>
  <c r="M25" i="10"/>
  <c r="N25" i="10" s="1"/>
  <c r="I27" i="10"/>
  <c r="J27" i="10" s="1"/>
  <c r="M27" i="10"/>
  <c r="N27" i="10" s="1"/>
  <c r="I29" i="10"/>
  <c r="J29" i="10" s="1"/>
  <c r="M29" i="10"/>
  <c r="N29" i="10" s="1"/>
  <c r="I31" i="10"/>
  <c r="J31" i="10" s="1"/>
  <c r="M31" i="10"/>
  <c r="N31" i="10" s="1"/>
  <c r="I33" i="10"/>
  <c r="J33" i="10" s="1"/>
  <c r="M33" i="10"/>
  <c r="N33" i="10" s="1"/>
  <c r="I35" i="10"/>
  <c r="J35" i="10" s="1"/>
  <c r="M35" i="10"/>
  <c r="N35" i="10" s="1"/>
  <c r="I37" i="10"/>
  <c r="J37" i="10" s="1"/>
  <c r="M37" i="10"/>
  <c r="N37" i="10" s="1"/>
  <c r="I39" i="10"/>
  <c r="J39" i="10" s="1"/>
  <c r="M39" i="10"/>
  <c r="N39" i="10" s="1"/>
  <c r="I41" i="10"/>
  <c r="J41" i="10" s="1"/>
  <c r="M41" i="10"/>
  <c r="N41" i="10" s="1"/>
  <c r="G45" i="10"/>
  <c r="H45" i="10" s="1"/>
  <c r="M6" i="10"/>
  <c r="N6" i="10" s="1"/>
  <c r="M7" i="10"/>
  <c r="N7" i="10" s="1"/>
  <c r="M8" i="10"/>
  <c r="N8" i="10" s="1"/>
  <c r="K9" i="10"/>
  <c r="L9" i="10" s="1"/>
  <c r="M10" i="10"/>
  <c r="N10" i="10" s="1"/>
  <c r="I12" i="10"/>
  <c r="J12" i="10" s="1"/>
  <c r="M12" i="10"/>
  <c r="N12" i="10" s="1"/>
  <c r="I14" i="10"/>
  <c r="J14" i="10" s="1"/>
  <c r="M14" i="10"/>
  <c r="N14" i="10" s="1"/>
  <c r="I16" i="10"/>
  <c r="J16" i="10" s="1"/>
  <c r="M16" i="10"/>
  <c r="N16" i="10" s="1"/>
  <c r="I18" i="10"/>
  <c r="J18" i="10" s="1"/>
  <c r="M18" i="10"/>
  <c r="N18" i="10" s="1"/>
  <c r="I20" i="10"/>
  <c r="J20" i="10" s="1"/>
  <c r="M20" i="10"/>
  <c r="N20" i="10" s="1"/>
  <c r="I22" i="10"/>
  <c r="J22" i="10" s="1"/>
  <c r="M22" i="10"/>
  <c r="N22" i="10" s="1"/>
  <c r="I24" i="10"/>
  <c r="J24" i="10" s="1"/>
  <c r="M24" i="10"/>
  <c r="N24" i="10" s="1"/>
  <c r="I26" i="10"/>
  <c r="J26" i="10" s="1"/>
  <c r="M26" i="10"/>
  <c r="N26" i="10" s="1"/>
  <c r="I28" i="10"/>
  <c r="J28" i="10" s="1"/>
  <c r="M28" i="10"/>
  <c r="N28" i="10" s="1"/>
  <c r="I30" i="10"/>
  <c r="J30" i="10" s="1"/>
  <c r="M30" i="10"/>
  <c r="N30" i="10" s="1"/>
  <c r="I32" i="10"/>
  <c r="J32" i="10" s="1"/>
  <c r="M32" i="10"/>
  <c r="N32" i="10" s="1"/>
  <c r="I34" i="10"/>
  <c r="J34" i="10" s="1"/>
  <c r="M34" i="10"/>
  <c r="N34" i="10" s="1"/>
  <c r="I36" i="10"/>
  <c r="J36" i="10" s="1"/>
  <c r="M36" i="10"/>
  <c r="N36" i="10" s="1"/>
  <c r="I38" i="10"/>
  <c r="J38" i="10" s="1"/>
  <c r="M38" i="10"/>
  <c r="N38" i="10" s="1"/>
  <c r="M40" i="10"/>
  <c r="N40" i="10" s="1"/>
  <c r="I20" i="9"/>
  <c r="J20" i="9" s="1"/>
  <c r="K23" i="9"/>
  <c r="L23" i="9" s="1"/>
  <c r="K17" i="9"/>
  <c r="L17" i="9" s="1"/>
  <c r="K41" i="9"/>
  <c r="L41" i="9" s="1"/>
  <c r="I26" i="9"/>
  <c r="J26" i="9" s="1"/>
  <c r="I24" i="9"/>
  <c r="J24" i="9" s="1"/>
  <c r="I22" i="9"/>
  <c r="J22" i="9" s="1"/>
  <c r="I16" i="9"/>
  <c r="J16" i="9" s="1"/>
  <c r="K15" i="9"/>
  <c r="L15" i="9" s="1"/>
  <c r="K13" i="9"/>
  <c r="L13" i="9" s="1"/>
  <c r="H19" i="9"/>
  <c r="I10" i="9"/>
  <c r="J10" i="9" s="1"/>
  <c r="I34" i="9"/>
  <c r="J34" i="9" s="1"/>
  <c r="K11" i="9"/>
  <c r="L11" i="9" s="1"/>
  <c r="K31" i="9"/>
  <c r="L31" i="9" s="1"/>
  <c r="H29" i="9"/>
  <c r="K39" i="9"/>
  <c r="L39" i="9" s="1"/>
  <c r="M42" i="9"/>
  <c r="N42" i="9" s="1"/>
  <c r="H7" i="9"/>
  <c r="H8" i="9"/>
  <c r="H9" i="9"/>
  <c r="H11" i="9"/>
  <c r="H13" i="9"/>
  <c r="K19" i="9"/>
  <c r="L19" i="9" s="1"/>
  <c r="I18" i="9"/>
  <c r="J18" i="9" s="1"/>
  <c r="K21" i="9"/>
  <c r="L21" i="9" s="1"/>
  <c r="K25" i="9"/>
  <c r="L25" i="9" s="1"/>
  <c r="K29" i="9"/>
  <c r="L29" i="9" s="1"/>
  <c r="I28" i="9"/>
  <c r="J28" i="9" s="1"/>
  <c r="H27" i="9"/>
  <c r="K37" i="9"/>
  <c r="L37" i="9" s="1"/>
  <c r="I36" i="9"/>
  <c r="J36" i="9" s="1"/>
  <c r="H35" i="9"/>
  <c r="D45" i="9"/>
  <c r="I30" i="9"/>
  <c r="J30" i="9" s="1"/>
  <c r="I38" i="9"/>
  <c r="J38" i="9" s="1"/>
  <c r="H37" i="9"/>
  <c r="K27" i="9"/>
  <c r="L27" i="9" s="1"/>
  <c r="K35" i="9"/>
  <c r="L35" i="9" s="1"/>
  <c r="H33" i="9"/>
  <c r="F45" i="9"/>
  <c r="M5" i="9"/>
  <c r="N5" i="9" s="1"/>
  <c r="I7" i="9"/>
  <c r="J7" i="9" s="1"/>
  <c r="I8" i="9"/>
  <c r="J8" i="9" s="1"/>
  <c r="I9" i="9"/>
  <c r="J9" i="9" s="1"/>
  <c r="M9" i="9"/>
  <c r="N9" i="9" s="1"/>
  <c r="K10" i="9"/>
  <c r="L10" i="9" s="1"/>
  <c r="I11" i="9"/>
  <c r="J11" i="9" s="1"/>
  <c r="M11" i="9"/>
  <c r="N11" i="9" s="1"/>
  <c r="K12" i="9"/>
  <c r="L12" i="9" s="1"/>
  <c r="I13" i="9"/>
  <c r="J13" i="9" s="1"/>
  <c r="M13" i="9"/>
  <c r="N13" i="9" s="1"/>
  <c r="K14" i="9"/>
  <c r="L14" i="9" s="1"/>
  <c r="I15" i="9"/>
  <c r="J15" i="9" s="1"/>
  <c r="M15" i="9"/>
  <c r="N15" i="9" s="1"/>
  <c r="K16" i="9"/>
  <c r="L16" i="9" s="1"/>
  <c r="I17" i="9"/>
  <c r="J17" i="9" s="1"/>
  <c r="M17" i="9"/>
  <c r="N17" i="9" s="1"/>
  <c r="K18" i="9"/>
  <c r="L18" i="9" s="1"/>
  <c r="I19" i="9"/>
  <c r="J19" i="9" s="1"/>
  <c r="M19" i="9"/>
  <c r="N19" i="9" s="1"/>
  <c r="K20" i="9"/>
  <c r="L20" i="9" s="1"/>
  <c r="I21" i="9"/>
  <c r="J21" i="9" s="1"/>
  <c r="M21" i="9"/>
  <c r="N21" i="9" s="1"/>
  <c r="K22" i="9"/>
  <c r="L22" i="9" s="1"/>
  <c r="I23" i="9"/>
  <c r="J23" i="9" s="1"/>
  <c r="M23" i="9"/>
  <c r="N23" i="9" s="1"/>
  <c r="K24" i="9"/>
  <c r="L24" i="9" s="1"/>
  <c r="I25" i="9"/>
  <c r="J25" i="9" s="1"/>
  <c r="M25" i="9"/>
  <c r="N25" i="9" s="1"/>
  <c r="K26" i="9"/>
  <c r="L26" i="9" s="1"/>
  <c r="I27" i="9"/>
  <c r="J27" i="9" s="1"/>
  <c r="M27" i="9"/>
  <c r="N27" i="9" s="1"/>
  <c r="K28" i="9"/>
  <c r="L28" i="9" s="1"/>
  <c r="I29" i="9"/>
  <c r="J29" i="9" s="1"/>
  <c r="M29" i="9"/>
  <c r="N29" i="9" s="1"/>
  <c r="K30" i="9"/>
  <c r="L30" i="9" s="1"/>
  <c r="I31" i="9"/>
  <c r="J31" i="9" s="1"/>
  <c r="M31" i="9"/>
  <c r="N31" i="9" s="1"/>
  <c r="K32" i="9"/>
  <c r="L32" i="9" s="1"/>
  <c r="I33" i="9"/>
  <c r="J33" i="9" s="1"/>
  <c r="M33" i="9"/>
  <c r="N33" i="9" s="1"/>
  <c r="K34" i="9"/>
  <c r="L34" i="9" s="1"/>
  <c r="I35" i="9"/>
  <c r="J35" i="9" s="1"/>
  <c r="M35" i="9"/>
  <c r="N35" i="9" s="1"/>
  <c r="K36" i="9"/>
  <c r="L36" i="9" s="1"/>
  <c r="I37" i="9"/>
  <c r="J37" i="9" s="1"/>
  <c r="M37" i="9"/>
  <c r="N37" i="9" s="1"/>
  <c r="K38" i="9"/>
  <c r="L38" i="9" s="1"/>
  <c r="I39" i="9"/>
  <c r="J39" i="9" s="1"/>
  <c r="M39" i="9"/>
  <c r="N39" i="9" s="1"/>
  <c r="K40" i="9"/>
  <c r="L40" i="9" s="1"/>
  <c r="M41" i="9"/>
  <c r="N41" i="9" s="1"/>
  <c r="K42" i="9"/>
  <c r="L42" i="9" s="1"/>
  <c r="H10" i="9"/>
  <c r="H12" i="9"/>
  <c r="H14" i="9"/>
  <c r="H16" i="9"/>
  <c r="H18" i="9"/>
  <c r="H20" i="9"/>
  <c r="H22" i="9"/>
  <c r="H24" i="9"/>
  <c r="H26" i="9"/>
  <c r="H28" i="9"/>
  <c r="H30" i="9"/>
  <c r="H32" i="9"/>
  <c r="H34" i="9"/>
  <c r="H36" i="9"/>
  <c r="H38" i="9"/>
  <c r="H40" i="9"/>
  <c r="G45" i="9"/>
  <c r="H45" i="9" s="1"/>
  <c r="M6" i="9"/>
  <c r="N6" i="9" s="1"/>
  <c r="M7" i="9"/>
  <c r="N7" i="9" s="1"/>
  <c r="M8" i="9"/>
  <c r="N8" i="9" s="1"/>
  <c r="K9" i="9"/>
  <c r="L9" i="9" s="1"/>
  <c r="M10" i="9"/>
  <c r="N10" i="9" s="1"/>
  <c r="M12" i="9"/>
  <c r="N12" i="9" s="1"/>
  <c r="M14" i="9"/>
  <c r="N14" i="9" s="1"/>
  <c r="M16" i="9"/>
  <c r="N16" i="9" s="1"/>
  <c r="M18" i="9"/>
  <c r="N18" i="9" s="1"/>
  <c r="M20" i="9"/>
  <c r="N20" i="9" s="1"/>
  <c r="M22" i="9"/>
  <c r="N22" i="9" s="1"/>
  <c r="M24" i="9"/>
  <c r="N24" i="9" s="1"/>
  <c r="M26" i="9"/>
  <c r="N26" i="9" s="1"/>
  <c r="M28" i="9"/>
  <c r="N28" i="9" s="1"/>
  <c r="M30" i="9"/>
  <c r="N30" i="9" s="1"/>
  <c r="M32" i="9"/>
  <c r="N32" i="9" s="1"/>
  <c r="M34" i="9"/>
  <c r="N34" i="9" s="1"/>
  <c r="M36" i="9"/>
  <c r="N36" i="9" s="1"/>
  <c r="M38" i="9"/>
  <c r="N38" i="9" s="1"/>
  <c r="M40" i="9"/>
  <c r="N40" i="9" s="1"/>
  <c r="K14" i="8"/>
  <c r="L14" i="8" s="1"/>
  <c r="K12" i="8"/>
  <c r="L12" i="8" s="1"/>
  <c r="M15" i="8"/>
  <c r="N15" i="8" s="1"/>
  <c r="D18" i="8"/>
  <c r="H8" i="8"/>
  <c r="H9" i="8"/>
  <c r="H10" i="8"/>
  <c r="F18" i="8"/>
  <c r="H6" i="8"/>
  <c r="H12" i="8"/>
  <c r="M6" i="8"/>
  <c r="N6" i="8" s="1"/>
  <c r="I8" i="8"/>
  <c r="J8" i="8" s="1"/>
  <c r="I9" i="8"/>
  <c r="J9" i="8" s="1"/>
  <c r="I10" i="8"/>
  <c r="J10" i="8" s="1"/>
  <c r="M10" i="8"/>
  <c r="N10" i="8" s="1"/>
  <c r="K11" i="8"/>
  <c r="L11" i="8" s="1"/>
  <c r="I12" i="8"/>
  <c r="J12" i="8" s="1"/>
  <c r="M12" i="8"/>
  <c r="N12" i="8" s="1"/>
  <c r="K13" i="8"/>
  <c r="L13" i="8" s="1"/>
  <c r="M14" i="8"/>
  <c r="N14" i="8" s="1"/>
  <c r="K15" i="8"/>
  <c r="L15" i="8" s="1"/>
  <c r="H11" i="8"/>
  <c r="H13" i="8"/>
  <c r="G18" i="8"/>
  <c r="H18" i="8" s="1"/>
  <c r="M7" i="8"/>
  <c r="N7" i="8" s="1"/>
  <c r="M8" i="8"/>
  <c r="N8" i="8" s="1"/>
  <c r="M9" i="8"/>
  <c r="N9" i="8" s="1"/>
  <c r="K10" i="8"/>
  <c r="L10" i="8" s="1"/>
  <c r="M11" i="8"/>
  <c r="N11" i="8" s="1"/>
  <c r="M13" i="8"/>
  <c r="N13" i="8" s="1"/>
  <c r="H6" i="7"/>
  <c r="H10" i="7"/>
  <c r="D18" i="7"/>
  <c r="F18" i="7"/>
  <c r="H8" i="7"/>
  <c r="H12" i="7"/>
  <c r="G18" i="7"/>
  <c r="H18" i="7" s="1"/>
  <c r="D44" i="6"/>
  <c r="K37" i="6"/>
  <c r="L37" i="6" s="1"/>
  <c r="K39" i="6"/>
  <c r="L39" i="6" s="1"/>
  <c r="I38" i="6"/>
  <c r="J38" i="6" s="1"/>
  <c r="I36" i="6"/>
  <c r="J36" i="6" s="1"/>
  <c r="K33" i="6"/>
  <c r="L33" i="6" s="1"/>
  <c r="I32" i="6"/>
  <c r="J32" i="6" s="1"/>
  <c r="K29" i="6"/>
  <c r="L29" i="6" s="1"/>
  <c r="I28" i="6"/>
  <c r="J28" i="6" s="1"/>
  <c r="I24" i="6"/>
  <c r="J24" i="6" s="1"/>
  <c r="K17" i="6"/>
  <c r="L17" i="6" s="1"/>
  <c r="I16" i="6"/>
  <c r="J16" i="6" s="1"/>
  <c r="I20" i="6"/>
  <c r="J20" i="6" s="1"/>
  <c r="I12" i="6"/>
  <c r="J12" i="6" s="1"/>
  <c r="K13" i="6"/>
  <c r="L13" i="6" s="1"/>
  <c r="M42" i="6"/>
  <c r="N42" i="6" s="1"/>
  <c r="I10" i="6"/>
  <c r="J10" i="6" s="1"/>
  <c r="I14" i="6"/>
  <c r="J14" i="6" s="1"/>
  <c r="I18" i="6"/>
  <c r="J18" i="6" s="1"/>
  <c r="I22" i="6"/>
  <c r="J22" i="6" s="1"/>
  <c r="I26" i="6"/>
  <c r="J26" i="6" s="1"/>
  <c r="I30" i="6"/>
  <c r="J30" i="6" s="1"/>
  <c r="I34" i="6"/>
  <c r="J34" i="6" s="1"/>
  <c r="K11" i="6"/>
  <c r="L11" i="6" s="1"/>
  <c r="K15" i="6"/>
  <c r="L15" i="6" s="1"/>
  <c r="K19" i="6"/>
  <c r="L19" i="6" s="1"/>
  <c r="K23" i="6"/>
  <c r="L23" i="6" s="1"/>
  <c r="K27" i="6"/>
  <c r="L27" i="6" s="1"/>
  <c r="K31" i="6"/>
  <c r="L31" i="6" s="1"/>
  <c r="K35" i="6"/>
  <c r="L35" i="6" s="1"/>
  <c r="K10" i="6"/>
  <c r="L10" i="6" s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F44" i="6"/>
  <c r="M5" i="6"/>
  <c r="N5" i="6" s="1"/>
  <c r="I7" i="6"/>
  <c r="J7" i="6" s="1"/>
  <c r="I8" i="6"/>
  <c r="J8" i="6" s="1"/>
  <c r="I9" i="6"/>
  <c r="J9" i="6" s="1"/>
  <c r="M9" i="6"/>
  <c r="I11" i="6"/>
  <c r="J11" i="6" s="1"/>
  <c r="M11" i="6"/>
  <c r="N11" i="6" s="1"/>
  <c r="K12" i="6"/>
  <c r="L12" i="6" s="1"/>
  <c r="I13" i="6"/>
  <c r="J13" i="6" s="1"/>
  <c r="M13" i="6"/>
  <c r="N13" i="6" s="1"/>
  <c r="K14" i="6"/>
  <c r="L14" i="6" s="1"/>
  <c r="I15" i="6"/>
  <c r="J15" i="6" s="1"/>
  <c r="M15" i="6"/>
  <c r="N15" i="6" s="1"/>
  <c r="K16" i="6"/>
  <c r="L16" i="6" s="1"/>
  <c r="I17" i="6"/>
  <c r="J17" i="6" s="1"/>
  <c r="M17" i="6"/>
  <c r="N17" i="6" s="1"/>
  <c r="K18" i="6"/>
  <c r="L18" i="6" s="1"/>
  <c r="I19" i="6"/>
  <c r="J19" i="6" s="1"/>
  <c r="M19" i="6"/>
  <c r="N19" i="6" s="1"/>
  <c r="K20" i="6"/>
  <c r="L20" i="6" s="1"/>
  <c r="I21" i="6"/>
  <c r="J21" i="6" s="1"/>
  <c r="M21" i="6"/>
  <c r="N21" i="6" s="1"/>
  <c r="K22" i="6"/>
  <c r="L22" i="6" s="1"/>
  <c r="I23" i="6"/>
  <c r="J23" i="6" s="1"/>
  <c r="M23" i="6"/>
  <c r="N23" i="6" s="1"/>
  <c r="K24" i="6"/>
  <c r="L24" i="6" s="1"/>
  <c r="I25" i="6"/>
  <c r="J25" i="6" s="1"/>
  <c r="M25" i="6"/>
  <c r="N25" i="6" s="1"/>
  <c r="K26" i="6"/>
  <c r="L26" i="6" s="1"/>
  <c r="I27" i="6"/>
  <c r="J27" i="6" s="1"/>
  <c r="M27" i="6"/>
  <c r="N27" i="6" s="1"/>
  <c r="K28" i="6"/>
  <c r="L28" i="6" s="1"/>
  <c r="I29" i="6"/>
  <c r="J29" i="6" s="1"/>
  <c r="M29" i="6"/>
  <c r="N29" i="6" s="1"/>
  <c r="K30" i="6"/>
  <c r="L30" i="6" s="1"/>
  <c r="I31" i="6"/>
  <c r="J31" i="6" s="1"/>
  <c r="M31" i="6"/>
  <c r="N31" i="6" s="1"/>
  <c r="K32" i="6"/>
  <c r="L32" i="6" s="1"/>
  <c r="I33" i="6"/>
  <c r="J33" i="6" s="1"/>
  <c r="M33" i="6"/>
  <c r="N33" i="6" s="1"/>
  <c r="K34" i="6"/>
  <c r="L34" i="6" s="1"/>
  <c r="I35" i="6"/>
  <c r="J35" i="6" s="1"/>
  <c r="M35" i="6"/>
  <c r="N35" i="6" s="1"/>
  <c r="K36" i="6"/>
  <c r="L36" i="6" s="1"/>
  <c r="I37" i="6"/>
  <c r="J37" i="6" s="1"/>
  <c r="M37" i="6"/>
  <c r="N37" i="6" s="1"/>
  <c r="K38" i="6"/>
  <c r="L38" i="6" s="1"/>
  <c r="I39" i="6"/>
  <c r="J39" i="6" s="1"/>
  <c r="M39" i="6"/>
  <c r="N39" i="6" s="1"/>
  <c r="K40" i="6"/>
  <c r="L40" i="6" s="1"/>
  <c r="M41" i="6"/>
  <c r="N41" i="6" s="1"/>
  <c r="K42" i="6"/>
  <c r="L42" i="6" s="1"/>
  <c r="N9" i="6"/>
  <c r="H44" i="6"/>
  <c r="M6" i="6"/>
  <c r="N6" i="6" s="1"/>
  <c r="M7" i="6"/>
  <c r="N7" i="6" s="1"/>
  <c r="M8" i="6"/>
  <c r="N8" i="6" s="1"/>
  <c r="K9" i="6"/>
  <c r="L9" i="6" s="1"/>
  <c r="M10" i="6"/>
  <c r="N10" i="6" s="1"/>
  <c r="M12" i="6"/>
  <c r="N12" i="6" s="1"/>
  <c r="M14" i="6"/>
  <c r="N14" i="6" s="1"/>
  <c r="M16" i="6"/>
  <c r="N16" i="6" s="1"/>
  <c r="M18" i="6"/>
  <c r="N18" i="6" s="1"/>
  <c r="M20" i="6"/>
  <c r="N20" i="6" s="1"/>
  <c r="M22" i="6"/>
  <c r="N22" i="6" s="1"/>
  <c r="M24" i="6"/>
  <c r="N24" i="6" s="1"/>
  <c r="M26" i="6"/>
  <c r="N26" i="6" s="1"/>
  <c r="M28" i="6"/>
  <c r="N28" i="6" s="1"/>
  <c r="M30" i="6"/>
  <c r="N30" i="6" s="1"/>
  <c r="M32" i="6"/>
  <c r="N32" i="6" s="1"/>
  <c r="M34" i="6"/>
  <c r="N34" i="6" s="1"/>
  <c r="M36" i="6"/>
  <c r="N36" i="6" s="1"/>
  <c r="M38" i="6"/>
  <c r="N38" i="6" s="1"/>
  <c r="M40" i="6"/>
  <c r="N40" i="6" s="1"/>
  <c r="I33" i="5"/>
  <c r="J33" i="5" s="1"/>
  <c r="I29" i="5"/>
  <c r="J29" i="5" s="1"/>
  <c r="M6" i="5"/>
  <c r="N6" i="5" s="1"/>
  <c r="I37" i="5"/>
  <c r="J37" i="5" s="1"/>
  <c r="K37" i="5"/>
  <c r="L37" i="5" s="1"/>
  <c r="I36" i="5"/>
  <c r="J36" i="5" s="1"/>
  <c r="I35" i="5"/>
  <c r="J35" i="5" s="1"/>
  <c r="K29" i="5"/>
  <c r="L29" i="5" s="1"/>
  <c r="K26" i="5"/>
  <c r="L26" i="5" s="1"/>
  <c r="K24" i="5"/>
  <c r="L24" i="5" s="1"/>
  <c r="K20" i="5"/>
  <c r="L20" i="5" s="1"/>
  <c r="I17" i="5"/>
  <c r="J17" i="5" s="1"/>
  <c r="K17" i="5"/>
  <c r="L17" i="5" s="1"/>
  <c r="K16" i="5"/>
  <c r="L16" i="5" s="1"/>
  <c r="H13" i="5"/>
  <c r="K13" i="5"/>
  <c r="L13" i="5" s="1"/>
  <c r="I13" i="5"/>
  <c r="J13" i="5" s="1"/>
  <c r="K12" i="5"/>
  <c r="L12" i="5" s="1"/>
  <c r="I9" i="5"/>
  <c r="J9" i="5" s="1"/>
  <c r="H9" i="5"/>
  <c r="I28" i="5"/>
  <c r="J28" i="5" s="1"/>
  <c r="I20" i="5"/>
  <c r="J20" i="5" s="1"/>
  <c r="I12" i="5"/>
  <c r="J12" i="5" s="1"/>
  <c r="K39" i="5"/>
  <c r="L39" i="5" s="1"/>
  <c r="K31" i="5"/>
  <c r="L31" i="5" s="1"/>
  <c r="K23" i="5"/>
  <c r="L23" i="5" s="1"/>
  <c r="D45" i="5"/>
  <c r="I7" i="5"/>
  <c r="J7" i="5" s="1"/>
  <c r="I27" i="5"/>
  <c r="J27" i="5" s="1"/>
  <c r="I23" i="5"/>
  <c r="J23" i="5" s="1"/>
  <c r="I15" i="5"/>
  <c r="J15" i="5" s="1"/>
  <c r="K38" i="5"/>
  <c r="L38" i="5" s="1"/>
  <c r="K30" i="5"/>
  <c r="L30" i="5" s="1"/>
  <c r="K14" i="5"/>
  <c r="L14" i="5" s="1"/>
  <c r="M13" i="5"/>
  <c r="N13" i="5" s="1"/>
  <c r="F45" i="5"/>
  <c r="H12" i="5"/>
  <c r="H8" i="5"/>
  <c r="I38" i="5"/>
  <c r="J38" i="5" s="1"/>
  <c r="I34" i="5"/>
  <c r="J34" i="5" s="1"/>
  <c r="I30" i="5"/>
  <c r="J30" i="5" s="1"/>
  <c r="I26" i="5"/>
  <c r="J26" i="5" s="1"/>
  <c r="I22" i="5"/>
  <c r="J22" i="5" s="1"/>
  <c r="I18" i="5"/>
  <c r="J18" i="5" s="1"/>
  <c r="I14" i="5"/>
  <c r="J14" i="5" s="1"/>
  <c r="I10" i="5"/>
  <c r="J10" i="5" s="1"/>
  <c r="K41" i="5"/>
  <c r="L41" i="5" s="1"/>
  <c r="K33" i="5"/>
  <c r="L33" i="5" s="1"/>
  <c r="K25" i="5"/>
  <c r="L25" i="5" s="1"/>
  <c r="K21" i="5"/>
  <c r="L21" i="5" s="1"/>
  <c r="M16" i="5"/>
  <c r="N16" i="5" s="1"/>
  <c r="M12" i="5"/>
  <c r="N12" i="5" s="1"/>
  <c r="M8" i="5"/>
  <c r="N8" i="5" s="1"/>
  <c r="I40" i="5"/>
  <c r="J40" i="5" s="1"/>
  <c r="I32" i="5"/>
  <c r="J32" i="5" s="1"/>
  <c r="I24" i="5"/>
  <c r="J24" i="5" s="1"/>
  <c r="I16" i="5"/>
  <c r="J16" i="5" s="1"/>
  <c r="I8" i="5"/>
  <c r="J8" i="5" s="1"/>
  <c r="K9" i="5"/>
  <c r="L9" i="5" s="1"/>
  <c r="K35" i="5"/>
  <c r="L35" i="5" s="1"/>
  <c r="K27" i="5"/>
  <c r="L27" i="5" s="1"/>
  <c r="K19" i="5"/>
  <c r="L19" i="5" s="1"/>
  <c r="K15" i="5"/>
  <c r="L15" i="5" s="1"/>
  <c r="K11" i="5"/>
  <c r="L11" i="5" s="1"/>
  <c r="M14" i="5"/>
  <c r="N14" i="5" s="1"/>
  <c r="M10" i="5"/>
  <c r="N10" i="5" s="1"/>
  <c r="H27" i="5"/>
  <c r="H37" i="5"/>
  <c r="H38" i="5"/>
  <c r="H16" i="5"/>
  <c r="I31" i="5"/>
  <c r="J31" i="5" s="1"/>
  <c r="I19" i="5"/>
  <c r="J19" i="5" s="1"/>
  <c r="I11" i="5"/>
  <c r="J11" i="5" s="1"/>
  <c r="K34" i="5"/>
  <c r="L34" i="5" s="1"/>
  <c r="K22" i="5"/>
  <c r="L22" i="5" s="1"/>
  <c r="K18" i="5"/>
  <c r="L18" i="5" s="1"/>
  <c r="K10" i="5"/>
  <c r="L10" i="5" s="1"/>
  <c r="M9" i="5"/>
  <c r="N9" i="5" s="1"/>
  <c r="H15" i="5"/>
  <c r="H11" i="5"/>
  <c r="H7" i="5"/>
  <c r="I25" i="5"/>
  <c r="J25" i="5" s="1"/>
  <c r="I21" i="5"/>
  <c r="J21" i="5" s="1"/>
  <c r="K40" i="5"/>
  <c r="L40" i="5" s="1"/>
  <c r="K36" i="5"/>
  <c r="L36" i="5" s="1"/>
  <c r="K32" i="5"/>
  <c r="L32" i="5" s="1"/>
  <c r="K28" i="5"/>
  <c r="L28" i="5" s="1"/>
  <c r="M15" i="5"/>
  <c r="N15" i="5" s="1"/>
  <c r="M11" i="5"/>
  <c r="N11" i="5" s="1"/>
  <c r="M7" i="5"/>
  <c r="N7" i="5" s="1"/>
  <c r="H25" i="5"/>
  <c r="H33" i="5"/>
  <c r="H35" i="5"/>
  <c r="H31" i="5"/>
  <c r="H22" i="5"/>
  <c r="H20" i="5"/>
  <c r="M42" i="5"/>
  <c r="N42" i="5" s="1"/>
  <c r="M17" i="5"/>
  <c r="N17" i="5" s="1"/>
  <c r="M18" i="5"/>
  <c r="N18" i="5" s="1"/>
  <c r="M19" i="5"/>
  <c r="N19" i="5" s="1"/>
  <c r="M21" i="5"/>
  <c r="N21" i="5" s="1"/>
  <c r="M23" i="5"/>
  <c r="N23" i="5" s="1"/>
  <c r="M25" i="5"/>
  <c r="N25" i="5" s="1"/>
  <c r="M27" i="5"/>
  <c r="N27" i="5" s="1"/>
  <c r="M29" i="5"/>
  <c r="N29" i="5" s="1"/>
  <c r="M31" i="5"/>
  <c r="N31" i="5" s="1"/>
  <c r="M33" i="5"/>
  <c r="N33" i="5" s="1"/>
  <c r="M35" i="5"/>
  <c r="N35" i="5" s="1"/>
  <c r="M37" i="5"/>
  <c r="N37" i="5" s="1"/>
  <c r="M39" i="5"/>
  <c r="N39" i="5" s="1"/>
  <c r="M41" i="5"/>
  <c r="N41" i="5" s="1"/>
  <c r="G45" i="5"/>
  <c r="H45" i="5" s="1"/>
  <c r="M5" i="5"/>
  <c r="N5" i="5" s="1"/>
  <c r="M20" i="5"/>
  <c r="N20" i="5" s="1"/>
  <c r="M22" i="5"/>
  <c r="N22" i="5" s="1"/>
  <c r="M24" i="5"/>
  <c r="N24" i="5" s="1"/>
  <c r="M26" i="5"/>
  <c r="N26" i="5" s="1"/>
  <c r="M28" i="5"/>
  <c r="N28" i="5" s="1"/>
  <c r="M30" i="5"/>
  <c r="N30" i="5" s="1"/>
  <c r="M32" i="5"/>
  <c r="N32" i="5" s="1"/>
  <c r="M34" i="5"/>
  <c r="N34" i="5" s="1"/>
  <c r="M36" i="5"/>
  <c r="N36" i="5" s="1"/>
  <c r="M38" i="5"/>
  <c r="N38" i="5" s="1"/>
  <c r="M40" i="5"/>
  <c r="N40" i="5" s="1"/>
  <c r="I12" i="4"/>
  <c r="K27" i="4"/>
  <c r="L27" i="4" s="1"/>
  <c r="K25" i="4"/>
  <c r="L25" i="4" s="1"/>
  <c r="I26" i="4"/>
  <c r="J26" i="4" s="1"/>
  <c r="D33" i="4"/>
  <c r="F33" i="4"/>
  <c r="M30" i="4"/>
  <c r="N30" i="4" s="1"/>
  <c r="I10" i="4"/>
  <c r="K15" i="4"/>
  <c r="I18" i="4"/>
  <c r="K23" i="4"/>
  <c r="L23" i="4" s="1"/>
  <c r="I7" i="4"/>
  <c r="K11" i="4"/>
  <c r="K13" i="4"/>
  <c r="I16" i="4"/>
  <c r="K21" i="4"/>
  <c r="L21" i="4" s="1"/>
  <c r="I14" i="4"/>
  <c r="K19" i="4"/>
  <c r="I22" i="4"/>
  <c r="J22" i="4" s="1"/>
  <c r="H25" i="4"/>
  <c r="M7" i="4"/>
  <c r="I9" i="4"/>
  <c r="M9" i="4"/>
  <c r="K10" i="4"/>
  <c r="I11" i="4"/>
  <c r="M11" i="4"/>
  <c r="K12" i="4"/>
  <c r="I13" i="4"/>
  <c r="M13" i="4"/>
  <c r="K14" i="4"/>
  <c r="I15" i="4"/>
  <c r="M15" i="4"/>
  <c r="K16" i="4"/>
  <c r="I17" i="4"/>
  <c r="M17" i="4"/>
  <c r="K18" i="4"/>
  <c r="I19" i="4"/>
  <c r="M19" i="4"/>
  <c r="K20" i="4"/>
  <c r="L20" i="4" s="1"/>
  <c r="I21" i="4"/>
  <c r="J21" i="4" s="1"/>
  <c r="M21" i="4"/>
  <c r="N21" i="4" s="1"/>
  <c r="K22" i="4"/>
  <c r="L22" i="4" s="1"/>
  <c r="I23" i="4"/>
  <c r="J23" i="4" s="1"/>
  <c r="M23" i="4"/>
  <c r="N23" i="4" s="1"/>
  <c r="K24" i="4"/>
  <c r="L24" i="4" s="1"/>
  <c r="I25" i="4"/>
  <c r="J25" i="4" s="1"/>
  <c r="M25" i="4"/>
  <c r="N25" i="4" s="1"/>
  <c r="K26" i="4"/>
  <c r="L26" i="4" s="1"/>
  <c r="I27" i="4"/>
  <c r="J27" i="4" s="1"/>
  <c r="M27" i="4"/>
  <c r="N27" i="4" s="1"/>
  <c r="K28" i="4"/>
  <c r="L28" i="4" s="1"/>
  <c r="M29" i="4"/>
  <c r="N29" i="4" s="1"/>
  <c r="K30" i="4"/>
  <c r="L30" i="4" s="1"/>
  <c r="H20" i="4"/>
  <c r="H22" i="4"/>
  <c r="H24" i="4"/>
  <c r="H26" i="4"/>
  <c r="H28" i="4"/>
  <c r="G33" i="4"/>
  <c r="H33" i="4" s="1"/>
  <c r="M5" i="4"/>
  <c r="M6" i="4"/>
  <c r="M8" i="4"/>
  <c r="M10" i="4"/>
  <c r="M12" i="4"/>
  <c r="M14" i="4"/>
  <c r="M16" i="4"/>
  <c r="M18" i="4"/>
  <c r="M20" i="4"/>
  <c r="N20" i="4" s="1"/>
  <c r="M22" i="4"/>
  <c r="N22" i="4" s="1"/>
  <c r="M24" i="4"/>
  <c r="N24" i="4" s="1"/>
  <c r="M26" i="4"/>
  <c r="N26" i="4" s="1"/>
  <c r="M28" i="4"/>
  <c r="N28" i="4" s="1"/>
  <c r="D35" i="3"/>
  <c r="I10" i="3"/>
  <c r="K12" i="3"/>
  <c r="K15" i="3"/>
  <c r="I16" i="3"/>
  <c r="I12" i="3"/>
  <c r="K14" i="3"/>
  <c r="K10" i="3"/>
  <c r="L10" i="3" s="1"/>
  <c r="K11" i="3"/>
  <c r="I15" i="3"/>
  <c r="I11" i="3"/>
  <c r="I23" i="3"/>
  <c r="J23" i="3" s="1"/>
  <c r="I22" i="3"/>
  <c r="J22" i="3" s="1"/>
  <c r="K23" i="3"/>
  <c r="L23" i="3" s="1"/>
  <c r="K25" i="3"/>
  <c r="L25" i="3" s="1"/>
  <c r="I21" i="3"/>
  <c r="K22" i="3"/>
  <c r="L22" i="3" s="1"/>
  <c r="K24" i="3"/>
  <c r="L24" i="3" s="1"/>
  <c r="K26" i="3"/>
  <c r="L26" i="3" s="1"/>
  <c r="I25" i="3"/>
  <c r="J25" i="3" s="1"/>
  <c r="I24" i="3"/>
  <c r="J24" i="3" s="1"/>
  <c r="H24" i="3"/>
  <c r="K27" i="3"/>
  <c r="L27" i="3" s="1"/>
  <c r="I27" i="3"/>
  <c r="J27" i="3" s="1"/>
  <c r="I26" i="3"/>
  <c r="J26" i="3" s="1"/>
  <c r="K32" i="3"/>
  <c r="L32" i="3" s="1"/>
  <c r="I28" i="3"/>
  <c r="J28" i="3" s="1"/>
  <c r="K30" i="3"/>
  <c r="L30" i="3" s="1"/>
  <c r="I30" i="3"/>
  <c r="J30" i="3" s="1"/>
  <c r="K28" i="3"/>
  <c r="L28" i="3" s="1"/>
  <c r="I29" i="3"/>
  <c r="J29" i="3" s="1"/>
  <c r="K31" i="3"/>
  <c r="L31" i="3" s="1"/>
  <c r="I7" i="3"/>
  <c r="J7" i="3" s="1"/>
  <c r="F35" i="3"/>
  <c r="M6" i="3"/>
  <c r="M32" i="3"/>
  <c r="N32" i="3" s="1"/>
  <c r="H23" i="3"/>
  <c r="H25" i="3"/>
  <c r="H27" i="3"/>
  <c r="H28" i="3"/>
  <c r="H30" i="3"/>
  <c r="M5" i="3"/>
  <c r="M7" i="3"/>
  <c r="M8" i="3"/>
  <c r="M9" i="3"/>
  <c r="M11" i="3"/>
  <c r="M13" i="3"/>
  <c r="M15" i="3"/>
  <c r="M17" i="3"/>
  <c r="M19" i="3"/>
  <c r="M21" i="3"/>
  <c r="M23" i="3"/>
  <c r="N23" i="3" s="1"/>
  <c r="M25" i="3"/>
  <c r="N25" i="3" s="1"/>
  <c r="M27" i="3"/>
  <c r="N27" i="3" s="1"/>
  <c r="M29" i="3"/>
  <c r="N29" i="3" s="1"/>
  <c r="M31" i="3"/>
  <c r="N31" i="3" s="1"/>
  <c r="G35" i="3"/>
  <c r="H35" i="3" s="1"/>
  <c r="M10" i="3"/>
  <c r="M12" i="3"/>
  <c r="M14" i="3"/>
  <c r="M16" i="3"/>
  <c r="M18" i="3"/>
  <c r="M20" i="3"/>
  <c r="M22" i="3"/>
  <c r="N22" i="3" s="1"/>
  <c r="M24" i="3"/>
  <c r="N24" i="3" s="1"/>
  <c r="M26" i="3"/>
  <c r="N26" i="3" s="1"/>
  <c r="M28" i="3"/>
  <c r="N28" i="3" s="1"/>
  <c r="M30" i="3"/>
  <c r="N30" i="3" s="1"/>
  <c r="D32" i="2"/>
  <c r="F32" i="2"/>
  <c r="K28" i="2"/>
  <c r="L28" i="2" s="1"/>
  <c r="I12" i="2"/>
  <c r="H24" i="2"/>
  <c r="K11" i="2"/>
  <c r="K22" i="2"/>
  <c r="L22" i="2" s="1"/>
  <c r="K26" i="2"/>
  <c r="L26" i="2" s="1"/>
  <c r="K14" i="2"/>
  <c r="K20" i="2"/>
  <c r="L20" i="2" s="1"/>
  <c r="K12" i="2"/>
  <c r="K18" i="2"/>
  <c r="I18" i="2"/>
  <c r="I20" i="2"/>
  <c r="J20" i="2" s="1"/>
  <c r="K9" i="2"/>
  <c r="L9" i="2" s="1"/>
  <c r="I10" i="2"/>
  <c r="K10" i="2"/>
  <c r="M16" i="2"/>
  <c r="N16" i="2" s="1"/>
  <c r="K19" i="2"/>
  <c r="I25" i="2"/>
  <c r="J25" i="2" s="1"/>
  <c r="K27" i="2"/>
  <c r="L27" i="2" s="1"/>
  <c r="M5" i="2"/>
  <c r="N5" i="2" s="1"/>
  <c r="I9" i="2"/>
  <c r="I8" i="2"/>
  <c r="K16" i="2"/>
  <c r="I15" i="2"/>
  <c r="M14" i="2"/>
  <c r="N14" i="2" s="1"/>
  <c r="K17" i="2"/>
  <c r="K24" i="2"/>
  <c r="L24" i="2" s="1"/>
  <c r="I23" i="2"/>
  <c r="J23" i="2" s="1"/>
  <c r="K25" i="2"/>
  <c r="L25" i="2" s="1"/>
  <c r="M22" i="2"/>
  <c r="I24" i="2"/>
  <c r="J24" i="2" s="1"/>
  <c r="M8" i="2"/>
  <c r="N8" i="2" s="1"/>
  <c r="I17" i="2"/>
  <c r="M29" i="2"/>
  <c r="N29" i="2" s="1"/>
  <c r="M27" i="2"/>
  <c r="N27" i="2" s="1"/>
  <c r="M25" i="2"/>
  <c r="N25" i="2" s="1"/>
  <c r="M23" i="2"/>
  <c r="N23" i="2" s="1"/>
  <c r="M21" i="2"/>
  <c r="N21" i="2" s="1"/>
  <c r="M19" i="2"/>
  <c r="N19" i="2" s="1"/>
  <c r="M17" i="2"/>
  <c r="N17" i="2" s="1"/>
  <c r="M15" i="2"/>
  <c r="N15" i="2" s="1"/>
  <c r="M13" i="2"/>
  <c r="N13" i="2" s="1"/>
  <c r="M11" i="2"/>
  <c r="N11" i="2" s="1"/>
  <c r="M9" i="2"/>
  <c r="N9" i="2" s="1"/>
  <c r="M7" i="2"/>
  <c r="N7" i="2" s="1"/>
  <c r="G32" i="2"/>
  <c r="H32" i="2" s="1"/>
  <c r="N22" i="2"/>
  <c r="M28" i="2"/>
  <c r="N28" i="2" s="1"/>
  <c r="M26" i="2"/>
  <c r="N26" i="2" s="1"/>
  <c r="M24" i="2"/>
  <c r="N24" i="2" s="1"/>
  <c r="M6" i="2"/>
  <c r="N6" i="2" s="1"/>
  <c r="I13" i="2"/>
  <c r="M12" i="2"/>
  <c r="N12" i="2" s="1"/>
  <c r="I14" i="2"/>
  <c r="K15" i="2"/>
  <c r="I21" i="2"/>
  <c r="J21" i="2" s="1"/>
  <c r="M20" i="2"/>
  <c r="N20" i="2" s="1"/>
  <c r="I22" i="2"/>
  <c r="J22" i="2" s="1"/>
  <c r="K23" i="2"/>
  <c r="L23" i="2" s="1"/>
  <c r="I7" i="2"/>
  <c r="J7" i="2" s="1"/>
  <c r="H5" i="2"/>
  <c r="I11" i="2"/>
  <c r="M10" i="2"/>
  <c r="N10" i="2" s="1"/>
  <c r="K13" i="2"/>
  <c r="I19" i="2"/>
  <c r="M18" i="2"/>
  <c r="N18" i="2" s="1"/>
  <c r="K21" i="2"/>
  <c r="L21" i="2" s="1"/>
  <c r="I26" i="2"/>
  <c r="J26" i="2" s="1"/>
  <c r="I28" i="2"/>
  <c r="J28" i="2" s="1"/>
  <c r="K29" i="2"/>
  <c r="L29" i="2" s="1"/>
  <c r="H25" i="2"/>
  <c r="I14" i="1"/>
  <c r="I13" i="1"/>
  <c r="I10" i="1"/>
  <c r="K10" i="1"/>
  <c r="I9" i="1"/>
  <c r="K13" i="1"/>
  <c r="M11" i="1"/>
  <c r="N11" i="1" s="1"/>
  <c r="K9" i="1"/>
  <c r="L9" i="1" s="1"/>
  <c r="M14" i="1"/>
  <c r="N14" i="1" s="1"/>
  <c r="M10" i="1"/>
  <c r="M6" i="1"/>
  <c r="N6" i="1" s="1"/>
  <c r="H5" i="1"/>
  <c r="M13" i="1"/>
  <c r="N13" i="1" s="1"/>
  <c r="M9" i="1"/>
  <c r="N9" i="1" s="1"/>
  <c r="M15" i="1"/>
  <c r="N15" i="1" s="1"/>
  <c r="M7" i="1"/>
  <c r="N7" i="1" s="1"/>
  <c r="I7" i="1"/>
  <c r="J7" i="1" s="1"/>
  <c r="M5" i="1"/>
  <c r="M12" i="1"/>
  <c r="N12" i="1" s="1"/>
  <c r="M8" i="1"/>
  <c r="N8" i="1" s="1"/>
  <c r="N10" i="1"/>
  <c r="E34" i="1" l="1"/>
  <c r="C34" i="1"/>
  <c r="B34" i="1"/>
  <c r="H31" i="1"/>
  <c r="F31" i="1"/>
  <c r="D31" i="1"/>
  <c r="H30" i="1"/>
  <c r="F30" i="1"/>
  <c r="D30" i="1"/>
  <c r="G29" i="1"/>
  <c r="F29" i="1"/>
  <c r="D29" i="1"/>
  <c r="F28" i="1"/>
  <c r="D28" i="1"/>
  <c r="F27" i="1"/>
  <c r="D27" i="1"/>
  <c r="F26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F21" i="1"/>
  <c r="D21" i="1"/>
  <c r="G20" i="1"/>
  <c r="F20" i="1"/>
  <c r="D20" i="1"/>
  <c r="G19" i="1"/>
  <c r="F19" i="1"/>
  <c r="D19" i="1"/>
  <c r="G18" i="1"/>
  <c r="F18" i="1"/>
  <c r="D18" i="1"/>
  <c r="G17" i="1"/>
  <c r="F17" i="1"/>
  <c r="D17" i="1"/>
  <c r="G16" i="1"/>
  <c r="F16" i="1"/>
  <c r="D16" i="1"/>
  <c r="N5" i="1"/>
  <c r="I18" i="1" l="1"/>
  <c r="I17" i="1"/>
  <c r="K17" i="1"/>
  <c r="I16" i="1"/>
  <c r="M16" i="1"/>
  <c r="N16" i="1" s="1"/>
  <c r="M19" i="1"/>
  <c r="N19" i="1" s="1"/>
  <c r="M17" i="1"/>
  <c r="N17" i="1" s="1"/>
  <c r="K19" i="1"/>
  <c r="K16" i="1"/>
  <c r="M18" i="1"/>
  <c r="N18" i="1" s="1"/>
  <c r="K18" i="1"/>
  <c r="I19" i="1"/>
  <c r="I31" i="1"/>
  <c r="J31" i="1" s="1"/>
  <c r="I30" i="1"/>
  <c r="J30" i="1" s="1"/>
  <c r="I29" i="1"/>
  <c r="J29" i="1" s="1"/>
  <c r="K31" i="1"/>
  <c r="L31" i="1" s="1"/>
  <c r="K30" i="1"/>
  <c r="L30" i="1" s="1"/>
  <c r="I28" i="1"/>
  <c r="J28" i="1" s="1"/>
  <c r="I27" i="1"/>
  <c r="J27" i="1" s="1"/>
  <c r="K28" i="1"/>
  <c r="L28" i="1" s="1"/>
  <c r="I26" i="1"/>
  <c r="J26" i="1" s="1"/>
  <c r="K29" i="1"/>
  <c r="L29" i="1" s="1"/>
  <c r="K27" i="1"/>
  <c r="L27" i="1" s="1"/>
  <c r="I25" i="1"/>
  <c r="J25" i="1" s="1"/>
  <c r="I24" i="1"/>
  <c r="J24" i="1" s="1"/>
  <c r="K26" i="1"/>
  <c r="L26" i="1" s="1"/>
  <c r="I23" i="1"/>
  <c r="J23" i="1" s="1"/>
  <c r="K25" i="1"/>
  <c r="L25" i="1" s="1"/>
  <c r="K21" i="1"/>
  <c r="I21" i="1"/>
  <c r="I22" i="1"/>
  <c r="J22" i="1" s="1"/>
  <c r="K23" i="1"/>
  <c r="L23" i="1" s="1"/>
  <c r="K24" i="1"/>
  <c r="L24" i="1" s="1"/>
  <c r="K22" i="1"/>
  <c r="L22" i="1" s="1"/>
  <c r="K20" i="1"/>
  <c r="I20" i="1"/>
  <c r="M26" i="1"/>
  <c r="N26" i="1" s="1"/>
  <c r="M25" i="1"/>
  <c r="N25" i="1" s="1"/>
  <c r="M28" i="1"/>
  <c r="N28" i="1" s="1"/>
  <c r="M30" i="1"/>
  <c r="N30" i="1" s="1"/>
  <c r="M22" i="1"/>
  <c r="N22" i="1" s="1"/>
  <c r="M21" i="1"/>
  <c r="N21" i="1" s="1"/>
  <c r="M31" i="1"/>
  <c r="N31" i="1" s="1"/>
  <c r="M24" i="1"/>
  <c r="N24" i="1" s="1"/>
  <c r="M27" i="1"/>
  <c r="N27" i="1" s="1"/>
  <c r="M23" i="1"/>
  <c r="N23" i="1" s="1"/>
  <c r="M20" i="1"/>
  <c r="N20" i="1" s="1"/>
  <c r="M29" i="1"/>
  <c r="N29" i="1" s="1"/>
  <c r="D34" i="1"/>
  <c r="F34" i="1"/>
  <c r="G34" i="1"/>
  <c r="H34" i="1" s="1"/>
  <c r="H22" i="1"/>
  <c r="H24" i="1"/>
  <c r="H26" i="1"/>
  <c r="H27" i="1"/>
  <c r="H28" i="1"/>
</calcChain>
</file>

<file path=xl/sharedStrings.xml><?xml version="1.0" encoding="utf-8"?>
<sst xmlns="http://schemas.openxmlformats.org/spreadsheetml/2006/main" count="416" uniqueCount="42">
  <si>
    <t>ENBRIDGE GAS INC.</t>
  </si>
  <si>
    <t>ACCOUNT 443.02 - LOCAL STORAGE PLANT - HOLDER EQUIPMENT</t>
  </si>
  <si>
    <t>SUMMARY  OF  BOOK  SALVAGE</t>
  </si>
  <si>
    <t>Year</t>
  </si>
  <si>
    <t>Regular
Retirements</t>
  </si>
  <si>
    <t>Cost of
Removal
Amount</t>
  </si>
  <si>
    <t>Cost of
Removal
Percent</t>
  </si>
  <si>
    <t>Gross
Salvage
Amount</t>
  </si>
  <si>
    <t>Gross
Salvage
Percent</t>
  </si>
  <si>
    <t>Net
Salvage
Amount</t>
  </si>
  <si>
    <t>Net
Salvage
Percent</t>
  </si>
  <si>
    <t>3-Year
Amount</t>
  </si>
  <si>
    <t>3-Year
Percent</t>
  </si>
  <si>
    <t>5-Year
Amount</t>
  </si>
  <si>
    <t>5-Year
Percent</t>
  </si>
  <si>
    <t>Historical
Amount</t>
  </si>
  <si>
    <t>Historical
Percent</t>
  </si>
  <si>
    <t>TOTAL</t>
  </si>
  <si>
    <t>ACCOUNT 452 - UNDERGROUND STORAGE PLANT - STRUCTURES AND IMPROVEMENTS</t>
  </si>
  <si>
    <t>ACCOUNT 453 - UNDERGROUND STORAGE PLANT - WELLS</t>
  </si>
  <si>
    <t>ACCOUNT 455 - UNDERGROUND STORAGE PLANT - FIELD LINES</t>
  </si>
  <si>
    <t>ACCOUNT 456 - UNDERGROUND STORAGE PLANT - COMPRESSOR EQUIPMENT</t>
  </si>
  <si>
    <t>ACCOUNT 457 - UNDERGROUND STORAGE PLANT - REGULATING AND MEASURING EQUIPMENT</t>
  </si>
  <si>
    <t>ACCOUNT 462 - TRANSMISSION PLANT - COMPRESSOR STRUCTURES AND IMPROVEMENTS</t>
  </si>
  <si>
    <t>ACCOUNT 463 - TRANSMISSION PLANT - MEASURING AND REGULATING STRUCTURES AND IMPROVEMENTS</t>
  </si>
  <si>
    <t>ACCOUNT 464 - TRANSMISSION PLANT - EQUIPMENT</t>
  </si>
  <si>
    <t>ACCOUNT 465 - TRANSMISSION PLANT - MAINS</t>
  </si>
  <si>
    <t>ACCOUNT 466 - TRANSMISSION PLANT - COMPRESSOR EQUIPMENT</t>
  </si>
  <si>
    <t>ACCOUNT 467 - TRANSMISSION PLANT - MEASURING AND REGULATING EQUIPMENT</t>
  </si>
  <si>
    <t>ACCOUNT 472 - DISTRIBUTION PLANT - STRUCTURES AND IMPROVEMENTS</t>
  </si>
  <si>
    <t>ACCOUNT</t>
  </si>
  <si>
    <t>DISTRIBUTION PLANT - SERVICES</t>
  </si>
  <si>
    <t>ACCOUNT 473.01 - DISTRIBUTION PLANT - SERVICES - METAL</t>
  </si>
  <si>
    <t>ACCOUNT 473.02 - DISTRIBUTION PLANT - SERVICES - PLASTIC</t>
  </si>
  <si>
    <t>ACCOUNT 475.21 - DISTRIBUTION PLANT - MAINS - COATED AND WRAPPED</t>
  </si>
  <si>
    <t>Previously Approved</t>
  </si>
  <si>
    <t>ACCOUNT 475.30 - DISTRIBUTION PLANT - MAINS - PLASTIC</t>
  </si>
  <si>
    <t>ACCOUNT 477 - DISTRIBUTION PLANT - MEASURING AND REGULATING EQUIPMENT</t>
  </si>
  <si>
    <t>ACCOUNT 478 - DISTRIBUTION PLANT - METERS</t>
  </si>
  <si>
    <t>ACCOUNT 482 - GENERAL PLANT - STRUCTURES AND IMPROVEMENTS</t>
  </si>
  <si>
    <t>ACCOUNT 484 - GENERAL PLANT - TRANSPORTATION EQUIPMENT</t>
  </si>
  <si>
    <t>ACCOUNT  485 - GENERAL PLANT - HEAVY WORK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</si>
</sst>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0.00_);\(0.00\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entury Gothic"/>
      <family val="2"/>
    </font>
    <font>
      <b/>
      <sz val="14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ADB9C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left"/>
    </xf>
    <xf numFmtId="164" fontId="2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/>
    <xf numFmtId="3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4" fillId="2" borderId="0" xfId="1" applyNumberFormat="1" applyFont="1" applyFill="1" applyBorder="1" applyAlignment="1">
      <alignment horizontal="left" wrapText="1"/>
    </xf>
    <xf numFmtId="164" fontId="4" fillId="2" borderId="0" xfId="1" applyNumberFormat="1" applyFont="1" applyFill="1" applyBorder="1" applyAlignment="1">
      <alignment horizontal="right" wrapText="1"/>
    </xf>
    <xf numFmtId="3" fontId="4" fillId="2" borderId="0" xfId="1" applyNumberFormat="1" applyFont="1" applyFill="1" applyBorder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37" fontId="4" fillId="2" borderId="0" xfId="0" applyNumberFormat="1" applyFont="1" applyFill="1" applyAlignment="1">
      <alignment horizontal="right" wrapText="1"/>
    </xf>
    <xf numFmtId="37" fontId="0" fillId="0" borderId="0" xfId="1" applyNumberFormat="1" applyFont="1"/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/>
    <xf numFmtId="0" fontId="5" fillId="0" borderId="0" xfId="0" applyFont="1"/>
    <xf numFmtId="164" fontId="5" fillId="0" borderId="0" xfId="0" applyNumberFormat="1" applyFont="1"/>
    <xf numFmtId="43" fontId="5" fillId="0" borderId="0" xfId="0" applyNumberFormat="1" applyFont="1"/>
    <xf numFmtId="1" fontId="5" fillId="0" borderId="0" xfId="0" applyNumberFormat="1" applyFont="1" applyAlignment="1">
      <alignment horizontal="left"/>
    </xf>
    <xf numFmtId="37" fontId="5" fillId="0" borderId="0" xfId="1" applyNumberFormat="1" applyFont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/>
    </xf>
    <xf numFmtId="37" fontId="6" fillId="0" borderId="0" xfId="1" applyNumberFormat="1" applyFont="1" applyBorder="1" applyAlignment="1">
      <alignment horizontal="right" wrapText="1"/>
    </xf>
    <xf numFmtId="165" fontId="6" fillId="0" borderId="0" xfId="1" applyNumberFormat="1" applyFont="1" applyBorder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/>
    </xf>
    <xf numFmtId="164" fontId="7" fillId="0" borderId="0" xfId="1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7" fillId="0" borderId="0" xfId="0" applyFont="1"/>
    <xf numFmtId="164" fontId="7" fillId="0" borderId="0" xfId="1" applyNumberFormat="1" applyFont="1" applyBorder="1" applyAlignment="1">
      <alignment horizontal="left"/>
    </xf>
    <xf numFmtId="2" fontId="7" fillId="0" borderId="0" xfId="1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top"/>
    </xf>
    <xf numFmtId="164" fontId="8" fillId="0" borderId="0" xfId="1" applyNumberFormat="1" applyFont="1" applyBorder="1" applyAlignment="1">
      <alignment horizontal="right" vertical="top"/>
    </xf>
    <xf numFmtId="3" fontId="8" fillId="0" borderId="0" xfId="0" applyNumberFormat="1" applyFont="1" applyAlignment="1">
      <alignment horizontal="right" vertical="top"/>
    </xf>
    <xf numFmtId="0" fontId="8" fillId="0" borderId="0" xfId="1" applyNumberFormat="1" applyFont="1" applyBorder="1" applyAlignment="1">
      <alignment horizontal="center"/>
    </xf>
    <xf numFmtId="2" fontId="8" fillId="0" borderId="0" xfId="1" applyNumberFormat="1" applyFont="1" applyBorder="1" applyAlignment="1">
      <alignment horizontal="center"/>
    </xf>
    <xf numFmtId="3" fontId="8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/>
    </xf>
    <xf numFmtId="37" fontId="9" fillId="0" borderId="0" xfId="1" applyNumberFormat="1" applyFont="1"/>
    <xf numFmtId="166" fontId="9" fillId="0" borderId="0" xfId="1" applyNumberFormat="1" applyFont="1"/>
    <xf numFmtId="43" fontId="9" fillId="0" borderId="0" xfId="1" applyFont="1"/>
    <xf numFmtId="3" fontId="9" fillId="0" borderId="0" xfId="0" applyNumberFormat="1" applyFont="1"/>
    <xf numFmtId="43" fontId="9" fillId="0" borderId="0" xfId="0" applyNumberFormat="1" applyFont="1"/>
    <xf numFmtId="37" fontId="9" fillId="0" borderId="0" xfId="1" applyNumberFormat="1" applyFont="1" applyAlignment="1">
      <alignment horizontal="right"/>
    </xf>
    <xf numFmtId="166" fontId="9" fillId="0" borderId="0" xfId="1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37" fontId="9" fillId="0" borderId="0" xfId="1" applyNumberFormat="1" applyFont="1" applyFill="1"/>
    <xf numFmtId="164" fontId="7" fillId="0" borderId="0" xfId="1" applyNumberFormat="1" applyFont="1" applyFill="1" applyBorder="1" applyAlignment="1">
      <alignment horizontal="left"/>
    </xf>
    <xf numFmtId="164" fontId="7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80"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8D43-3A66-4EB8-BA9B-5CA46B4262BB}">
  <dimension ref="A1:Q21"/>
  <sheetViews>
    <sheetView tabSelected="1" zoomScaleNormal="100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5.54296875" style="34" customWidth="1"/>
    <col min="3" max="3" width="13.81640625" style="34" hidden="1" customWidth="1"/>
    <col min="4" max="6" width="12.54296875" style="35" hidden="1" customWidth="1"/>
    <col min="7" max="13" width="12.54296875" style="35" customWidth="1"/>
    <col min="14" max="14" width="14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1</v>
      </c>
      <c r="B2" s="40"/>
      <c r="C2" s="40"/>
      <c r="D2" s="40"/>
      <c r="E2" s="40"/>
      <c r="F2" s="40"/>
      <c r="G2" s="47"/>
      <c r="H2" s="41"/>
      <c r="I2" s="42"/>
      <c r="J2" s="42"/>
      <c r="K2" s="42"/>
      <c r="L2" s="42"/>
      <c r="M2" s="42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45"/>
      <c r="K3" s="45"/>
      <c r="L3" s="45"/>
      <c r="M3" s="45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2010</v>
      </c>
      <c r="B5" s="50"/>
      <c r="C5" s="51"/>
      <c r="D5" s="50" t="e">
        <f t="shared" ref="D5:D18" si="0">C5/B5*100</f>
        <v>#DIV/0!</v>
      </c>
      <c r="E5" s="50"/>
      <c r="F5" s="50" t="e">
        <f t="shared" ref="F5:F15" si="1">E5/B5*100</f>
        <v>#DIV/0!</v>
      </c>
      <c r="G5" s="50">
        <v>-7162.16</v>
      </c>
      <c r="H5" s="18"/>
      <c r="I5" s="18"/>
      <c r="J5" s="18"/>
      <c r="K5" s="18"/>
      <c r="L5" s="18"/>
      <c r="M5" s="18">
        <f>IF(SUM(G$5:G5)&lt;&gt;0,SUM(G$5:G5)/COUNTIF(G$5:G5,"&lt;&gt;0")," ")</f>
        <v>-7162.16</v>
      </c>
      <c r="N5" s="18"/>
      <c r="O5" s="19"/>
      <c r="P5" s="22"/>
      <c r="Q5" s="21"/>
    </row>
    <row r="6" spans="1:17" s="20" customFormat="1" ht="13.5" x14ac:dyDescent="0.25">
      <c r="A6" s="49">
        <v>2011</v>
      </c>
      <c r="B6" s="50"/>
      <c r="C6" s="51"/>
      <c r="D6" s="50"/>
      <c r="E6" s="50"/>
      <c r="F6" s="50"/>
      <c r="G6" s="50">
        <v>0</v>
      </c>
      <c r="H6" s="18"/>
      <c r="I6" s="18"/>
      <c r="J6" s="18"/>
      <c r="K6" s="18"/>
      <c r="L6" s="18"/>
      <c r="M6" s="18">
        <f>IF(SUM(G$5:G6)&lt;&gt;0,SUM(G$5:G6)/COUNTIF(G$5:G6,"&lt;&gt;0")," ")</f>
        <v>-7162.16</v>
      </c>
      <c r="N6" s="18"/>
      <c r="O6" s="19"/>
      <c r="P6" s="22"/>
      <c r="Q6" s="21"/>
    </row>
    <row r="7" spans="1:17" s="20" customFormat="1" ht="13.5" x14ac:dyDescent="0.25">
      <c r="A7" s="49">
        <v>2012</v>
      </c>
      <c r="B7" s="50"/>
      <c r="C7" s="51"/>
      <c r="D7" s="50"/>
      <c r="E7" s="50"/>
      <c r="F7" s="50"/>
      <c r="G7" s="50">
        <v>0</v>
      </c>
      <c r="H7" s="18"/>
      <c r="I7" s="18">
        <f t="shared" ref="I7:I16" si="2">SUM(G5:G7)/3</f>
        <v>-2387.3866666666668</v>
      </c>
      <c r="J7" s="18">
        <f t="shared" ref="J7:J16" si="3">IF(SUM(B5:B7)=0,0,I7/(SUM(B5:B7)/3)*100)</f>
        <v>0</v>
      </c>
      <c r="K7" s="18"/>
      <c r="L7" s="18"/>
      <c r="M7" s="18">
        <f>IF(SUM(G$5:G7)&lt;&gt;0,SUM(G$5:G7)/COUNTIF(G$5:G7,"&lt;&gt;0")," ")</f>
        <v>-7162.16</v>
      </c>
      <c r="N7" s="18"/>
      <c r="O7" s="19"/>
      <c r="P7" s="22"/>
      <c r="Q7" s="21"/>
    </row>
    <row r="8" spans="1:17" s="20" customFormat="1" ht="13.5" x14ac:dyDescent="0.25">
      <c r="A8" s="49">
        <v>2013</v>
      </c>
      <c r="B8" s="50"/>
      <c r="C8" s="51"/>
      <c r="D8" s="50"/>
      <c r="E8" s="50"/>
      <c r="F8" s="50"/>
      <c r="G8" s="50">
        <v>0</v>
      </c>
      <c r="H8" s="18"/>
      <c r="I8" s="18">
        <f t="shared" si="2"/>
        <v>0</v>
      </c>
      <c r="J8" s="18">
        <f t="shared" si="3"/>
        <v>0</v>
      </c>
      <c r="K8" s="18"/>
      <c r="L8" s="18"/>
      <c r="M8" s="18">
        <f>IF(SUM(G$5:G8)&lt;&gt;0,SUM(G$5:G8)/COUNTIF(G$5:G8,"&lt;&gt;0")," ")</f>
        <v>-7162.16</v>
      </c>
      <c r="N8" s="18"/>
      <c r="O8" s="19"/>
      <c r="P8" s="22"/>
      <c r="Q8" s="21"/>
    </row>
    <row r="9" spans="1:17" s="20" customFormat="1" ht="13.5" x14ac:dyDescent="0.25">
      <c r="A9" s="49">
        <v>2014</v>
      </c>
      <c r="B9" s="50">
        <v>180355</v>
      </c>
      <c r="C9" s="51"/>
      <c r="D9" s="50"/>
      <c r="E9" s="50"/>
      <c r="F9" s="50"/>
      <c r="G9" s="50">
        <v>-9984.09</v>
      </c>
      <c r="H9" s="18">
        <f t="shared" ref="H9" si="4">G9/B9*100</f>
        <v>-5.5357988411743504</v>
      </c>
      <c r="I9" s="18">
        <f t="shared" si="2"/>
        <v>-3328.03</v>
      </c>
      <c r="J9" s="18">
        <f t="shared" si="3"/>
        <v>-5.5357988411743504</v>
      </c>
      <c r="K9" s="18">
        <f t="shared" ref="K9:K16" si="5">SUM(G5:G9)/5</f>
        <v>-3429.25</v>
      </c>
      <c r="L9" s="18">
        <f t="shared" ref="L9:L16" si="6">IF(SUM(B5:B9)=0,0,K9/(SUM(B5:B9)/5)*100)</f>
        <v>-9.5069446369659829</v>
      </c>
      <c r="M9" s="18">
        <f>IF(SUM(G$5:G9)&lt;&gt;0,SUM(G$5:G9)/COUNTIF(G$5:G9,"&lt;&gt;0")," ")</f>
        <v>-8573.125</v>
      </c>
      <c r="N9" s="18">
        <f>IF(SUM(G$5:G9)=0,0,M9*COUNTIF(G$5:G9,"&lt;&gt;0")/(SUM(B$5:B9))*100)</f>
        <v>-9.5069446369659829</v>
      </c>
      <c r="O9" s="19"/>
      <c r="P9" s="22"/>
      <c r="Q9" s="21"/>
    </row>
    <row r="10" spans="1:17" s="20" customFormat="1" ht="13.5" x14ac:dyDescent="0.25">
      <c r="A10" s="49">
        <v>2015</v>
      </c>
      <c r="B10" s="50"/>
      <c r="C10" s="51"/>
      <c r="D10" s="50"/>
      <c r="E10" s="50"/>
      <c r="F10" s="50"/>
      <c r="G10" s="50">
        <v>0</v>
      </c>
      <c r="H10" s="18"/>
      <c r="I10" s="18">
        <f t="shared" si="2"/>
        <v>-3328.03</v>
      </c>
      <c r="J10" s="18">
        <f t="shared" si="3"/>
        <v>-5.5357988411743504</v>
      </c>
      <c r="K10" s="18">
        <f t="shared" si="5"/>
        <v>-1996.818</v>
      </c>
      <c r="L10" s="18">
        <f t="shared" si="6"/>
        <v>-5.5357988411743504</v>
      </c>
      <c r="M10" s="18">
        <f>IF(SUM(G$5:G10)&lt;&gt;0,SUM(G$5:G10)/COUNTIF(G$5:G10,"&lt;&gt;0")," ")</f>
        <v>-8573.125</v>
      </c>
      <c r="N10" s="18">
        <f>IF(SUM(G$5:G10)=0,0,M10*COUNTIF(G$5:G10,"&lt;&gt;0")/(SUM(B$5:B10))*100)</f>
        <v>-9.5069446369659829</v>
      </c>
      <c r="O10" s="19"/>
      <c r="P10" s="22"/>
      <c r="Q10" s="21"/>
    </row>
    <row r="11" spans="1:17" s="20" customFormat="1" ht="13.5" x14ac:dyDescent="0.25">
      <c r="A11" s="49">
        <v>2016</v>
      </c>
      <c r="B11" s="50"/>
      <c r="C11" s="51"/>
      <c r="D11" s="50"/>
      <c r="E11" s="50"/>
      <c r="F11" s="50"/>
      <c r="G11" s="50">
        <v>-2714.29</v>
      </c>
      <c r="H11" s="18"/>
      <c r="I11" s="18">
        <f t="shared" si="2"/>
        <v>-4232.793333333334</v>
      </c>
      <c r="J11" s="18">
        <f t="shared" si="3"/>
        <v>-7.0407695933020999</v>
      </c>
      <c r="K11" s="18">
        <f t="shared" si="5"/>
        <v>-2539.6760000000004</v>
      </c>
      <c r="L11" s="18">
        <f t="shared" si="6"/>
        <v>-7.0407695933020999</v>
      </c>
      <c r="M11" s="18">
        <f>IF(SUM(G$5:G11)&lt;&gt;0,SUM(G$5:G11)/COUNTIF(G$5:G11,"&lt;&gt;0")," ")</f>
        <v>-6620.18</v>
      </c>
      <c r="N11" s="18">
        <f>IF(SUM(G$5:G11)=0,0,M11*COUNTIF(G$5:G11,"&lt;&gt;0")/(SUM(B$5:B11))*100)</f>
        <v>-11.011915389093732</v>
      </c>
      <c r="O11" s="19"/>
      <c r="P11" s="22"/>
      <c r="Q11" s="21"/>
    </row>
    <row r="12" spans="1:17" s="20" customFormat="1" ht="13.5" x14ac:dyDescent="0.25">
      <c r="A12" s="49">
        <v>2017</v>
      </c>
      <c r="B12" s="50"/>
      <c r="C12" s="51"/>
      <c r="D12" s="50" t="e">
        <f t="shared" si="0"/>
        <v>#DIV/0!</v>
      </c>
      <c r="E12" s="50"/>
      <c r="F12" s="50" t="e">
        <f t="shared" si="1"/>
        <v>#DIV/0!</v>
      </c>
      <c r="G12" s="50">
        <v>0</v>
      </c>
      <c r="H12" s="18"/>
      <c r="I12" s="18">
        <f t="shared" si="2"/>
        <v>-904.76333333333332</v>
      </c>
      <c r="J12" s="18">
        <f t="shared" si="3"/>
        <v>0</v>
      </c>
      <c r="K12" s="18">
        <f t="shared" si="5"/>
        <v>-2539.6760000000004</v>
      </c>
      <c r="L12" s="18">
        <f t="shared" si="6"/>
        <v>-7.0407695933020999</v>
      </c>
      <c r="M12" s="18">
        <f>IF(SUM(G$5:G12)&lt;&gt;0,SUM(G$5:G12)/COUNTIF(G$5:G12,"&lt;&gt;0")," ")</f>
        <v>-6620.18</v>
      </c>
      <c r="N12" s="18">
        <f>IF(SUM(G$5:G12)=0,0,M12*COUNTIF(G$5:G12,"&lt;&gt;0")/(SUM(B$5:B12))*100)</f>
        <v>-11.011915389093732</v>
      </c>
      <c r="O12" s="19"/>
      <c r="P12" s="22"/>
      <c r="Q12" s="21"/>
    </row>
    <row r="13" spans="1:17" s="20" customFormat="1" ht="13.5" x14ac:dyDescent="0.25">
      <c r="A13" s="49">
        <v>2018</v>
      </c>
      <c r="B13" s="50"/>
      <c r="C13" s="51"/>
      <c r="D13" s="50" t="e">
        <f t="shared" si="0"/>
        <v>#DIV/0!</v>
      </c>
      <c r="E13" s="50"/>
      <c r="F13" s="50" t="e">
        <f t="shared" si="1"/>
        <v>#DIV/0!</v>
      </c>
      <c r="G13" s="50">
        <v>-2140.6999999999998</v>
      </c>
      <c r="H13" s="18"/>
      <c r="I13" s="18">
        <f t="shared" si="2"/>
        <v>-1618.33</v>
      </c>
      <c r="J13" s="18">
        <f t="shared" si="3"/>
        <v>0</v>
      </c>
      <c r="K13" s="18">
        <f t="shared" si="5"/>
        <v>-2967.8160000000003</v>
      </c>
      <c r="L13" s="18">
        <f t="shared" si="6"/>
        <v>-8.227706467799619</v>
      </c>
      <c r="M13" s="18">
        <f>IF(SUM(G$5:G13)&lt;&gt;0,SUM(G$5:G13)/COUNTIF(G$5:G13,"&lt;&gt;0")," ")</f>
        <v>-5500.31</v>
      </c>
      <c r="N13" s="18">
        <f>IF(SUM(G$5:G13)=0,0,M13*COUNTIF(G$5:G13,"&lt;&gt;0")/(SUM(B$5:B13))*100)</f>
        <v>-12.198852263591252</v>
      </c>
      <c r="O13" s="19"/>
      <c r="P13" s="22"/>
      <c r="Q13" s="21"/>
    </row>
    <row r="14" spans="1:17" s="20" customFormat="1" ht="13.5" x14ac:dyDescent="0.25">
      <c r="A14" s="49">
        <v>2019</v>
      </c>
      <c r="B14" s="50"/>
      <c r="C14" s="51"/>
      <c r="D14" s="50" t="e">
        <f t="shared" si="0"/>
        <v>#DIV/0!</v>
      </c>
      <c r="E14" s="50"/>
      <c r="F14" s="50" t="e">
        <f t="shared" si="1"/>
        <v>#DIV/0!</v>
      </c>
      <c r="G14" s="50">
        <v>-460.92</v>
      </c>
      <c r="H14" s="18"/>
      <c r="I14" s="18">
        <f t="shared" si="2"/>
        <v>-867.20666666666659</v>
      </c>
      <c r="J14" s="18">
        <f t="shared" si="3"/>
        <v>0</v>
      </c>
      <c r="K14" s="18">
        <f t="shared" si="5"/>
        <v>-1063.182</v>
      </c>
      <c r="L14" s="18">
        <f t="shared" si="6"/>
        <v>0</v>
      </c>
      <c r="M14" s="18">
        <f>IF(SUM(G$5:G14)&lt;&gt;0,SUM(G$5:G14)/COUNTIF(G$5:G14,"&lt;&gt;0")," ")</f>
        <v>-4492.4319999999998</v>
      </c>
      <c r="N14" s="18">
        <f>IF(SUM(G$5:G14)=0,0,M14*COUNTIF(G$5:G14,"&lt;&gt;0")/(SUM(B$5:B14))*100)</f>
        <v>-12.454414903939453</v>
      </c>
      <c r="O14" s="19"/>
      <c r="P14" s="22"/>
      <c r="Q14" s="21"/>
    </row>
    <row r="15" spans="1:17" s="20" customFormat="1" ht="13.5" x14ac:dyDescent="0.25">
      <c r="A15" s="49">
        <v>2020</v>
      </c>
      <c r="B15" s="50"/>
      <c r="C15" s="51"/>
      <c r="D15" s="50" t="e">
        <f t="shared" si="0"/>
        <v>#DIV/0!</v>
      </c>
      <c r="E15" s="50"/>
      <c r="F15" s="50" t="e">
        <f t="shared" si="1"/>
        <v>#DIV/0!</v>
      </c>
      <c r="G15" s="50">
        <v>-460.92</v>
      </c>
      <c r="H15" s="18"/>
      <c r="I15" s="18">
        <f t="shared" si="2"/>
        <v>-1020.8466666666667</v>
      </c>
      <c r="J15" s="18">
        <f t="shared" si="3"/>
        <v>0</v>
      </c>
      <c r="K15" s="18">
        <f t="shared" si="5"/>
        <v>-1155.366</v>
      </c>
      <c r="L15" s="18">
        <f t="shared" si="6"/>
        <v>0</v>
      </c>
      <c r="M15" s="18">
        <f>IF(SUM(G$5:G15)&lt;&gt;0,SUM(G$5:G15)/COUNTIF(G$5:G15,"&lt;&gt;0")," ")</f>
        <v>-3820.5133333333329</v>
      </c>
      <c r="N15" s="18">
        <f>IF(SUM(G$5:G15)=0,0,M15*COUNTIF(G$5:G15,"&lt;&gt;0")/(SUM(B$5:B15))*100)</f>
        <v>-12.709977544287653</v>
      </c>
      <c r="O15" s="19"/>
      <c r="P15" s="22"/>
      <c r="Q15" s="21"/>
    </row>
    <row r="16" spans="1:17" s="20" customFormat="1" ht="13.5" x14ac:dyDescent="0.25">
      <c r="A16" s="49">
        <v>2021</v>
      </c>
      <c r="B16" s="50"/>
      <c r="C16" s="51"/>
      <c r="D16" s="50"/>
      <c r="E16" s="50"/>
      <c r="F16" s="50"/>
      <c r="G16" s="50">
        <v>-4503.46</v>
      </c>
      <c r="H16" s="18"/>
      <c r="I16" s="18">
        <f t="shared" si="2"/>
        <v>-1808.4333333333334</v>
      </c>
      <c r="J16" s="18">
        <f t="shared" si="3"/>
        <v>0</v>
      </c>
      <c r="K16" s="18">
        <f t="shared" si="5"/>
        <v>-1513.2</v>
      </c>
      <c r="L16" s="18">
        <f t="shared" si="6"/>
        <v>0</v>
      </c>
      <c r="M16" s="18">
        <f>IF(SUM(G$5:G16)&lt;&gt;0,SUM(G$5:G16)/COUNTIF(G$5:G16,"&lt;&gt;0")," ")</f>
        <v>-3918.0771428571425</v>
      </c>
      <c r="N16" s="18">
        <f>IF(SUM(G$5:G16)=0,0,M16*COUNTIF(G$5:G16,"&lt;&gt;0")/(SUM(B$5:B16))*100)</f>
        <v>-15.20697513237781</v>
      </c>
      <c r="O16" s="19"/>
      <c r="P16" s="22"/>
      <c r="Q16" s="21"/>
    </row>
    <row r="17" spans="1:15" s="20" customFormat="1" ht="13.5" x14ac:dyDescent="0.25">
      <c r="A17" s="23"/>
      <c r="B17" s="24"/>
      <c r="C17" s="24"/>
      <c r="D17" s="25"/>
      <c r="E17" s="50"/>
      <c r="F17" s="18"/>
      <c r="G17" s="50"/>
      <c r="H17" s="25"/>
      <c r="I17" s="18"/>
      <c r="J17" s="18"/>
      <c r="K17" s="18"/>
      <c r="L17" s="18"/>
      <c r="M17" s="18"/>
      <c r="N17" s="18"/>
      <c r="O17" s="19"/>
    </row>
    <row r="18" spans="1:15" s="32" customFormat="1" ht="30" customHeight="1" x14ac:dyDescent="0.3">
      <c r="A18" s="26" t="s">
        <v>17</v>
      </c>
      <c r="B18" s="27">
        <f>SUM(B5:B17)</f>
        <v>180355</v>
      </c>
      <c r="C18" s="27">
        <f>SUM(C5:C17)</f>
        <v>0</v>
      </c>
      <c r="D18" s="28">
        <f t="shared" si="0"/>
        <v>0</v>
      </c>
      <c r="E18" s="29">
        <f>SUM(E5:E17)</f>
        <v>0</v>
      </c>
      <c r="F18" s="28">
        <f>E18/B18*100</f>
        <v>0</v>
      </c>
      <c r="G18" s="29">
        <f>SUM(G5:G17)</f>
        <v>-27426.539999999997</v>
      </c>
      <c r="H18" s="28">
        <f t="shared" ref="H18" si="7">G18/B18*100</f>
        <v>-15.20697513237781</v>
      </c>
      <c r="I18" s="30"/>
      <c r="J18" s="30"/>
      <c r="K18" s="30"/>
      <c r="L18" s="30"/>
      <c r="M18" s="30"/>
      <c r="N18" s="30"/>
      <c r="O18" s="31"/>
    </row>
    <row r="20" spans="1:15" x14ac:dyDescent="0.35">
      <c r="B20" s="38"/>
    </row>
    <row r="21" spans="1:15" x14ac:dyDescent="0.35">
      <c r="B21" s="38"/>
    </row>
  </sheetData>
  <conditionalFormatting sqref="A17:XFD17 A5:F8 I5:M5 I6:L6 O5:XFD16 K7:L8 A10:F10 A9 C9:F9 A18:G18 I18:XFD18 A11:G16 M6:M16">
    <cfRule type="expression" dxfId="79" priority="11">
      <formula>MOD(ROW(),2)=0</formula>
    </cfRule>
  </conditionalFormatting>
  <conditionalFormatting sqref="G5:G10">
    <cfRule type="expression" dxfId="78" priority="9">
      <formula>MOD(ROW(),2)=0</formula>
    </cfRule>
  </conditionalFormatting>
  <conditionalFormatting sqref="N5:N16">
    <cfRule type="expression" dxfId="77" priority="8">
      <formula>MOD(ROW(),2)=0</formula>
    </cfRule>
  </conditionalFormatting>
  <conditionalFormatting sqref="I7:I16">
    <cfRule type="expression" dxfId="76" priority="7">
      <formula>MOD(ROW(),2)=0</formula>
    </cfRule>
  </conditionalFormatting>
  <conditionalFormatting sqref="J7:J16">
    <cfRule type="expression" dxfId="75" priority="6">
      <formula>MOD(ROW(),2)=0</formula>
    </cfRule>
  </conditionalFormatting>
  <conditionalFormatting sqref="K9:K16">
    <cfRule type="expression" dxfId="74" priority="5">
      <formula>MOD(ROW(),2)=0</formula>
    </cfRule>
  </conditionalFormatting>
  <conditionalFormatting sqref="L9:L16">
    <cfRule type="expression" dxfId="73" priority="4">
      <formula>MOD(ROW(),2)=0</formula>
    </cfRule>
  </conditionalFormatting>
  <conditionalFormatting sqref="B9">
    <cfRule type="expression" dxfId="72" priority="3">
      <formula>MOD(ROW(),2)=0</formula>
    </cfRule>
  </conditionalFormatting>
  <conditionalFormatting sqref="H18">
    <cfRule type="expression" dxfId="71" priority="2">
      <formula>MOD(ROW(),2)=0</formula>
    </cfRule>
  </conditionalFormatting>
  <conditionalFormatting sqref="H5:H16">
    <cfRule type="expression" dxfId="70" priority="1">
      <formula>MOD(ROW(),2)=0</formula>
    </cfRule>
  </conditionalFormatting>
  <printOptions horizontalCentered="1"/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BE70-68BF-4C18-9E93-07FFDC9CFD66}">
  <dimension ref="A1:Q21"/>
  <sheetViews>
    <sheetView tabSelected="1" view="pageBreakPreview" zoomScale="60" zoomScaleNormal="100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5.81640625" style="34" customWidth="1"/>
    <col min="3" max="3" width="13.81640625" style="34" hidden="1" customWidth="1"/>
    <col min="4" max="6" width="12.54296875" style="35" hidden="1" customWidth="1"/>
    <col min="7" max="7" width="15.54296875" style="35" customWidth="1"/>
    <col min="8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26</v>
      </c>
      <c r="B2" s="40"/>
      <c r="C2" s="40"/>
      <c r="D2" s="40"/>
      <c r="E2" s="40"/>
      <c r="F2" s="40"/>
      <c r="G2" s="47"/>
      <c r="H2" s="41"/>
      <c r="I2" s="42"/>
      <c r="J2" s="42"/>
      <c r="K2" s="6"/>
      <c r="L2" s="6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45"/>
      <c r="K3" s="9"/>
      <c r="L3" s="9"/>
      <c r="M3" s="9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2010</v>
      </c>
      <c r="B5" s="50">
        <v>446337.09</v>
      </c>
      <c r="C5" s="51"/>
      <c r="D5" s="50">
        <f t="shared" ref="D5:D18" si="0">C5/B5*100</f>
        <v>0</v>
      </c>
      <c r="E5" s="50"/>
      <c r="F5" s="50">
        <f t="shared" ref="F5:F15" si="1">E5/B5*100</f>
        <v>0</v>
      </c>
      <c r="G5" s="50">
        <v>-139883.38</v>
      </c>
      <c r="H5" s="18">
        <f t="shared" ref="H5:H18" si="2">G5/B5*100</f>
        <v>-31.340299323992994</v>
      </c>
      <c r="I5" s="18"/>
      <c r="J5" s="18"/>
      <c r="K5" s="18"/>
      <c r="L5" s="18"/>
      <c r="M5" s="18">
        <f>IF(SUM(G$5:G5)&lt;&gt;0,SUM(G$5:G5)/COUNTIF(G$5:G5,"&lt;&gt;0")," ")</f>
        <v>-139883.38</v>
      </c>
      <c r="N5" s="18">
        <f>IF(SUM(G$5:G5)=0,0,M5*COUNTIF(G$5:G5,"&lt;&gt;0")/(SUM(B$5:B5))*100)</f>
        <v>-31.340299323992994</v>
      </c>
      <c r="O5" s="19"/>
      <c r="Q5" s="21"/>
    </row>
    <row r="6" spans="1:17" s="20" customFormat="1" ht="13.5" x14ac:dyDescent="0.25">
      <c r="A6" s="49">
        <v>2011</v>
      </c>
      <c r="B6" s="50">
        <v>22845.61</v>
      </c>
      <c r="C6" s="51"/>
      <c r="D6" s="50">
        <f t="shared" si="0"/>
        <v>0</v>
      </c>
      <c r="E6" s="50"/>
      <c r="F6" s="50">
        <f t="shared" si="1"/>
        <v>0</v>
      </c>
      <c r="G6" s="50">
        <v>-37174.47</v>
      </c>
      <c r="H6" s="18">
        <f t="shared" si="2"/>
        <v>-162.72040886629858</v>
      </c>
      <c r="I6" s="18"/>
      <c r="J6" s="18"/>
      <c r="K6" s="18"/>
      <c r="L6" s="18"/>
      <c r="M6" s="18">
        <f>IF(SUM(G$5:G6)&lt;&gt;0,SUM(G$5:G6)/COUNTIF(G$5:G6,"&lt;&gt;0")," ")</f>
        <v>-88528.925000000003</v>
      </c>
      <c r="N6" s="18">
        <f>IF(SUM(G$5:G6)=0,0,M6*COUNTIF(G$5:G6,"&lt;&gt;0")/(SUM(B$5:B6))*100)</f>
        <v>-37.737506093042221</v>
      </c>
      <c r="O6" s="19"/>
      <c r="Q6" s="21"/>
    </row>
    <row r="7" spans="1:17" s="20" customFormat="1" ht="13.5" x14ac:dyDescent="0.25">
      <c r="A7" s="49">
        <v>2012</v>
      </c>
      <c r="B7" s="50">
        <v>10647.36</v>
      </c>
      <c r="C7" s="51"/>
      <c r="D7" s="50">
        <f t="shared" si="0"/>
        <v>0</v>
      </c>
      <c r="E7" s="50"/>
      <c r="F7" s="50">
        <f t="shared" si="1"/>
        <v>0</v>
      </c>
      <c r="G7" s="50">
        <v>-104917.43</v>
      </c>
      <c r="H7" s="18">
        <f t="shared" si="2"/>
        <v>-985.38445210831594</v>
      </c>
      <c r="I7" s="18">
        <f t="shared" ref="I7:I16" si="3">SUM(G5:G7)/3</f>
        <v>-93991.760000000009</v>
      </c>
      <c r="J7" s="18">
        <f t="shared" ref="J7:J16" si="4">IF(SUM(B5:B7)=0,0,I7/(SUM(B5:B7)/3)*100)</f>
        <v>-58.765655490612666</v>
      </c>
      <c r="K7" s="18"/>
      <c r="L7" s="18"/>
      <c r="M7" s="18">
        <f>IF(SUM(G$5:G7)&lt;&gt;0,SUM(G$5:G7)/COUNTIF(G$5:G7,"&lt;&gt;0")," ")</f>
        <v>-93991.760000000009</v>
      </c>
      <c r="N7" s="18">
        <f>IF(SUM(G$5:G7)=0,0,M7*COUNTIF(G$5:G7,"&lt;&gt;0")/(SUM(B$5:B7))*100)</f>
        <v>-58.765655490612666</v>
      </c>
      <c r="O7" s="19"/>
      <c r="Q7" s="21"/>
    </row>
    <row r="8" spans="1:17" s="20" customFormat="1" ht="13.5" x14ac:dyDescent="0.25">
      <c r="A8" s="49">
        <v>2013</v>
      </c>
      <c r="B8" s="50">
        <v>44985.63</v>
      </c>
      <c r="C8" s="51"/>
      <c r="D8" s="50">
        <f t="shared" si="0"/>
        <v>0</v>
      </c>
      <c r="E8" s="50"/>
      <c r="F8" s="50">
        <f t="shared" si="1"/>
        <v>0</v>
      </c>
      <c r="G8" s="50">
        <v>-90534.06</v>
      </c>
      <c r="H8" s="18">
        <f t="shared" si="2"/>
        <v>-201.25106617379816</v>
      </c>
      <c r="I8" s="18">
        <f t="shared" si="3"/>
        <v>-77541.986666666664</v>
      </c>
      <c r="J8" s="18">
        <f t="shared" si="4"/>
        <v>-296.41960993187951</v>
      </c>
      <c r="K8" s="18"/>
      <c r="L8" s="18"/>
      <c r="M8" s="18">
        <f>IF(SUM(G$5:G8)&lt;&gt;0,SUM(G$5:G8)/COUNTIF(G$5:G8,"&lt;&gt;0")," ")</f>
        <v>-93127.335000000006</v>
      </c>
      <c r="N8" s="18">
        <f>IF(SUM(G$5:G8)=0,0,M8*COUNTIF(G$5:G8,"&lt;&gt;0")/(SUM(B$5:B8))*100)</f>
        <v>-70.979078388452919</v>
      </c>
      <c r="O8" s="19"/>
      <c r="Q8" s="21"/>
    </row>
    <row r="9" spans="1:17" s="20" customFormat="1" ht="13.5" x14ac:dyDescent="0.25">
      <c r="A9" s="49">
        <v>2014</v>
      </c>
      <c r="B9" s="50">
        <v>3639291.29</v>
      </c>
      <c r="C9" s="51"/>
      <c r="D9" s="50">
        <f t="shared" si="0"/>
        <v>0</v>
      </c>
      <c r="E9" s="50"/>
      <c r="F9" s="50">
        <f t="shared" si="1"/>
        <v>0</v>
      </c>
      <c r="G9" s="50">
        <v>-109809.29</v>
      </c>
      <c r="H9" s="18">
        <f t="shared" si="2"/>
        <v>-3.0173262113349546</v>
      </c>
      <c r="I9" s="18">
        <f t="shared" si="3"/>
        <v>-101753.59333333332</v>
      </c>
      <c r="J9" s="18">
        <f t="shared" si="4"/>
        <v>-8.2616247821998652</v>
      </c>
      <c r="K9" s="18">
        <f t="shared" ref="K9:K16" si="5">SUM(G5:G9)/5</f>
        <v>-96463.725999999995</v>
      </c>
      <c r="L9" s="18">
        <f t="shared" ref="L9:L16" si="6">IF(SUM(B5:B9)=0,0,K9/(SUM(B5:B9)/5)*100)</f>
        <v>-11.582762698378128</v>
      </c>
      <c r="M9" s="18">
        <f>IF(SUM(G$5:G9)&lt;&gt;0,SUM(G$5:G9)/COUNTIF(G$5:G9,"&lt;&gt;0")," ")</f>
        <v>-96463.725999999995</v>
      </c>
      <c r="N9" s="18">
        <f>IF(SUM(G$5:G9)=0,0,M9*COUNTIF(G$5:G9,"&lt;&gt;0")/(SUM(B$5:B9))*100)</f>
        <v>-11.582762698378128</v>
      </c>
      <c r="O9" s="19"/>
      <c r="Q9" s="21"/>
    </row>
    <row r="10" spans="1:17" s="20" customFormat="1" ht="13.5" x14ac:dyDescent="0.25">
      <c r="A10" s="49">
        <v>2015</v>
      </c>
      <c r="B10" s="50">
        <v>539694.69999999995</v>
      </c>
      <c r="C10" s="51"/>
      <c r="D10" s="50">
        <f t="shared" si="0"/>
        <v>0</v>
      </c>
      <c r="E10" s="50"/>
      <c r="F10" s="50">
        <f t="shared" si="1"/>
        <v>0</v>
      </c>
      <c r="G10" s="50">
        <v>-54356.959999999999</v>
      </c>
      <c r="H10" s="18">
        <f t="shared" si="2"/>
        <v>-10.071797999869187</v>
      </c>
      <c r="I10" s="18">
        <f t="shared" si="3"/>
        <v>-84900.103333333318</v>
      </c>
      <c r="J10" s="18">
        <f t="shared" si="4"/>
        <v>-6.0298773977084617</v>
      </c>
      <c r="K10" s="18">
        <f t="shared" si="5"/>
        <v>-79358.44200000001</v>
      </c>
      <c r="L10" s="18">
        <f t="shared" si="6"/>
        <v>-9.3199180313088661</v>
      </c>
      <c r="M10" s="18">
        <f>IF(SUM(G$5:G10)&lt;&gt;0,SUM(G$5:G10)/COUNTIF(G$5:G10,"&lt;&gt;0")," ")</f>
        <v>-89445.931666666656</v>
      </c>
      <c r="N10" s="18">
        <f>IF(SUM(G$5:G10)=0,0,M10*COUNTIF(G$5:G10,"&lt;&gt;0")/(SUM(B$5:B10))*100)</f>
        <v>-11.409400874230736</v>
      </c>
      <c r="O10" s="19"/>
      <c r="P10" s="22"/>
      <c r="Q10" s="21"/>
    </row>
    <row r="11" spans="1:17" s="20" customFormat="1" ht="13.5" x14ac:dyDescent="0.25">
      <c r="A11" s="49">
        <v>2016</v>
      </c>
      <c r="B11" s="50">
        <v>3285510.7</v>
      </c>
      <c r="C11" s="51"/>
      <c r="D11" s="50">
        <f t="shared" si="0"/>
        <v>0</v>
      </c>
      <c r="E11" s="50"/>
      <c r="F11" s="50">
        <f t="shared" si="1"/>
        <v>0</v>
      </c>
      <c r="G11" s="50">
        <v>-339815.29</v>
      </c>
      <c r="H11" s="18">
        <f t="shared" si="2"/>
        <v>-10.34284532995129</v>
      </c>
      <c r="I11" s="18">
        <f t="shared" si="3"/>
        <v>-167993.84666666665</v>
      </c>
      <c r="J11" s="18">
        <f t="shared" si="4"/>
        <v>-6.7517149639194214</v>
      </c>
      <c r="K11" s="18">
        <f t="shared" si="5"/>
        <v>-139886.606</v>
      </c>
      <c r="L11" s="18">
        <f t="shared" si="6"/>
        <v>-9.3008107541039102</v>
      </c>
      <c r="M11" s="18">
        <f>IF(SUM(G$5:G11)&lt;&gt;0,SUM(G$5:G11)/COUNTIF(G$5:G11,"&lt;&gt;0")," ")</f>
        <v>-125212.98285714284</v>
      </c>
      <c r="N11" s="18">
        <f>IF(SUM(G$5:G11)=0,0,M11*COUNTIF(G$5:G11,"&lt;&gt;0")/(SUM(B$5:B11))*100)</f>
        <v>-10.970792457610724</v>
      </c>
      <c r="O11" s="19"/>
      <c r="P11" s="22"/>
      <c r="Q11" s="21"/>
    </row>
    <row r="12" spans="1:17" s="20" customFormat="1" ht="13.5" x14ac:dyDescent="0.25">
      <c r="A12" s="49">
        <v>2017</v>
      </c>
      <c r="B12" s="50">
        <v>2227273.75</v>
      </c>
      <c r="C12" s="51"/>
      <c r="D12" s="50">
        <f t="shared" si="0"/>
        <v>0</v>
      </c>
      <c r="E12" s="50"/>
      <c r="F12" s="50">
        <f t="shared" si="1"/>
        <v>0</v>
      </c>
      <c r="G12" s="50">
        <v>-1250966.1100000001</v>
      </c>
      <c r="H12" s="18">
        <f t="shared" si="2"/>
        <v>-56.165799556520611</v>
      </c>
      <c r="I12" s="18">
        <f t="shared" si="3"/>
        <v>-548379.45333333337</v>
      </c>
      <c r="J12" s="18">
        <f t="shared" si="4"/>
        <v>-27.181231347157969</v>
      </c>
      <c r="K12" s="18">
        <f t="shared" si="5"/>
        <v>-369096.342</v>
      </c>
      <c r="L12" s="18">
        <f t="shared" si="6"/>
        <v>-18.953763417018621</v>
      </c>
      <c r="M12" s="18">
        <f>IF(SUM(G$5:G12)&lt;&gt;0,SUM(G$5:G12)/COUNTIF(G$5:G12,"&lt;&gt;0")," ")</f>
        <v>-265932.12375000003</v>
      </c>
      <c r="N12" s="18">
        <f>IF(SUM(G$5:G12)=0,0,M12*COUNTIF(G$5:G12,"&lt;&gt;0")/(SUM(B$5:B12))*100)</f>
        <v>-20.823560462657213</v>
      </c>
      <c r="O12" s="19"/>
      <c r="P12" s="22"/>
      <c r="Q12" s="21"/>
    </row>
    <row r="13" spans="1:17" s="20" customFormat="1" ht="13.5" x14ac:dyDescent="0.25">
      <c r="A13" s="49">
        <v>2018</v>
      </c>
      <c r="B13" s="50">
        <v>8337691.3700000001</v>
      </c>
      <c r="C13" s="51"/>
      <c r="D13" s="50">
        <f t="shared" si="0"/>
        <v>0</v>
      </c>
      <c r="E13" s="50"/>
      <c r="F13" s="50">
        <f t="shared" si="1"/>
        <v>0</v>
      </c>
      <c r="G13" s="50">
        <v>-75621.03</v>
      </c>
      <c r="H13" s="18">
        <f t="shared" si="2"/>
        <v>-0.90697804277204852</v>
      </c>
      <c r="I13" s="18">
        <f t="shared" si="3"/>
        <v>-555467.47666666668</v>
      </c>
      <c r="J13" s="18">
        <f t="shared" si="4"/>
        <v>-12.031373157546872</v>
      </c>
      <c r="K13" s="18">
        <f t="shared" si="5"/>
        <v>-366113.73600000003</v>
      </c>
      <c r="L13" s="18">
        <f t="shared" si="6"/>
        <v>-10.153207562661017</v>
      </c>
      <c r="M13" s="18">
        <f>IF(SUM(G$5:G13)&lt;&gt;0,SUM(G$5:G13)/COUNTIF(G$5:G13,"&lt;&gt;0")," ")</f>
        <v>-244786.44666666666</v>
      </c>
      <c r="N13" s="18">
        <f>IF(SUM(G$5:G13)=0,0,M13*COUNTIF(G$5:G13,"&lt;&gt;0")/(SUM(B$5:B13))*100)</f>
        <v>-11.873693384180548</v>
      </c>
      <c r="O13" s="19"/>
      <c r="P13" s="22"/>
      <c r="Q13" s="21"/>
    </row>
    <row r="14" spans="1:17" s="20" customFormat="1" ht="13.5" x14ac:dyDescent="0.25">
      <c r="A14" s="49">
        <v>2019</v>
      </c>
      <c r="B14" s="50"/>
      <c r="C14" s="51"/>
      <c r="D14" s="50" t="e">
        <f t="shared" si="0"/>
        <v>#DIV/0!</v>
      </c>
      <c r="E14" s="50"/>
      <c r="F14" s="50" t="e">
        <f t="shared" si="1"/>
        <v>#DIV/0!</v>
      </c>
      <c r="G14" s="50">
        <v>-4688331.21</v>
      </c>
      <c r="H14" s="18"/>
      <c r="I14" s="18">
        <f t="shared" si="3"/>
        <v>-2004972.7833333332</v>
      </c>
      <c r="J14" s="18">
        <f t="shared" si="4"/>
        <v>-56.932685358453874</v>
      </c>
      <c r="K14" s="18">
        <f t="shared" si="5"/>
        <v>-1281818.1199999999</v>
      </c>
      <c r="L14" s="18">
        <f t="shared" si="6"/>
        <v>-44.537975356806264</v>
      </c>
      <c r="M14" s="18">
        <f>IF(SUM(G$5:G14)&lt;&gt;0,SUM(G$5:G14)/COUNTIF(G$5:G14,"&lt;&gt;0")," ")</f>
        <v>-689140.92300000007</v>
      </c>
      <c r="N14" s="18">
        <f>IF(SUM(G$5:G14)=0,0,M14*COUNTIF(G$5:G14,"&lt;&gt;0")/(SUM(B$5:B14))*100)</f>
        <v>-37.141889410676328</v>
      </c>
      <c r="O14" s="19"/>
      <c r="P14" s="22"/>
      <c r="Q14" s="21"/>
    </row>
    <row r="15" spans="1:17" s="20" customFormat="1" ht="13.5" x14ac:dyDescent="0.25">
      <c r="A15" s="49">
        <v>2020</v>
      </c>
      <c r="B15" s="50">
        <v>1935014.55</v>
      </c>
      <c r="C15" s="51"/>
      <c r="D15" s="50">
        <f t="shared" si="0"/>
        <v>0</v>
      </c>
      <c r="E15" s="50"/>
      <c r="F15" s="50">
        <f t="shared" si="1"/>
        <v>0</v>
      </c>
      <c r="G15" s="50">
        <v>-4928974.58</v>
      </c>
      <c r="H15" s="18">
        <f t="shared" si="2"/>
        <v>-254.72545309801419</v>
      </c>
      <c r="I15" s="18">
        <f t="shared" si="3"/>
        <v>-3230975.6066666669</v>
      </c>
      <c r="J15" s="18">
        <f t="shared" si="4"/>
        <v>-94.356120923590112</v>
      </c>
      <c r="K15" s="18">
        <f t="shared" si="5"/>
        <v>-2256741.6440000003</v>
      </c>
      <c r="L15" s="18">
        <f t="shared" si="6"/>
        <v>-71.481518505402008</v>
      </c>
      <c r="M15" s="18">
        <f>IF(SUM(G$5:G15)&lt;&gt;0,SUM(G$5:G15)/COUNTIF(G$5:G15,"&lt;&gt;0")," ")</f>
        <v>-1074580.3463636364</v>
      </c>
      <c r="N15" s="18">
        <f>IF(SUM(G$5:G15)=0,0,M15*COUNTIF(G$5:G15,"&lt;&gt;0")/(SUM(B$5:B15))*100)</f>
        <v>-57.690542851137707</v>
      </c>
      <c r="O15" s="19"/>
      <c r="P15" s="22"/>
      <c r="Q15" s="21"/>
    </row>
    <row r="16" spans="1:17" s="20" customFormat="1" ht="13.5" x14ac:dyDescent="0.25">
      <c r="A16" s="49">
        <v>2021</v>
      </c>
      <c r="B16" s="50"/>
      <c r="C16" s="51"/>
      <c r="D16" s="50"/>
      <c r="E16" s="50"/>
      <c r="F16" s="50"/>
      <c r="G16" s="50">
        <v>-5148455.54</v>
      </c>
      <c r="H16" s="18"/>
      <c r="I16" s="18">
        <f t="shared" si="3"/>
        <v>-4921920.4433333324</v>
      </c>
      <c r="J16" s="18">
        <f t="shared" si="4"/>
        <v>-763.08270291817689</v>
      </c>
      <c r="K16" s="18">
        <f t="shared" si="5"/>
        <v>-3218469.6939999997</v>
      </c>
      <c r="L16" s="18">
        <f t="shared" si="6"/>
        <v>-128.73899714110493</v>
      </c>
      <c r="M16" s="18">
        <f>IF(SUM(G$5:G16)&lt;&gt;0,SUM(G$5:G16)/COUNTIF(G$5:G16,"&lt;&gt;0")," ")</f>
        <v>-1414069.9458333335</v>
      </c>
      <c r="N16" s="18">
        <f>IF(SUM(G$5:G16)=0,0,M16*COUNTIF(G$5:G16,"&lt;&gt;0")/(SUM(B$5:B16))*100)</f>
        <v>-82.818085215394248</v>
      </c>
      <c r="O16" s="19"/>
      <c r="P16" s="22"/>
      <c r="Q16" s="21"/>
    </row>
    <row r="17" spans="1:15" s="20" customFormat="1" ht="13.5" x14ac:dyDescent="0.25">
      <c r="A17" s="23"/>
      <c r="B17" s="24"/>
      <c r="C17" s="24"/>
      <c r="D17" s="25"/>
      <c r="E17" s="50"/>
      <c r="F17" s="18"/>
      <c r="G17" s="50"/>
      <c r="H17" s="25"/>
      <c r="I17" s="18"/>
      <c r="J17" s="18"/>
      <c r="K17" s="18"/>
      <c r="L17" s="18"/>
      <c r="M17" s="18"/>
      <c r="N17" s="18"/>
      <c r="O17" s="19"/>
    </row>
    <row r="18" spans="1:15" s="32" customFormat="1" ht="30" customHeight="1" x14ac:dyDescent="0.3">
      <c r="A18" s="26" t="s">
        <v>17</v>
      </c>
      <c r="B18" s="27">
        <f>SUM(B5:B17)</f>
        <v>20489292.050000001</v>
      </c>
      <c r="C18" s="27">
        <f>SUM(C5:C17)</f>
        <v>0</v>
      </c>
      <c r="D18" s="28">
        <f t="shared" si="0"/>
        <v>0</v>
      </c>
      <c r="E18" s="29">
        <f>SUM(E5:E17)</f>
        <v>0</v>
      </c>
      <c r="F18" s="28">
        <f>E18/B18*100</f>
        <v>0</v>
      </c>
      <c r="G18" s="29">
        <f>SUM(G5:G17)</f>
        <v>-16968839.350000001</v>
      </c>
      <c r="H18" s="28">
        <f t="shared" si="2"/>
        <v>-82.818085215394248</v>
      </c>
      <c r="I18" s="30"/>
      <c r="J18" s="30"/>
      <c r="K18" s="30"/>
      <c r="L18" s="30"/>
      <c r="M18" s="30"/>
      <c r="N18" s="30"/>
      <c r="O18" s="31"/>
    </row>
    <row r="20" spans="1:15" x14ac:dyDescent="0.35">
      <c r="B20" s="38"/>
    </row>
    <row r="21" spans="1:15" x14ac:dyDescent="0.35">
      <c r="B21" s="38"/>
    </row>
  </sheetData>
  <conditionalFormatting sqref="A5:XFD16">
    <cfRule type="expression" dxfId="36" priority="2">
      <formula>MOD(ROW(),2)=0</formula>
    </cfRule>
  </conditionalFormatting>
  <conditionalFormatting sqref="A17:XFD18">
    <cfRule type="expression" dxfId="35" priority="1">
      <formula>MOD(ROW(),2)=0</formula>
    </cfRule>
  </conditionalFormatting>
  <printOptions horizontalCentered="1"/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0D04-D6BC-413C-AAFD-B783E8EA8B5A}">
  <dimension ref="A1:Q21"/>
  <sheetViews>
    <sheetView tabSelected="1" view="pageBreakPreview" zoomScale="60" zoomScaleNormal="100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5.453125" style="34" customWidth="1"/>
    <col min="3" max="3" width="13.81640625" style="34" hidden="1" customWidth="1"/>
    <col min="4" max="6" width="12.54296875" style="35" hidden="1" customWidth="1"/>
    <col min="7" max="7" width="14.90625" style="35" customWidth="1"/>
    <col min="8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27</v>
      </c>
      <c r="B2" s="40"/>
      <c r="C2" s="40"/>
      <c r="D2" s="40"/>
      <c r="E2" s="40"/>
      <c r="F2" s="40"/>
      <c r="G2" s="47"/>
      <c r="H2" s="41"/>
      <c r="I2" s="42"/>
      <c r="J2" s="42"/>
      <c r="K2" s="6"/>
      <c r="L2" s="6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45"/>
      <c r="K3" s="9"/>
      <c r="L3" s="9"/>
      <c r="M3" s="9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2010</v>
      </c>
      <c r="B5" s="50">
        <v>61531.99</v>
      </c>
      <c r="C5" s="51"/>
      <c r="D5" s="50">
        <f t="shared" ref="D5:D18" si="0">C5/B5*100</f>
        <v>0</v>
      </c>
      <c r="E5" s="50"/>
      <c r="F5" s="50">
        <f t="shared" ref="F5:F15" si="1">E5/B5*100</f>
        <v>0</v>
      </c>
      <c r="G5" s="50">
        <v>92836.63</v>
      </c>
      <c r="H5" s="18">
        <f t="shared" ref="H5:H9" si="2">G5/B5*100</f>
        <v>150.87539018322016</v>
      </c>
      <c r="I5" s="18"/>
      <c r="J5" s="18"/>
      <c r="K5" s="18"/>
      <c r="L5" s="18"/>
      <c r="M5" s="18">
        <f>IF(SUM(G$5:G5)&lt;&gt;0,SUM(G$5:G5)/COUNTIF(G$5:G5,"&lt;&gt;0")," ")</f>
        <v>92836.63</v>
      </c>
      <c r="N5" s="18">
        <v>0</v>
      </c>
      <c r="O5" s="19"/>
      <c r="Q5" s="21"/>
    </row>
    <row r="6" spans="1:17" s="20" customFormat="1" ht="13.5" x14ac:dyDescent="0.25">
      <c r="A6" s="49">
        <v>2011</v>
      </c>
      <c r="B6" s="50">
        <v>415862.4</v>
      </c>
      <c r="C6" s="51"/>
      <c r="D6" s="50">
        <f t="shared" si="0"/>
        <v>0</v>
      </c>
      <c r="E6" s="50"/>
      <c r="F6" s="50">
        <f t="shared" si="1"/>
        <v>0</v>
      </c>
      <c r="G6" s="50">
        <v>-829014.7</v>
      </c>
      <c r="H6" s="18">
        <f t="shared" si="2"/>
        <v>-199.34831809752453</v>
      </c>
      <c r="I6" s="18"/>
      <c r="J6" s="18"/>
      <c r="K6" s="18"/>
      <c r="L6" s="18"/>
      <c r="M6" s="18">
        <f>IF(SUM(G$5:G6)&lt;&gt;0,SUM(G$5:G6)/COUNTIF(G$5:G6,"&lt;&gt;0")," ")</f>
        <v>-368089.03499999997</v>
      </c>
      <c r="N6" s="18">
        <v>0</v>
      </c>
      <c r="O6" s="19"/>
      <c r="Q6" s="21"/>
    </row>
    <row r="7" spans="1:17" s="20" customFormat="1" ht="13.5" x14ac:dyDescent="0.25">
      <c r="A7" s="49">
        <v>2012</v>
      </c>
      <c r="B7" s="50">
        <v>3785219.11</v>
      </c>
      <c r="C7" s="51"/>
      <c r="D7" s="50">
        <f t="shared" si="0"/>
        <v>0</v>
      </c>
      <c r="E7" s="50"/>
      <c r="F7" s="50">
        <f t="shared" si="1"/>
        <v>0</v>
      </c>
      <c r="G7" s="50">
        <v>973052.77</v>
      </c>
      <c r="H7" s="18">
        <f t="shared" si="2"/>
        <v>25.706643175010285</v>
      </c>
      <c r="I7" s="18">
        <f t="shared" ref="I7:I16" si="3">SUM(G5:G7)/3</f>
        <v>78958.233333333352</v>
      </c>
      <c r="J7" s="18">
        <f t="shared" ref="J7:J16" si="4">IF(SUM(B5:B7)=0,0,I7/(SUM(B5:B7)/3)*100)</f>
        <v>5.5570297424338388</v>
      </c>
      <c r="K7" s="18"/>
      <c r="L7" s="18"/>
      <c r="M7" s="18">
        <f>IF(SUM(G$5:G7)&lt;&gt;0,SUM(G$5:G7)/COUNTIF(G$5:G7,"&lt;&gt;0")," ")</f>
        <v>78958.233333333352</v>
      </c>
      <c r="N7" s="18">
        <v>0</v>
      </c>
      <c r="O7" s="19"/>
      <c r="Q7" s="21"/>
    </row>
    <row r="8" spans="1:17" s="20" customFormat="1" ht="13.5" x14ac:dyDescent="0.25">
      <c r="A8" s="49">
        <v>2013</v>
      </c>
      <c r="B8" s="50">
        <v>812315.52</v>
      </c>
      <c r="C8" s="51"/>
      <c r="D8" s="50">
        <f t="shared" si="0"/>
        <v>0</v>
      </c>
      <c r="E8" s="50"/>
      <c r="F8" s="50">
        <f t="shared" si="1"/>
        <v>0</v>
      </c>
      <c r="G8" s="50">
        <v>136290.16</v>
      </c>
      <c r="H8" s="18">
        <f t="shared" si="2"/>
        <v>16.777983018224248</v>
      </c>
      <c r="I8" s="18">
        <f t="shared" si="3"/>
        <v>93442.743333333361</v>
      </c>
      <c r="J8" s="18">
        <f t="shared" si="4"/>
        <v>5.5915824803526508</v>
      </c>
      <c r="K8" s="18"/>
      <c r="L8" s="18"/>
      <c r="M8" s="18">
        <f>IF(SUM(G$5:G8)&lt;&gt;0,SUM(G$5:G8)/COUNTIF(G$5:G8,"&lt;&gt;0")," ")</f>
        <v>93291.215000000026</v>
      </c>
      <c r="N8" s="18">
        <v>0</v>
      </c>
      <c r="O8" s="19"/>
      <c r="Q8" s="21"/>
    </row>
    <row r="9" spans="1:17" s="20" customFormat="1" ht="13.5" x14ac:dyDescent="0.25">
      <c r="A9" s="49">
        <v>2014</v>
      </c>
      <c r="B9" s="50">
        <v>2154336.86</v>
      </c>
      <c r="C9" s="51"/>
      <c r="D9" s="50">
        <f t="shared" si="0"/>
        <v>0</v>
      </c>
      <c r="E9" s="50"/>
      <c r="F9" s="50">
        <f t="shared" si="1"/>
        <v>0</v>
      </c>
      <c r="G9" s="50">
        <v>-31670.44</v>
      </c>
      <c r="H9" s="18">
        <f t="shared" si="2"/>
        <v>-1.4700783609114871</v>
      </c>
      <c r="I9" s="18">
        <f t="shared" si="3"/>
        <v>359224.16333333333</v>
      </c>
      <c r="J9" s="18">
        <f t="shared" si="4"/>
        <v>15.961093033185083</v>
      </c>
      <c r="K9" s="18">
        <f t="shared" ref="K9:K16" si="5">SUM(G5:G9)/5</f>
        <v>68298.88400000002</v>
      </c>
      <c r="L9" s="18">
        <f t="shared" ref="L9:L16" si="6">IF(SUM(B5:B9)=0,0,K9/(SUM(B5:B9)/5)*100)</f>
        <v>4.7237772917545557</v>
      </c>
      <c r="M9" s="18">
        <f>IF(SUM(G$5:G9)&lt;&gt;0,SUM(G$5:G9)/COUNTIF(G$5:G9,"&lt;&gt;0")," ")</f>
        <v>68298.88400000002</v>
      </c>
      <c r="N9" s="18">
        <v>0</v>
      </c>
      <c r="O9" s="19"/>
      <c r="Q9" s="21"/>
    </row>
    <row r="10" spans="1:17" s="20" customFormat="1" ht="13.5" x14ac:dyDescent="0.25">
      <c r="A10" s="49">
        <v>2015</v>
      </c>
      <c r="B10" s="50"/>
      <c r="C10" s="51"/>
      <c r="D10" s="50" t="e">
        <f t="shared" si="0"/>
        <v>#DIV/0!</v>
      </c>
      <c r="E10" s="50"/>
      <c r="F10" s="50" t="e">
        <f t="shared" si="1"/>
        <v>#DIV/0!</v>
      </c>
      <c r="G10" s="50">
        <v>0</v>
      </c>
      <c r="H10" s="18"/>
      <c r="I10" s="18">
        <f t="shared" si="3"/>
        <v>34873.24</v>
      </c>
      <c r="J10" s="18">
        <f t="shared" si="4"/>
        <v>3.5265243985208672</v>
      </c>
      <c r="K10" s="18">
        <f t="shared" si="5"/>
        <v>49731.558000000019</v>
      </c>
      <c r="L10" s="18">
        <f t="shared" si="6"/>
        <v>3.4691269767549944</v>
      </c>
      <c r="M10" s="18">
        <f>IF(SUM(G$5:G10)&lt;&gt;0,SUM(G$5:G10)/COUNTIF(G$5:G10,"&lt;&gt;0")," ")</f>
        <v>68298.88400000002</v>
      </c>
      <c r="N10" s="18">
        <v>0</v>
      </c>
      <c r="O10" s="19"/>
      <c r="P10" s="22"/>
      <c r="Q10" s="21"/>
    </row>
    <row r="11" spans="1:17" s="20" customFormat="1" ht="13.5" x14ac:dyDescent="0.25">
      <c r="A11" s="49">
        <v>2016</v>
      </c>
      <c r="B11" s="50">
        <v>199096.8</v>
      </c>
      <c r="C11" s="51"/>
      <c r="D11" s="50">
        <f t="shared" si="0"/>
        <v>0</v>
      </c>
      <c r="E11" s="50"/>
      <c r="F11" s="50">
        <f t="shared" si="1"/>
        <v>0</v>
      </c>
      <c r="G11" s="50">
        <v>-682</v>
      </c>
      <c r="H11" s="18">
        <f t="shared" ref="H11:H18" si="7">G11/B11*100</f>
        <v>-0.342546941990027</v>
      </c>
      <c r="I11" s="18">
        <f t="shared" si="3"/>
        <v>-10784.146666666666</v>
      </c>
      <c r="J11" s="18">
        <f t="shared" si="4"/>
        <v>-1.3746909696192582</v>
      </c>
      <c r="K11" s="18">
        <f t="shared" si="5"/>
        <v>215398.098</v>
      </c>
      <c r="L11" s="18">
        <f t="shared" si="6"/>
        <v>15.494107368457005</v>
      </c>
      <c r="M11" s="18">
        <f>IF(SUM(G$5:G11)&lt;&gt;0,SUM(G$5:G11)/COUNTIF(G$5:G11,"&lt;&gt;0")," ")</f>
        <v>56802.070000000014</v>
      </c>
      <c r="N11" s="18">
        <f>IF(SUM(G$5:G11)=0,0,M11*COUNTIF(G$5:G11,"&lt;&gt;0")/(SUM(B$5:B11))*100)</f>
        <v>4.587988426003994</v>
      </c>
      <c r="O11" s="19"/>
      <c r="P11" s="22"/>
      <c r="Q11" s="21"/>
    </row>
    <row r="12" spans="1:17" s="20" customFormat="1" ht="13.5" x14ac:dyDescent="0.25">
      <c r="A12" s="49">
        <v>2017</v>
      </c>
      <c r="B12" s="50">
        <v>537958.87</v>
      </c>
      <c r="C12" s="51"/>
      <c r="D12" s="50">
        <f t="shared" si="0"/>
        <v>0</v>
      </c>
      <c r="E12" s="53"/>
      <c r="F12" s="50">
        <f t="shared" si="1"/>
        <v>0</v>
      </c>
      <c r="G12" s="53">
        <v>0</v>
      </c>
      <c r="H12" s="18">
        <f t="shared" si="7"/>
        <v>0</v>
      </c>
      <c r="I12" s="18">
        <f t="shared" si="3"/>
        <v>-227.33333333333334</v>
      </c>
      <c r="J12" s="18">
        <f t="shared" si="4"/>
        <v>-9.2530324066294758E-2</v>
      </c>
      <c r="K12" s="18">
        <f t="shared" si="5"/>
        <v>20787.544000000002</v>
      </c>
      <c r="L12" s="18">
        <f t="shared" si="6"/>
        <v>2.8063151467891756</v>
      </c>
      <c r="M12" s="18">
        <f>IF(SUM(G$5:G12)&lt;&gt;0,SUM(G$5:G12)/COUNTIF(G$5:G12,"&lt;&gt;0")," ")</f>
        <v>56802.070000000014</v>
      </c>
      <c r="N12" s="18">
        <f>IF(SUM(G$5:G12)=0,0,M12*COUNTIF(G$5:G12,"&lt;&gt;0")/(SUM(B$5:B12))*100)</f>
        <v>4.2781654978513908</v>
      </c>
      <c r="O12" s="19"/>
      <c r="P12" s="22"/>
      <c r="Q12" s="21"/>
    </row>
    <row r="13" spans="1:17" s="20" customFormat="1" ht="13.5" x14ac:dyDescent="0.25">
      <c r="A13" s="49">
        <v>2018</v>
      </c>
      <c r="B13" s="50">
        <v>1945218.29</v>
      </c>
      <c r="C13" s="51"/>
      <c r="D13" s="50">
        <f t="shared" si="0"/>
        <v>0</v>
      </c>
      <c r="E13" s="50"/>
      <c r="F13" s="50">
        <f t="shared" si="1"/>
        <v>0</v>
      </c>
      <c r="G13" s="50">
        <v>0</v>
      </c>
      <c r="H13" s="18">
        <f t="shared" si="7"/>
        <v>0</v>
      </c>
      <c r="I13" s="18">
        <f t="shared" si="3"/>
        <v>-227.33333333333334</v>
      </c>
      <c r="J13" s="18">
        <f t="shared" si="4"/>
        <v>-2.5426187263884115E-2</v>
      </c>
      <c r="K13" s="18">
        <f t="shared" si="5"/>
        <v>-6470.4879999999994</v>
      </c>
      <c r="L13" s="18">
        <f t="shared" si="6"/>
        <v>-0.6689072411246848</v>
      </c>
      <c r="M13" s="18">
        <f>IF(SUM(G$5:G13)&lt;&gt;0,SUM(G$5:G13)/COUNTIF(G$5:G13,"&lt;&gt;0")," ")</f>
        <v>56802.070000000014</v>
      </c>
      <c r="N13" s="18">
        <f>IF(SUM(G$5:G13)=0,0,M13*COUNTIF(G$5:G13,"&lt;&gt;0")/(SUM(B$5:B13))*100)</f>
        <v>3.4385415939568085</v>
      </c>
      <c r="O13" s="19"/>
      <c r="P13" s="22"/>
      <c r="Q13" s="21"/>
    </row>
    <row r="14" spans="1:17" s="20" customFormat="1" ht="13.5" x14ac:dyDescent="0.25">
      <c r="A14" s="49">
        <v>2019</v>
      </c>
      <c r="B14" s="50"/>
      <c r="C14" s="51"/>
      <c r="D14" s="50" t="e">
        <f t="shared" si="0"/>
        <v>#DIV/0!</v>
      </c>
      <c r="E14" s="50"/>
      <c r="F14" s="50" t="e">
        <f t="shared" si="1"/>
        <v>#DIV/0!</v>
      </c>
      <c r="G14" s="50">
        <v>-1033363.02</v>
      </c>
      <c r="H14" s="18"/>
      <c r="I14" s="18">
        <f t="shared" si="3"/>
        <v>-344454.34</v>
      </c>
      <c r="J14" s="18">
        <f t="shared" si="4"/>
        <v>-41.614550771721817</v>
      </c>
      <c r="K14" s="18">
        <f t="shared" si="5"/>
        <v>-206809.00400000002</v>
      </c>
      <c r="L14" s="18">
        <f t="shared" si="6"/>
        <v>-38.551059117018752</v>
      </c>
      <c r="M14" s="18">
        <f>IF(SUM(G$5:G14)&lt;&gt;0,SUM(G$5:G14)/COUNTIF(G$5:G14,"&lt;&gt;0")," ")</f>
        <v>-98935.799999999974</v>
      </c>
      <c r="N14" s="18">
        <f>IF(SUM(G$5:G14)=0,0,M14*COUNTIF(G$5:G14,"&lt;&gt;0")/(SUM(B$5:B14))*100)</f>
        <v>-6.9873159083220697</v>
      </c>
      <c r="O14" s="19"/>
      <c r="P14" s="22"/>
      <c r="Q14" s="21"/>
    </row>
    <row r="15" spans="1:17" s="20" customFormat="1" ht="13.5" x14ac:dyDescent="0.25">
      <c r="A15" s="49">
        <v>2020</v>
      </c>
      <c r="B15" s="50"/>
      <c r="C15" s="51"/>
      <c r="D15" s="50" t="e">
        <f t="shared" si="0"/>
        <v>#DIV/0!</v>
      </c>
      <c r="E15" s="50"/>
      <c r="F15" s="50" t="e">
        <f t="shared" si="1"/>
        <v>#DIV/0!</v>
      </c>
      <c r="G15" s="50">
        <v>-1035041.43</v>
      </c>
      <c r="H15" s="18"/>
      <c r="I15" s="18">
        <f t="shared" si="3"/>
        <v>-689468.15</v>
      </c>
      <c r="J15" s="18">
        <f t="shared" si="4"/>
        <v>-106.33276792806632</v>
      </c>
      <c r="K15" s="18">
        <f t="shared" si="5"/>
        <v>-413817.29000000004</v>
      </c>
      <c r="L15" s="18">
        <f t="shared" si="6"/>
        <v>-77.139266191884445</v>
      </c>
      <c r="M15" s="18">
        <f>IF(SUM(G$5:G15)&lt;&gt;0,SUM(G$5:G15)/COUNTIF(G$5:G15,"&lt;&gt;0")," ")</f>
        <v>-215949.00374999997</v>
      </c>
      <c r="N15" s="18">
        <f>IF(SUM(G$5:G15)=0,0,M15*COUNTIF(G$5:G15,"&lt;&gt;0")/(SUM(B$5:B15))*100)</f>
        <v>-17.430107308129429</v>
      </c>
      <c r="O15" s="19"/>
      <c r="P15" s="22"/>
      <c r="Q15" s="21"/>
    </row>
    <row r="16" spans="1:17" s="20" customFormat="1" ht="13.5" x14ac:dyDescent="0.25">
      <c r="A16" s="49">
        <v>2021</v>
      </c>
      <c r="B16" s="50"/>
      <c r="C16" s="51"/>
      <c r="D16" s="50"/>
      <c r="E16" s="50"/>
      <c r="F16" s="50"/>
      <c r="G16" s="50">
        <v>-1037632.68</v>
      </c>
      <c r="H16" s="18"/>
      <c r="I16" s="18">
        <f t="shared" si="3"/>
        <v>-1035345.7100000001</v>
      </c>
      <c r="J16" s="18">
        <f t="shared" si="4"/>
        <v>0</v>
      </c>
      <c r="K16" s="18">
        <f t="shared" si="5"/>
        <v>-621207.42600000009</v>
      </c>
      <c r="L16" s="18">
        <f t="shared" si="6"/>
        <v>-125.08318697647816</v>
      </c>
      <c r="M16" s="18">
        <f>IF(SUM(G$5:G16)&lt;&gt;0,SUM(G$5:G16)/COUNTIF(G$5:G16,"&lt;&gt;0")," ")</f>
        <v>-307247.19</v>
      </c>
      <c r="N16" s="18">
        <f>IF(SUM(G$5:G16)=0,0,M16*COUNTIF(G$5:G16,"&lt;&gt;0")/(SUM(B$5:B16))*100)</f>
        <v>-27.899042476128511</v>
      </c>
      <c r="O16" s="19"/>
      <c r="P16" s="22"/>
      <c r="Q16" s="21"/>
    </row>
    <row r="17" spans="1:15" s="20" customFormat="1" ht="13.5" x14ac:dyDescent="0.25">
      <c r="A17" s="23"/>
      <c r="B17" s="24"/>
      <c r="C17" s="24"/>
      <c r="D17" s="25"/>
      <c r="E17" s="50"/>
      <c r="F17" s="18"/>
      <c r="G17" s="50"/>
      <c r="H17" s="25"/>
      <c r="I17" s="18"/>
      <c r="J17" s="18"/>
      <c r="K17" s="18"/>
      <c r="L17" s="18"/>
      <c r="M17" s="18"/>
      <c r="N17" s="18"/>
      <c r="O17" s="19"/>
    </row>
    <row r="18" spans="1:15" s="32" customFormat="1" ht="30" customHeight="1" x14ac:dyDescent="0.3">
      <c r="A18" s="26" t="s">
        <v>17</v>
      </c>
      <c r="B18" s="27">
        <f>SUM(B5:B17)</f>
        <v>9911539.8399999999</v>
      </c>
      <c r="C18" s="27">
        <f>SUM(C5:C17)</f>
        <v>0</v>
      </c>
      <c r="D18" s="28">
        <f t="shared" si="0"/>
        <v>0</v>
      </c>
      <c r="E18" s="29">
        <f>SUM(E5:E17)</f>
        <v>0</v>
      </c>
      <c r="F18" s="28">
        <f>E18/B18*100</f>
        <v>0</v>
      </c>
      <c r="G18" s="29">
        <f>SUM(G5:G17)</f>
        <v>-2765224.71</v>
      </c>
      <c r="H18" s="28">
        <f t="shared" si="7"/>
        <v>-27.899042476128511</v>
      </c>
      <c r="I18" s="30"/>
      <c r="J18" s="30"/>
      <c r="K18" s="30"/>
      <c r="L18" s="30"/>
      <c r="M18" s="30"/>
      <c r="N18" s="30"/>
      <c r="O18" s="31"/>
    </row>
    <row r="20" spans="1:15" x14ac:dyDescent="0.35">
      <c r="B20" s="38"/>
    </row>
    <row r="21" spans="1:15" x14ac:dyDescent="0.35">
      <c r="B21" s="38"/>
    </row>
  </sheetData>
  <conditionalFormatting sqref="A5:XFD16">
    <cfRule type="expression" dxfId="34" priority="2">
      <formula>MOD(ROW(),2)=0</formula>
    </cfRule>
  </conditionalFormatting>
  <conditionalFormatting sqref="A17:XFD18">
    <cfRule type="expression" dxfId="33" priority="1">
      <formula>MOD(ROW(),2)=0</formula>
    </cfRule>
  </conditionalFormatting>
  <printOptions horizontalCentered="1"/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0203E-FB79-48C4-B6E9-BFA449877CD7}">
  <dimension ref="A1:Q21"/>
  <sheetViews>
    <sheetView tabSelected="1" view="pageBreakPreview" zoomScale="60" zoomScaleNormal="100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5.7265625" style="34" customWidth="1"/>
    <col min="3" max="3" width="13.81640625" style="34" hidden="1" customWidth="1"/>
    <col min="4" max="6" width="12.54296875" style="35" hidden="1" customWidth="1"/>
    <col min="7" max="7" width="14.90625" style="35" customWidth="1"/>
    <col min="8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28</v>
      </c>
      <c r="B2" s="40"/>
      <c r="C2" s="40"/>
      <c r="D2" s="40"/>
      <c r="E2" s="40"/>
      <c r="F2" s="40"/>
      <c r="G2" s="47"/>
      <c r="H2" s="41"/>
      <c r="I2" s="42"/>
      <c r="J2" s="6"/>
      <c r="K2" s="6"/>
      <c r="L2" s="6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9"/>
      <c r="K3" s="9"/>
      <c r="L3" s="9"/>
      <c r="M3" s="9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2010</v>
      </c>
      <c r="B5" s="50">
        <v>596725.4</v>
      </c>
      <c r="C5" s="51"/>
      <c r="D5" s="50">
        <f t="shared" ref="D5:D18" si="0">C5/B5*100</f>
        <v>0</v>
      </c>
      <c r="E5" s="50"/>
      <c r="F5" s="50">
        <f>E5/B5*100</f>
        <v>0</v>
      </c>
      <c r="G5" s="50">
        <v>-151935.74</v>
      </c>
      <c r="H5" s="18">
        <f t="shared" ref="H5:H18" si="1">G5/B5*100</f>
        <v>-25.461584172552399</v>
      </c>
      <c r="I5" s="18"/>
      <c r="J5" s="18"/>
      <c r="K5" s="18"/>
      <c r="L5" s="18"/>
      <c r="M5" s="18">
        <f>IF(SUM(G$5:G5)&lt;&gt;0,SUM(G$5:G5)/COUNTIF(G$5:G5,"&lt;&gt;0")," ")</f>
        <v>-151935.74</v>
      </c>
      <c r="N5" s="18">
        <f>IF(SUM(G$5:G5)=0,0,M5*COUNTIF(G$5:G5,"&lt;&gt;0")/(SUM(B$5:B5))*100)</f>
        <v>-25.461584172552399</v>
      </c>
      <c r="O5" s="19"/>
      <c r="Q5" s="21"/>
    </row>
    <row r="6" spans="1:17" s="20" customFormat="1" ht="13.5" x14ac:dyDescent="0.25">
      <c r="A6" s="49">
        <v>2011</v>
      </c>
      <c r="B6" s="50">
        <v>301202.40999999997</v>
      </c>
      <c r="C6" s="51"/>
      <c r="D6" s="50">
        <f t="shared" si="0"/>
        <v>0</v>
      </c>
      <c r="E6" s="50"/>
      <c r="F6" s="50">
        <f t="shared" ref="F6:F15" si="2">E6/B6*100</f>
        <v>0</v>
      </c>
      <c r="G6" s="50">
        <v>-304646.15999999997</v>
      </c>
      <c r="H6" s="18">
        <f t="shared" si="1"/>
        <v>-101.14333414530117</v>
      </c>
      <c r="I6" s="18"/>
      <c r="J6" s="18"/>
      <c r="K6" s="18"/>
      <c r="L6" s="18"/>
      <c r="M6" s="18">
        <f>IF(SUM(G$5:G6)&lt;&gt;0,SUM(G$5:G6)/COUNTIF(G$5:G6,"&lt;&gt;0")," ")</f>
        <v>-228290.94999999998</v>
      </c>
      <c r="N6" s="18">
        <f>IF(SUM(G$5:G6)=0,0,M6*COUNTIF(G$5:G6,"&lt;&gt;0")/(SUM(B$5:B6))*100)</f>
        <v>-50.848397267036418</v>
      </c>
      <c r="O6" s="19"/>
      <c r="Q6" s="21"/>
    </row>
    <row r="7" spans="1:17" s="20" customFormat="1" ht="13.5" x14ac:dyDescent="0.25">
      <c r="A7" s="49">
        <v>2012</v>
      </c>
      <c r="B7" s="50">
        <v>212181.25</v>
      </c>
      <c r="C7" s="51"/>
      <c r="D7" s="50">
        <f t="shared" si="0"/>
        <v>0</v>
      </c>
      <c r="E7" s="50"/>
      <c r="F7" s="50">
        <f t="shared" si="2"/>
        <v>0</v>
      </c>
      <c r="G7" s="50">
        <v>-15586.15</v>
      </c>
      <c r="H7" s="18">
        <f t="shared" si="1"/>
        <v>-7.34567733953872</v>
      </c>
      <c r="I7" s="18">
        <f t="shared" ref="I7:I16" si="3">SUM(G5:G7)/3</f>
        <v>-157389.35</v>
      </c>
      <c r="J7" s="18">
        <f t="shared" ref="J7:J16" si="4">IF(SUM(B5:B7)=0,0,I7/(SUM(B5:B7)/3)*100)</f>
        <v>-42.533483151646386</v>
      </c>
      <c r="K7" s="18"/>
      <c r="L7" s="18"/>
      <c r="M7" s="18">
        <f>IF(SUM(G$5:G7)&lt;&gt;0,SUM(G$5:G7)/COUNTIF(G$5:G7,"&lt;&gt;0")," ")</f>
        <v>-157389.35</v>
      </c>
      <c r="N7" s="18">
        <f>IF(SUM(G$5:G7)=0,0,M7*COUNTIF(G$5:G7,"&lt;&gt;0")/(SUM(B$5:B7))*100)</f>
        <v>-42.533483151646386</v>
      </c>
      <c r="O7" s="19"/>
      <c r="Q7" s="21"/>
    </row>
    <row r="8" spans="1:17" s="20" customFormat="1" ht="13.5" x14ac:dyDescent="0.25">
      <c r="A8" s="49">
        <v>2013</v>
      </c>
      <c r="B8" s="50">
        <v>3856259.76</v>
      </c>
      <c r="C8" s="51"/>
      <c r="D8" s="50">
        <f t="shared" si="0"/>
        <v>0</v>
      </c>
      <c r="E8" s="50"/>
      <c r="F8" s="50">
        <f t="shared" si="2"/>
        <v>0</v>
      </c>
      <c r="G8" s="50">
        <v>-107917.7</v>
      </c>
      <c r="H8" s="18">
        <f t="shared" si="1"/>
        <v>-2.7985070175874251</v>
      </c>
      <c r="I8" s="18">
        <f t="shared" si="3"/>
        <v>-142716.67000000001</v>
      </c>
      <c r="J8" s="18">
        <f t="shared" si="4"/>
        <v>-9.7982825793139892</v>
      </c>
      <c r="K8" s="18"/>
      <c r="L8" s="18"/>
      <c r="M8" s="18">
        <f>IF(SUM(G$5:G8)&lt;&gt;0,SUM(G$5:G8)/COUNTIF(G$5:G8,"&lt;&gt;0")," ")</f>
        <v>-145021.4375</v>
      </c>
      <c r="N8" s="18">
        <f>IF(SUM(G$5:G8)=0,0,M8*COUNTIF(G$5:G8,"&lt;&gt;0")/(SUM(B$5:B8))*100)</f>
        <v>-11.680279315220087</v>
      </c>
      <c r="O8" s="19"/>
      <c r="Q8" s="21"/>
    </row>
    <row r="9" spans="1:17" s="20" customFormat="1" ht="13.5" x14ac:dyDescent="0.25">
      <c r="A9" s="49">
        <v>2014</v>
      </c>
      <c r="B9" s="50">
        <v>1231781.6299999999</v>
      </c>
      <c r="C9" s="51"/>
      <c r="D9" s="50">
        <f t="shared" si="0"/>
        <v>0</v>
      </c>
      <c r="E9" s="50"/>
      <c r="F9" s="50">
        <f t="shared" si="2"/>
        <v>0</v>
      </c>
      <c r="G9" s="50">
        <v>-71027.899999999994</v>
      </c>
      <c r="H9" s="18">
        <f t="shared" si="1"/>
        <v>-5.7662736860266381</v>
      </c>
      <c r="I9" s="18">
        <f t="shared" si="3"/>
        <v>-64843.916666666664</v>
      </c>
      <c r="J9" s="18">
        <f t="shared" si="4"/>
        <v>-3.6702561988980897</v>
      </c>
      <c r="K9" s="18">
        <f t="shared" ref="K9:K16" si="5">SUM(G5:G9)/5</f>
        <v>-130222.73000000001</v>
      </c>
      <c r="L9" s="18">
        <f t="shared" ref="L9:L16" si="6">IF(SUM(B5:B9)=0,0,K9/(SUM(B5:B9)/5)*100)</f>
        <v>-10.504966848618526</v>
      </c>
      <c r="M9" s="18">
        <f>IF(SUM(G$5:G9)&lt;&gt;0,SUM(G$5:G9)/COUNTIF(G$5:G9,"&lt;&gt;0")," ")</f>
        <v>-130222.73000000001</v>
      </c>
      <c r="N9" s="18">
        <f>IF(SUM(G$5:G9)=0,0,M9*COUNTIF(G$5:G9,"&lt;&gt;0")/(SUM(B$5:B9))*100)</f>
        <v>-10.504966848618526</v>
      </c>
      <c r="O9" s="19"/>
      <c r="Q9" s="21"/>
    </row>
    <row r="10" spans="1:17" s="20" customFormat="1" ht="13.5" x14ac:dyDescent="0.25">
      <c r="A10" s="49">
        <v>2015</v>
      </c>
      <c r="B10" s="50">
        <v>52901.93</v>
      </c>
      <c r="C10" s="51"/>
      <c r="D10" s="50">
        <f t="shared" si="0"/>
        <v>0</v>
      </c>
      <c r="E10" s="50"/>
      <c r="F10" s="50">
        <f t="shared" si="2"/>
        <v>0</v>
      </c>
      <c r="G10" s="50">
        <v>-66364.45</v>
      </c>
      <c r="H10" s="18">
        <f t="shared" si="1"/>
        <v>-125.44806966399902</v>
      </c>
      <c r="I10" s="18">
        <f t="shared" si="3"/>
        <v>-81770.016666666663</v>
      </c>
      <c r="J10" s="18">
        <f t="shared" si="4"/>
        <v>-4.771693339735168</v>
      </c>
      <c r="K10" s="18">
        <f t="shared" si="5"/>
        <v>-113108.47199999999</v>
      </c>
      <c r="L10" s="18">
        <f t="shared" si="6"/>
        <v>-10.001939435062527</v>
      </c>
      <c r="M10" s="18">
        <f>IF(SUM(G$5:G10)&lt;&gt;0,SUM(G$5:G10)/COUNTIF(G$5:G10,"&lt;&gt;0")," ")</f>
        <v>-119579.68333333333</v>
      </c>
      <c r="N10" s="18">
        <f>IF(SUM(G$5:G10)=0,0,M10*COUNTIF(G$5:G10,"&lt;&gt;0")/(SUM(B$5:B10))*100)</f>
        <v>-11.477716972833941</v>
      </c>
      <c r="O10" s="19"/>
      <c r="P10" s="22"/>
      <c r="Q10" s="21"/>
    </row>
    <row r="11" spans="1:17" s="20" customFormat="1" ht="13.5" x14ac:dyDescent="0.25">
      <c r="A11" s="49">
        <v>2016</v>
      </c>
      <c r="B11" s="50">
        <v>277587.58</v>
      </c>
      <c r="C11" s="51"/>
      <c r="D11" s="50">
        <f t="shared" si="0"/>
        <v>0</v>
      </c>
      <c r="E11" s="50"/>
      <c r="F11" s="50">
        <f t="shared" si="2"/>
        <v>0</v>
      </c>
      <c r="G11" s="50">
        <v>-109722.85</v>
      </c>
      <c r="H11" s="18">
        <f t="shared" si="1"/>
        <v>-39.527290810345335</v>
      </c>
      <c r="I11" s="18">
        <f t="shared" si="3"/>
        <v>-82371.733333333323</v>
      </c>
      <c r="J11" s="18">
        <f t="shared" si="4"/>
        <v>-15.817689623326203</v>
      </c>
      <c r="K11" s="18">
        <f t="shared" si="5"/>
        <v>-74123.810000000012</v>
      </c>
      <c r="L11" s="18">
        <f t="shared" si="6"/>
        <v>-6.582099033423332</v>
      </c>
      <c r="M11" s="18">
        <f>IF(SUM(G$5:G11)&lt;&gt;0,SUM(G$5:G11)/COUNTIF(G$5:G11,"&lt;&gt;0")," ")</f>
        <v>-118171.56428571428</v>
      </c>
      <c r="N11" s="18">
        <f>IF(SUM(G$5:G11)=0,0,M11*COUNTIF(G$5:G11,"&lt;&gt;0")/(SUM(B$5:B11))*100)</f>
        <v>-12.670341067483218</v>
      </c>
      <c r="O11" s="19"/>
      <c r="P11" s="22"/>
      <c r="Q11" s="21"/>
    </row>
    <row r="12" spans="1:17" s="20" customFormat="1" ht="13.5" x14ac:dyDescent="0.25">
      <c r="A12" s="49">
        <v>2017</v>
      </c>
      <c r="B12" s="50">
        <v>57411.519999999997</v>
      </c>
      <c r="C12" s="51"/>
      <c r="D12" s="50">
        <f t="shared" si="0"/>
        <v>0</v>
      </c>
      <c r="E12" s="50"/>
      <c r="F12" s="50">
        <f t="shared" si="2"/>
        <v>0</v>
      </c>
      <c r="G12" s="50">
        <v>-66660.990000000005</v>
      </c>
      <c r="H12" s="18">
        <f t="shared" si="1"/>
        <v>-116.11082584122492</v>
      </c>
      <c r="I12" s="18">
        <f t="shared" si="3"/>
        <v>-80916.096666666665</v>
      </c>
      <c r="J12" s="18">
        <f t="shared" si="4"/>
        <v>-62.579954995221328</v>
      </c>
      <c r="K12" s="18">
        <f t="shared" si="5"/>
        <v>-84338.778000000006</v>
      </c>
      <c r="L12" s="18">
        <f t="shared" si="6"/>
        <v>-7.700845948632165</v>
      </c>
      <c r="M12" s="18">
        <f>IF(SUM(G$5:G12)&lt;&gt;0,SUM(G$5:G12)/COUNTIF(G$5:G12,"&lt;&gt;0")," ")</f>
        <v>-111732.74249999999</v>
      </c>
      <c r="N12" s="18">
        <f>IF(SUM(G$5:G12)=0,0,M12*COUNTIF(G$5:G12,"&lt;&gt;0")/(SUM(B$5:B12))*100)</f>
        <v>-13.572046053912715</v>
      </c>
      <c r="O12" s="19"/>
      <c r="P12" s="22"/>
      <c r="Q12" s="21"/>
    </row>
    <row r="13" spans="1:17" s="20" customFormat="1" ht="13.5" x14ac:dyDescent="0.25">
      <c r="A13" s="49">
        <v>2018</v>
      </c>
      <c r="B13" s="50">
        <v>469436.56</v>
      </c>
      <c r="C13" s="51"/>
      <c r="D13" s="50">
        <f t="shared" si="0"/>
        <v>0</v>
      </c>
      <c r="E13" s="50"/>
      <c r="F13" s="50">
        <f t="shared" si="2"/>
        <v>0</v>
      </c>
      <c r="G13" s="50">
        <v>-259573.32</v>
      </c>
      <c r="H13" s="18">
        <f t="shared" si="1"/>
        <v>-55.294653658845824</v>
      </c>
      <c r="I13" s="18">
        <f t="shared" si="3"/>
        <v>-145319.05333333334</v>
      </c>
      <c r="J13" s="18">
        <f t="shared" si="4"/>
        <v>-54.194161407513931</v>
      </c>
      <c r="K13" s="18">
        <f t="shared" si="5"/>
        <v>-114669.902</v>
      </c>
      <c r="L13" s="18">
        <f t="shared" si="6"/>
        <v>-27.444556754401027</v>
      </c>
      <c r="M13" s="18">
        <f>IF(SUM(G$5:G13)&lt;&gt;0,SUM(G$5:G13)/COUNTIF(G$5:G13,"&lt;&gt;0")," ")</f>
        <v>-128159.47333333333</v>
      </c>
      <c r="N13" s="18">
        <f>IF(SUM(G$5:G13)=0,0,M13*COUNTIF(G$5:G13,"&lt;&gt;0")/(SUM(B$5:B13))*100)</f>
        <v>-16.348057759587672</v>
      </c>
      <c r="O13" s="19"/>
      <c r="P13" s="22"/>
      <c r="Q13" s="21"/>
    </row>
    <row r="14" spans="1:17" s="20" customFormat="1" ht="13.5" x14ac:dyDescent="0.25">
      <c r="A14" s="49">
        <v>2019</v>
      </c>
      <c r="B14" s="50">
        <v>71971.34</v>
      </c>
      <c r="C14" s="51"/>
      <c r="D14" s="50">
        <f t="shared" si="0"/>
        <v>0</v>
      </c>
      <c r="E14" s="50"/>
      <c r="F14" s="50">
        <f t="shared" si="2"/>
        <v>0</v>
      </c>
      <c r="G14" s="50">
        <v>-671290.06</v>
      </c>
      <c r="H14" s="18">
        <f t="shared" si="1"/>
        <v>-932.71857936784295</v>
      </c>
      <c r="I14" s="18">
        <f t="shared" si="3"/>
        <v>-332508.12333333335</v>
      </c>
      <c r="J14" s="18">
        <f t="shared" si="4"/>
        <v>-166.58183363525524</v>
      </c>
      <c r="K14" s="18">
        <f t="shared" si="5"/>
        <v>-234722.33399999997</v>
      </c>
      <c r="L14" s="18">
        <f t="shared" si="6"/>
        <v>-126.28864655373533</v>
      </c>
      <c r="M14" s="18">
        <f>IF(SUM(G$5:G14)&lt;&gt;0,SUM(G$5:G14)/COUNTIF(G$5:G14,"&lt;&gt;0")," ")</f>
        <v>-182472.53200000001</v>
      </c>
      <c r="N14" s="18">
        <f>IF(SUM(G$5:G14)=0,0,M14*COUNTIF(G$5:G14,"&lt;&gt;0")/(SUM(B$5:B14))*100)</f>
        <v>-25.601342957074845</v>
      </c>
      <c r="O14" s="19"/>
      <c r="P14" s="22"/>
      <c r="Q14" s="21"/>
    </row>
    <row r="15" spans="1:17" s="20" customFormat="1" ht="13.5" x14ac:dyDescent="0.25">
      <c r="A15" s="49">
        <v>2020</v>
      </c>
      <c r="B15" s="51">
        <v>10000</v>
      </c>
      <c r="C15" s="51"/>
      <c r="D15" s="50">
        <f t="shared" si="0"/>
        <v>0</v>
      </c>
      <c r="E15" s="50"/>
      <c r="F15" s="50">
        <f t="shared" si="2"/>
        <v>0</v>
      </c>
      <c r="G15" s="50">
        <v>-730973.17</v>
      </c>
      <c r="H15" s="18">
        <f t="shared" si="1"/>
        <v>-7309.7317000000003</v>
      </c>
      <c r="I15" s="18">
        <f t="shared" si="3"/>
        <v>-553945.51666666672</v>
      </c>
      <c r="J15" s="18">
        <f t="shared" si="4"/>
        <v>-301.38062040823138</v>
      </c>
      <c r="K15" s="18">
        <f t="shared" si="5"/>
        <v>-367644.07800000004</v>
      </c>
      <c r="L15" s="18">
        <f t="shared" si="6"/>
        <v>-207.37882146688827</v>
      </c>
      <c r="M15" s="18">
        <f>IF(SUM(G$5:G15)&lt;&gt;0,SUM(G$5:G15)/COUNTIF(G$5:G15,"&lt;&gt;0")," ")</f>
        <v>-232336.22636363638</v>
      </c>
      <c r="N15" s="18">
        <f>IF(SUM(G$5:G15)=0,0,M15*COUNTIF(G$5:G15,"&lt;&gt;0")/(SUM(B$5:B15))*100)</f>
        <v>-35.806837614535056</v>
      </c>
      <c r="O15" s="19"/>
      <c r="P15" s="22"/>
      <c r="Q15" s="21"/>
    </row>
    <row r="16" spans="1:17" s="20" customFormat="1" ht="13.5" x14ac:dyDescent="0.25">
      <c r="A16" s="49">
        <v>2021</v>
      </c>
      <c r="B16" s="52"/>
      <c r="C16" s="51"/>
      <c r="D16" s="50"/>
      <c r="E16" s="50"/>
      <c r="F16" s="50"/>
      <c r="G16" s="50">
        <v>-788252.57</v>
      </c>
      <c r="H16" s="18"/>
      <c r="I16" s="18">
        <f t="shared" si="3"/>
        <v>-730171.93333333323</v>
      </c>
      <c r="J16" s="18">
        <f t="shared" si="4"/>
        <v>-2672.294731304868</v>
      </c>
      <c r="K16" s="18">
        <f t="shared" si="5"/>
        <v>-503350.022</v>
      </c>
      <c r="L16" s="18">
        <f t="shared" si="6"/>
        <v>-413.3820353496609</v>
      </c>
      <c r="M16" s="18">
        <f>IF(SUM(G$5:G16)&lt;&gt;0,SUM(G$5:G16)/COUNTIF(G$5:G16,"&lt;&gt;0")," ")</f>
        <v>-278662.58833333332</v>
      </c>
      <c r="N16" s="18">
        <f>IF(SUM(G$5:G16)=0,0,M16*COUNTIF(G$5:G16,"&lt;&gt;0")/(SUM(B$5:B16))*100)</f>
        <v>-46.850719310153188</v>
      </c>
      <c r="O16" s="19"/>
      <c r="P16" s="22"/>
      <c r="Q16" s="21"/>
    </row>
    <row r="17" spans="1:15" s="20" customFormat="1" ht="13.5" x14ac:dyDescent="0.25">
      <c r="A17" s="23"/>
      <c r="B17" s="24"/>
      <c r="C17" s="24"/>
      <c r="D17" s="25"/>
      <c r="E17" s="50"/>
      <c r="F17" s="18"/>
      <c r="G17" s="50"/>
      <c r="H17" s="25"/>
      <c r="I17" s="18"/>
      <c r="J17" s="18"/>
      <c r="K17" s="18"/>
      <c r="L17" s="18"/>
      <c r="M17" s="18"/>
      <c r="N17" s="18"/>
      <c r="O17" s="19"/>
    </row>
    <row r="18" spans="1:15" s="32" customFormat="1" ht="30" customHeight="1" x14ac:dyDescent="0.3">
      <c r="A18" s="26" t="s">
        <v>17</v>
      </c>
      <c r="B18" s="27">
        <f>SUM(B5:B17)</f>
        <v>7137459.379999999</v>
      </c>
      <c r="C18" s="27">
        <f>SUM(C5:C17)</f>
        <v>0</v>
      </c>
      <c r="D18" s="28">
        <f t="shared" si="0"/>
        <v>0</v>
      </c>
      <c r="E18" s="29">
        <f>SUM(E5:E17)</f>
        <v>0</v>
      </c>
      <c r="F18" s="28">
        <f>E18/B18*100</f>
        <v>0</v>
      </c>
      <c r="G18" s="29">
        <f>SUM(G5:G17)</f>
        <v>-3343951.06</v>
      </c>
      <c r="H18" s="28">
        <f t="shared" si="1"/>
        <v>-46.850719310153195</v>
      </c>
      <c r="I18" s="30"/>
      <c r="J18" s="30"/>
      <c r="K18" s="30"/>
      <c r="L18" s="30"/>
      <c r="M18" s="30"/>
      <c r="N18" s="30"/>
      <c r="O18" s="31"/>
    </row>
    <row r="20" spans="1:15" x14ac:dyDescent="0.35">
      <c r="B20" s="38"/>
    </row>
    <row r="21" spans="1:15" x14ac:dyDescent="0.35">
      <c r="B21" s="38"/>
    </row>
  </sheetData>
  <conditionalFormatting sqref="A5:XFD16">
    <cfRule type="expression" dxfId="32" priority="2">
      <formula>MOD(ROW(),2)=0</formula>
    </cfRule>
  </conditionalFormatting>
  <conditionalFormatting sqref="A17:XFD18">
    <cfRule type="expression" dxfId="31" priority="1">
      <formula>MOD(ROW(),2)=0</formula>
    </cfRule>
  </conditionalFormatting>
  <printOptions horizontalCentered="1"/>
  <pageMargins left="0.7" right="0.7" top="0.75" bottom="0.75" header="0.3" footer="0.3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D891-F5B7-442D-B60F-66C974DD5CE9}">
  <dimension ref="A1:Q48"/>
  <sheetViews>
    <sheetView tabSelected="1" view="pageBreakPreview" zoomScale="60" zoomScaleNormal="100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3" width="14.90625" style="34" customWidth="1"/>
    <col min="4" max="7" width="14.90625" style="35" customWidth="1"/>
    <col min="8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29</v>
      </c>
      <c r="B2" s="40"/>
      <c r="C2" s="40"/>
      <c r="D2" s="40"/>
      <c r="E2" s="40"/>
      <c r="F2" s="40"/>
      <c r="G2" s="47"/>
      <c r="H2" s="41"/>
      <c r="I2" s="42"/>
      <c r="J2" s="42"/>
      <c r="K2" s="6"/>
      <c r="L2" s="6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45"/>
      <c r="K3" s="9"/>
      <c r="L3" s="9"/>
      <c r="M3" s="9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1983</v>
      </c>
      <c r="B5" s="50">
        <v>976</v>
      </c>
      <c r="C5" s="51"/>
      <c r="D5" s="50">
        <f t="shared" ref="D5:D45" si="0">C5/B5*100</f>
        <v>0</v>
      </c>
      <c r="E5" s="50">
        <v>125</v>
      </c>
      <c r="F5" s="50">
        <f t="shared" ref="F5:F15" si="1">E5/B5*100</f>
        <v>12.807377049180326</v>
      </c>
      <c r="G5" s="50">
        <f t="shared" ref="G5:G25" si="2">E5-C5</f>
        <v>125</v>
      </c>
      <c r="H5" s="18">
        <f t="shared" ref="H5:H45" si="3">G5/B5*100</f>
        <v>12.807377049180326</v>
      </c>
      <c r="I5" s="18"/>
      <c r="J5" s="18"/>
      <c r="K5" s="18"/>
      <c r="L5" s="18"/>
      <c r="M5" s="18">
        <f>IF(SUM(G$5:G5)&lt;&gt;0,SUM(G$5:G5)/COUNTIF(G$5:G5,"&lt;&gt;0")," ")</f>
        <v>125</v>
      </c>
      <c r="N5" s="18">
        <f>IF(SUM(G$5:G5)=0,0,M5*COUNTIF(G$5:G5,"&lt;&gt;0")/(SUM(B$5:B5))*100)</f>
        <v>12.807377049180326</v>
      </c>
      <c r="O5" s="19"/>
      <c r="Q5" s="21"/>
    </row>
    <row r="6" spans="1:17" s="20" customFormat="1" ht="13.5" x14ac:dyDescent="0.25">
      <c r="A6" s="49">
        <v>1984</v>
      </c>
      <c r="B6" s="50">
        <v>37721</v>
      </c>
      <c r="C6" s="51"/>
      <c r="D6" s="50">
        <f t="shared" si="0"/>
        <v>0</v>
      </c>
      <c r="E6" s="50"/>
      <c r="F6" s="50">
        <f t="shared" si="1"/>
        <v>0</v>
      </c>
      <c r="G6" s="50">
        <f t="shared" si="2"/>
        <v>0</v>
      </c>
      <c r="H6" s="18">
        <f t="shared" si="3"/>
        <v>0</v>
      </c>
      <c r="I6" s="18"/>
      <c r="J6" s="18"/>
      <c r="K6" s="18"/>
      <c r="L6" s="18"/>
      <c r="M6" s="18">
        <f>IF(SUM(G$5:G6)&lt;&gt;0,SUM(G$5:G6)/COUNTIF(G$5:G6,"&lt;&gt;0")," ")</f>
        <v>125</v>
      </c>
      <c r="N6" s="18">
        <f>IF(SUM(G$5:G6)=0,0,M6*COUNTIF(G$5:G6,"&lt;&gt;0")/(SUM(B$5:B6))*100)</f>
        <v>0.32302245652117734</v>
      </c>
      <c r="O6" s="19"/>
      <c r="Q6" s="21"/>
    </row>
    <row r="7" spans="1:17" s="20" customFormat="1" ht="13.5" x14ac:dyDescent="0.25">
      <c r="A7" s="49">
        <v>1985</v>
      </c>
      <c r="B7" s="50">
        <v>52362</v>
      </c>
      <c r="C7" s="51"/>
      <c r="D7" s="50">
        <f t="shared" si="0"/>
        <v>0</v>
      </c>
      <c r="E7" s="50">
        <v>150</v>
      </c>
      <c r="F7" s="50">
        <f t="shared" si="1"/>
        <v>0.28646728543600319</v>
      </c>
      <c r="G7" s="50">
        <f t="shared" si="2"/>
        <v>150</v>
      </c>
      <c r="H7" s="18">
        <f t="shared" si="3"/>
        <v>0.28646728543600319</v>
      </c>
      <c r="I7" s="18">
        <f>SUM(G5:G7)/3</f>
        <v>91.666666666666671</v>
      </c>
      <c r="J7" s="18">
        <f>IF(SUM(B5:B7)=0,0,I7/(SUM(B5:B7)/3)*100)</f>
        <v>0.30200199870413691</v>
      </c>
      <c r="K7" s="18"/>
      <c r="L7" s="18"/>
      <c r="M7" s="18">
        <f>IF(SUM(G$5:G7)&lt;&gt;0,SUM(G$5:G7)/COUNTIF(G$5:G7,"&lt;&gt;0")," ")</f>
        <v>137.5</v>
      </c>
      <c r="N7" s="18">
        <f>IF(SUM(G$5:G7)=0,0,M7*COUNTIF(G$5:G7,"&lt;&gt;0")/(SUM(B$5:B7))*100)</f>
        <v>0.30200199870413691</v>
      </c>
      <c r="O7" s="19"/>
      <c r="Q7" s="21"/>
    </row>
    <row r="8" spans="1:17" s="20" customFormat="1" ht="13.5" x14ac:dyDescent="0.25">
      <c r="A8" s="49">
        <v>1986</v>
      </c>
      <c r="B8" s="50">
        <v>108330</v>
      </c>
      <c r="C8" s="51"/>
      <c r="D8" s="50">
        <f t="shared" si="0"/>
        <v>0</v>
      </c>
      <c r="E8" s="50"/>
      <c r="F8" s="50">
        <f t="shared" si="1"/>
        <v>0</v>
      </c>
      <c r="G8" s="50">
        <f t="shared" si="2"/>
        <v>0</v>
      </c>
      <c r="H8" s="18">
        <f t="shared" si="3"/>
        <v>0</v>
      </c>
      <c r="I8" s="18">
        <f t="shared" ref="I8:I43" si="4">SUM(G6:G8)/3</f>
        <v>50</v>
      </c>
      <c r="J8" s="18">
        <f t="shared" ref="J8:J43" si="5">IF(SUM(B6:B8)=0,0,I8/(SUM(B6:B8)/3)*100)</f>
        <v>7.5599885088174654E-2</v>
      </c>
      <c r="K8" s="18"/>
      <c r="L8" s="18"/>
      <c r="M8" s="18">
        <f>IF(SUM(G$5:G8)&lt;&gt;0,SUM(G$5:G8)/COUNTIF(G$5:G8,"&lt;&gt;0")," ")</f>
        <v>137.5</v>
      </c>
      <c r="N8" s="18">
        <f>IF(SUM(G$5:G8)=0,0,M8*COUNTIF(G$5:G8,"&lt;&gt;0")/(SUM(B$5:B8))*100)</f>
        <v>0.137921349723405</v>
      </c>
      <c r="O8" s="19"/>
      <c r="Q8" s="21"/>
    </row>
    <row r="9" spans="1:17" s="20" customFormat="1" ht="13.5" x14ac:dyDescent="0.25">
      <c r="A9" s="49">
        <v>1987</v>
      </c>
      <c r="B9" s="50">
        <v>687595</v>
      </c>
      <c r="C9" s="51">
        <v>3312.36</v>
      </c>
      <c r="D9" s="50">
        <f t="shared" si="0"/>
        <v>0.48173125168158581</v>
      </c>
      <c r="E9" s="50">
        <v>289390.31</v>
      </c>
      <c r="F9" s="50">
        <f t="shared" si="1"/>
        <v>42.087320297558882</v>
      </c>
      <c r="G9" s="50">
        <f t="shared" si="2"/>
        <v>286077.95</v>
      </c>
      <c r="H9" s="18">
        <f t="shared" si="3"/>
        <v>41.605589045877302</v>
      </c>
      <c r="I9" s="18">
        <f t="shared" si="4"/>
        <v>95409.316666666666</v>
      </c>
      <c r="J9" s="18">
        <f t="shared" si="5"/>
        <v>33.741876275364355</v>
      </c>
      <c r="K9" s="18">
        <f>SUM(G5:G9)/5</f>
        <v>57270.590000000004</v>
      </c>
      <c r="L9" s="18">
        <f>IF(SUM(B5:B9)=0,0,K9/(SUM(B5:B9)/5)*100)</f>
        <v>32.283891253957236</v>
      </c>
      <c r="M9" s="18">
        <f>IF(SUM(G$5:G9)&lt;&gt;0,SUM(G$5:G9)/COUNTIF(G$5:G9,"&lt;&gt;0")," ")</f>
        <v>95450.983333333337</v>
      </c>
      <c r="N9" s="18">
        <f>IF(SUM(G$5:G9)=0,0,M9*COUNTIF(G$5:G9,"&lt;&gt;0")/(SUM(B$5:B9))*100)</f>
        <v>32.283891253957229</v>
      </c>
      <c r="O9" s="19"/>
      <c r="Q9" s="21"/>
    </row>
    <row r="10" spans="1:17" s="20" customFormat="1" ht="13.5" x14ac:dyDescent="0.25">
      <c r="A10" s="49">
        <v>1988</v>
      </c>
      <c r="B10" s="50">
        <v>167779</v>
      </c>
      <c r="C10" s="51"/>
      <c r="D10" s="50">
        <f t="shared" si="0"/>
        <v>0</v>
      </c>
      <c r="E10" s="50"/>
      <c r="F10" s="50">
        <f t="shared" si="1"/>
        <v>0</v>
      </c>
      <c r="G10" s="50">
        <f t="shared" si="2"/>
        <v>0</v>
      </c>
      <c r="H10" s="18">
        <f t="shared" si="3"/>
        <v>0</v>
      </c>
      <c r="I10" s="18">
        <f t="shared" si="4"/>
        <v>95359.316666666666</v>
      </c>
      <c r="J10" s="18">
        <f t="shared" si="5"/>
        <v>29.685250865410957</v>
      </c>
      <c r="K10" s="18">
        <f t="shared" ref="K10:K43" si="6">SUM(G6:G10)/5</f>
        <v>57245.590000000004</v>
      </c>
      <c r="L10" s="18">
        <f t="shared" ref="L10:L43" si="7">IF(SUM(B6:B10)=0,0,K10/(SUM(B6:B10)/5)*100)</f>
        <v>27.161841055165798</v>
      </c>
      <c r="M10" s="18">
        <f>IF(SUM(G$5:G10)&lt;&gt;0,SUM(G$5:G10)/COUNTIF(G$5:G10,"&lt;&gt;0")," ")</f>
        <v>95450.983333333337</v>
      </c>
      <c r="N10" s="18">
        <f>IF(SUM(G$5:G10)=0,0,M10*COUNTIF(G$5:G10,"&lt;&gt;0")/(SUM(B$5:B10))*100)</f>
        <v>27.148558491338814</v>
      </c>
      <c r="O10" s="19"/>
      <c r="Q10" s="21"/>
    </row>
    <row r="11" spans="1:17" s="20" customFormat="1" ht="13.5" x14ac:dyDescent="0.25">
      <c r="A11" s="49">
        <v>1989</v>
      </c>
      <c r="B11" s="50">
        <v>40157</v>
      </c>
      <c r="C11" s="51">
        <v>317.26</v>
      </c>
      <c r="D11" s="50">
        <f t="shared" si="0"/>
        <v>0.79004905744951071</v>
      </c>
      <c r="E11" s="50"/>
      <c r="F11" s="50">
        <f t="shared" si="1"/>
        <v>0</v>
      </c>
      <c r="G11" s="50">
        <f t="shared" si="2"/>
        <v>-317.26</v>
      </c>
      <c r="H11" s="18">
        <f t="shared" si="3"/>
        <v>-0.79004905744951071</v>
      </c>
      <c r="I11" s="18">
        <f t="shared" si="4"/>
        <v>95253.563333333339</v>
      </c>
      <c r="J11" s="18">
        <f t="shared" si="5"/>
        <v>31.909636852325608</v>
      </c>
      <c r="K11" s="18">
        <f t="shared" si="6"/>
        <v>57182.137999999999</v>
      </c>
      <c r="L11" s="18">
        <f t="shared" si="7"/>
        <v>27.069159637690142</v>
      </c>
      <c r="M11" s="18">
        <f>IF(SUM(G$5:G11)&lt;&gt;0,SUM(G$5:G11)/COUNTIF(G$5:G11,"&lt;&gt;0")," ")</f>
        <v>71508.922500000001</v>
      </c>
      <c r="N11" s="18">
        <f>IF(SUM(G$5:G11)=0,0,M11*COUNTIF(G$5:G11,"&lt;&gt;0")/(SUM(B$5:B11))*100)</f>
        <v>26.123889416578383</v>
      </c>
      <c r="O11" s="19"/>
      <c r="Q11" s="21"/>
    </row>
    <row r="12" spans="1:17" s="20" customFormat="1" ht="13.5" x14ac:dyDescent="0.25">
      <c r="A12" s="49">
        <v>1990</v>
      </c>
      <c r="B12" s="50">
        <v>150399</v>
      </c>
      <c r="C12" s="51">
        <v>17600</v>
      </c>
      <c r="D12" s="50">
        <f t="shared" si="0"/>
        <v>11.702205466791668</v>
      </c>
      <c r="E12" s="50"/>
      <c r="F12" s="50">
        <f t="shared" si="1"/>
        <v>0</v>
      </c>
      <c r="G12" s="50">
        <f t="shared" si="2"/>
        <v>-17600</v>
      </c>
      <c r="H12" s="18">
        <f t="shared" si="3"/>
        <v>-11.702205466791668</v>
      </c>
      <c r="I12" s="18">
        <f t="shared" si="4"/>
        <v>-5972.4199999999992</v>
      </c>
      <c r="J12" s="18">
        <f t="shared" si="5"/>
        <v>-5.0001423249194179</v>
      </c>
      <c r="K12" s="18">
        <f t="shared" si="6"/>
        <v>53632.137999999999</v>
      </c>
      <c r="L12" s="18">
        <f t="shared" si="7"/>
        <v>23.232260495902135</v>
      </c>
      <c r="M12" s="18">
        <f>IF(SUM(G$5:G12)&lt;&gt;0,SUM(G$5:G12)/COUNTIF(G$5:G12,"&lt;&gt;0")," ")</f>
        <v>53687.137999999999</v>
      </c>
      <c r="N12" s="18">
        <f>IF(SUM(G$5:G12)=0,0,M12*COUNTIF(G$5:G12,"&lt;&gt;0")/(SUM(B$5:B12))*100)</f>
        <v>21.555576522963193</v>
      </c>
      <c r="O12" s="19"/>
      <c r="Q12" s="21"/>
    </row>
    <row r="13" spans="1:17" s="20" customFormat="1" ht="13.5" x14ac:dyDescent="0.25">
      <c r="A13" s="49">
        <v>1991</v>
      </c>
      <c r="B13" s="50">
        <v>2037910</v>
      </c>
      <c r="C13" s="51">
        <v>62611.86</v>
      </c>
      <c r="D13" s="50">
        <f t="shared" si="0"/>
        <v>3.0723564828672516</v>
      </c>
      <c r="E13" s="50"/>
      <c r="F13" s="50">
        <f t="shared" si="1"/>
        <v>0</v>
      </c>
      <c r="G13" s="50">
        <f t="shared" si="2"/>
        <v>-62611.86</v>
      </c>
      <c r="H13" s="18">
        <f t="shared" si="3"/>
        <v>-3.0723564828672516</v>
      </c>
      <c r="I13" s="18">
        <f t="shared" si="4"/>
        <v>-26843.039999999997</v>
      </c>
      <c r="J13" s="18">
        <f t="shared" si="5"/>
        <v>-3.6136571076247064</v>
      </c>
      <c r="K13" s="18">
        <f t="shared" si="6"/>
        <v>41109.766000000003</v>
      </c>
      <c r="L13" s="18">
        <f t="shared" si="7"/>
        <v>6.6653532608695647</v>
      </c>
      <c r="M13" s="18">
        <f>IF(SUM(G$5:G13)&lt;&gt;0,SUM(G$5:G13)/COUNTIF(G$5:G13,"&lt;&gt;0")," ")</f>
        <v>34303.971666666672</v>
      </c>
      <c r="N13" s="18">
        <f>IF(SUM(G$5:G13)=0,0,M13*COUNTIF(G$5:G13,"&lt;&gt;0")/(SUM(B$5:B13))*100)</f>
        <v>6.2689452974495543</v>
      </c>
      <c r="O13" s="19"/>
      <c r="Q13" s="21"/>
    </row>
    <row r="14" spans="1:17" s="20" customFormat="1" ht="13.5" x14ac:dyDescent="0.25">
      <c r="A14" s="49">
        <v>1992</v>
      </c>
      <c r="B14" s="50">
        <v>69002</v>
      </c>
      <c r="C14" s="51">
        <v>255</v>
      </c>
      <c r="D14" s="50">
        <f t="shared" si="0"/>
        <v>0.36955450566650244</v>
      </c>
      <c r="E14" s="50"/>
      <c r="F14" s="50">
        <f t="shared" si="1"/>
        <v>0</v>
      </c>
      <c r="G14" s="50">
        <f t="shared" si="2"/>
        <v>-255</v>
      </c>
      <c r="H14" s="18">
        <f t="shared" si="3"/>
        <v>-0.36955450566650244</v>
      </c>
      <c r="I14" s="18">
        <f t="shared" si="4"/>
        <v>-26822.286666666667</v>
      </c>
      <c r="J14" s="18">
        <f t="shared" si="5"/>
        <v>-3.5647219191329862</v>
      </c>
      <c r="K14" s="18">
        <f t="shared" si="6"/>
        <v>-16156.823999999999</v>
      </c>
      <c r="L14" s="18">
        <f t="shared" si="7"/>
        <v>-3.2769178909861765</v>
      </c>
      <c r="M14" s="18">
        <f>IF(SUM(G$5:G14)&lt;&gt;0,SUM(G$5:G14)/COUNTIF(G$5:G14,"&lt;&gt;0")," ")</f>
        <v>29366.975714285716</v>
      </c>
      <c r="N14" s="18">
        <f>IF(SUM(G$5:G14)=0,0,M14*COUNTIF(G$5:G14,"&lt;&gt;0")/(SUM(B$5:B14))*100)</f>
        <v>6.1322990569563975</v>
      </c>
      <c r="O14" s="19"/>
      <c r="Q14" s="21"/>
    </row>
    <row r="15" spans="1:17" s="20" customFormat="1" ht="13.5" x14ac:dyDescent="0.25">
      <c r="A15" s="49">
        <v>1993</v>
      </c>
      <c r="B15" s="50">
        <v>131064</v>
      </c>
      <c r="C15" s="51">
        <v>116986.4</v>
      </c>
      <c r="D15" s="50">
        <f t="shared" si="0"/>
        <v>89.25898797534029</v>
      </c>
      <c r="E15" s="50">
        <v>2500</v>
      </c>
      <c r="F15" s="50">
        <f t="shared" si="1"/>
        <v>1.9074650552401879</v>
      </c>
      <c r="G15" s="50">
        <f t="shared" si="2"/>
        <v>-114486.39999999999</v>
      </c>
      <c r="H15" s="18">
        <f t="shared" si="3"/>
        <v>-87.351522920100095</v>
      </c>
      <c r="I15" s="18">
        <f t="shared" si="4"/>
        <v>-59117.753333333334</v>
      </c>
      <c r="J15" s="18">
        <f t="shared" si="5"/>
        <v>-7.9247167976779025</v>
      </c>
      <c r="K15" s="18">
        <f t="shared" si="6"/>
        <v>-39054.103999999999</v>
      </c>
      <c r="L15" s="18">
        <f t="shared" si="7"/>
        <v>-8.040681366356301</v>
      </c>
      <c r="M15" s="18">
        <f>IF(SUM(G$5:G15)&lt;&gt;0,SUM(G$5:G15)/COUNTIF(G$5:G15,"&lt;&gt;0")," ")</f>
        <v>11385.303750000003</v>
      </c>
      <c r="N15" s="18">
        <f>IF(SUM(G$5:G15)=0,0,M15*COUNTIF(G$5:G15,"&lt;&gt;0")/(SUM(B$5:B15))*100)</f>
        <v>2.6148353785711524</v>
      </c>
      <c r="O15" s="19"/>
      <c r="Q15" s="21"/>
    </row>
    <row r="16" spans="1:17" s="20" customFormat="1" ht="13.5" x14ac:dyDescent="0.25">
      <c r="A16" s="49">
        <v>1994</v>
      </c>
      <c r="B16" s="50">
        <v>13623</v>
      </c>
      <c r="C16" s="51">
        <v>2753.47</v>
      </c>
      <c r="D16" s="50">
        <f t="shared" si="0"/>
        <v>20.21192101592894</v>
      </c>
      <c r="E16" s="50"/>
      <c r="F16" s="50">
        <f t="shared" ref="F16" si="8">E16/B16*100</f>
        <v>0</v>
      </c>
      <c r="G16" s="50">
        <f t="shared" ref="G16" si="9">E16-C16</f>
        <v>-2753.47</v>
      </c>
      <c r="H16" s="18">
        <f t="shared" ref="H16" si="10">G16/B16*100</f>
        <v>-20.21192101592894</v>
      </c>
      <c r="I16" s="18">
        <f t="shared" si="4"/>
        <v>-39164.956666666665</v>
      </c>
      <c r="J16" s="18">
        <f t="shared" si="5"/>
        <v>-54.98405158899147</v>
      </c>
      <c r="K16" s="18">
        <f t="shared" si="6"/>
        <v>-39541.346000000005</v>
      </c>
      <c r="L16" s="18">
        <f t="shared" si="7"/>
        <v>-8.2309281689660043</v>
      </c>
      <c r="M16" s="18">
        <f>IF(SUM(G$5:G16)&lt;&gt;0,SUM(G$5:G16)/COUNTIF(G$5:G16,"&lt;&gt;0")," ")</f>
        <v>9814.328888888891</v>
      </c>
      <c r="N16" s="18">
        <f>IF(SUM(G$5:G16)=0,0,M16*COUNTIF(G$5:G16,"&lt;&gt;0")/(SUM(B$5:B16))*100)</f>
        <v>2.525908814561852</v>
      </c>
      <c r="O16" s="19"/>
      <c r="Q16" s="21"/>
    </row>
    <row r="17" spans="1:17" s="20" customFormat="1" ht="13.5" x14ac:dyDescent="0.25">
      <c r="A17" s="49">
        <v>1995</v>
      </c>
      <c r="B17" s="50">
        <v>109753</v>
      </c>
      <c r="C17" s="51">
        <v>4365</v>
      </c>
      <c r="D17" s="50">
        <f t="shared" si="0"/>
        <v>3.9771122429455232</v>
      </c>
      <c r="E17" s="50"/>
      <c r="F17" s="50">
        <f t="shared" ref="F17:F42" si="11">E17/B17*100</f>
        <v>0</v>
      </c>
      <c r="G17" s="50">
        <f t="shared" si="2"/>
        <v>-4365</v>
      </c>
      <c r="H17" s="18">
        <f t="shared" si="3"/>
        <v>-3.9771122429455232</v>
      </c>
      <c r="I17" s="18">
        <f t="shared" si="4"/>
        <v>-40534.956666666665</v>
      </c>
      <c r="J17" s="18">
        <f t="shared" si="5"/>
        <v>-47.793141801603525</v>
      </c>
      <c r="K17" s="18">
        <f t="shared" si="6"/>
        <v>-36894.346000000005</v>
      </c>
      <c r="L17" s="18">
        <f t="shared" si="7"/>
        <v>-7.8121233090195794</v>
      </c>
      <c r="M17" s="18">
        <f>IF(SUM(G$5:G17)&lt;&gt;0,SUM(G$5:G17)/COUNTIF(G$5:G17,"&lt;&gt;0")," ")</f>
        <v>8396.3960000000025</v>
      </c>
      <c r="N17" s="18">
        <f>IF(SUM(G$5:G17)=0,0,M17*COUNTIF(G$5:G17,"&lt;&gt;0")/(SUM(B$5:B17))*100)</f>
        <v>2.3280182750242542</v>
      </c>
      <c r="O17" s="19"/>
      <c r="Q17" s="21"/>
    </row>
    <row r="18" spans="1:17" s="20" customFormat="1" ht="13.5" x14ac:dyDescent="0.25">
      <c r="A18" s="49">
        <v>1996</v>
      </c>
      <c r="B18" s="50">
        <v>5307</v>
      </c>
      <c r="C18" s="51">
        <v>6783.89</v>
      </c>
      <c r="D18" s="50">
        <f t="shared" si="0"/>
        <v>127.82909364989636</v>
      </c>
      <c r="E18" s="50">
        <v>3415</v>
      </c>
      <c r="F18" s="50">
        <f t="shared" si="11"/>
        <v>64.34897305445638</v>
      </c>
      <c r="G18" s="50">
        <f t="shared" si="2"/>
        <v>-3368.8900000000003</v>
      </c>
      <c r="H18" s="18">
        <f t="shared" si="3"/>
        <v>-63.480120595439992</v>
      </c>
      <c r="I18" s="18">
        <f t="shared" si="4"/>
        <v>-3495.7866666666669</v>
      </c>
      <c r="J18" s="18">
        <f t="shared" si="5"/>
        <v>-8.1497633720071807</v>
      </c>
      <c r="K18" s="18">
        <f t="shared" si="6"/>
        <v>-25045.752</v>
      </c>
      <c r="L18" s="18">
        <f t="shared" si="7"/>
        <v>-38.092514349853538</v>
      </c>
      <c r="M18" s="18">
        <f>IF(SUM(G$5:G18)&lt;&gt;0,SUM(G$5:G18)/COUNTIF(G$5:G18,"&lt;&gt;0")," ")</f>
        <v>7326.8245454545477</v>
      </c>
      <c r="N18" s="18">
        <f>IF(SUM(G$5:G18)=0,0,M18*COUNTIF(G$5:G18,"&lt;&gt;0")/(SUM(B$5:B18))*100)</f>
        <v>2.2313278209335721</v>
      </c>
      <c r="O18" s="19"/>
      <c r="Q18" s="21"/>
    </row>
    <row r="19" spans="1:17" s="20" customFormat="1" ht="13.5" x14ac:dyDescent="0.25">
      <c r="A19" s="49">
        <v>1997</v>
      </c>
      <c r="B19" s="50">
        <v>2297</v>
      </c>
      <c r="C19" s="51">
        <v>4834.72</v>
      </c>
      <c r="D19" s="50">
        <f t="shared" si="0"/>
        <v>210.47975620374402</v>
      </c>
      <c r="E19" s="50"/>
      <c r="F19" s="50">
        <f t="shared" si="11"/>
        <v>0</v>
      </c>
      <c r="G19" s="50">
        <f t="shared" si="2"/>
        <v>-4834.72</v>
      </c>
      <c r="H19" s="18">
        <f t="shared" si="3"/>
        <v>-210.47975620374402</v>
      </c>
      <c r="I19" s="18">
        <f t="shared" si="4"/>
        <v>-4189.5366666666669</v>
      </c>
      <c r="J19" s="18">
        <f t="shared" si="5"/>
        <v>-10.709723322852494</v>
      </c>
      <c r="K19" s="18">
        <f t="shared" si="6"/>
        <v>-25961.696</v>
      </c>
      <c r="L19" s="18">
        <f t="shared" si="7"/>
        <v>-49.536902199630596</v>
      </c>
      <c r="M19" s="18">
        <f>IF(SUM(G$5:G19)&lt;&gt;0,SUM(G$5:G19)/COUNTIF(G$5:G19,"&lt;&gt;0")," ")</f>
        <v>6313.362500000002</v>
      </c>
      <c r="N19" s="18">
        <f>IF(SUM(G$5:G19)=0,0,M19*COUNTIF(G$5:G19,"&lt;&gt;0")/(SUM(B$5:B19))*100)</f>
        <v>2.0961423798687155</v>
      </c>
      <c r="O19" s="19"/>
      <c r="Q19" s="21"/>
    </row>
    <row r="20" spans="1:17" s="20" customFormat="1" ht="13.5" x14ac:dyDescent="0.25">
      <c r="A20" s="49">
        <v>1998</v>
      </c>
      <c r="B20" s="50">
        <v>64372</v>
      </c>
      <c r="C20" s="51">
        <v>351.24</v>
      </c>
      <c r="D20" s="50">
        <f t="shared" si="0"/>
        <v>0.54564096190890454</v>
      </c>
      <c r="E20" s="50"/>
      <c r="F20" s="50">
        <f t="shared" si="11"/>
        <v>0</v>
      </c>
      <c r="G20" s="50">
        <f t="shared" si="2"/>
        <v>-351.24</v>
      </c>
      <c r="H20" s="18">
        <f t="shared" si="3"/>
        <v>-0.54564096190890454</v>
      </c>
      <c r="I20" s="18">
        <f t="shared" si="4"/>
        <v>-2851.6166666666668</v>
      </c>
      <c r="J20" s="18">
        <f t="shared" si="5"/>
        <v>-11.885698010447927</v>
      </c>
      <c r="K20" s="18">
        <f t="shared" si="6"/>
        <v>-3134.6640000000002</v>
      </c>
      <c r="L20" s="18">
        <f t="shared" si="7"/>
        <v>-8.023117244768418</v>
      </c>
      <c r="M20" s="18">
        <f>IF(SUM(G$5:G20)&lt;&gt;0,SUM(G$5:G20)/COUNTIF(G$5:G20,"&lt;&gt;0")," ")</f>
        <v>5800.7007692307707</v>
      </c>
      <c r="N20" s="18">
        <f>IF(SUM(G$5:G20)=0,0,M20*COUNTIF(G$5:G20,"&lt;&gt;0")/(SUM(B$5:B20))*100)</f>
        <v>2.049914275547505</v>
      </c>
      <c r="O20" s="19"/>
      <c r="Q20" s="21"/>
    </row>
    <row r="21" spans="1:17" s="20" customFormat="1" ht="13.5" x14ac:dyDescent="0.25">
      <c r="A21" s="49">
        <v>1999</v>
      </c>
      <c r="B21" s="50">
        <v>933990</v>
      </c>
      <c r="C21" s="51">
        <v>1603.6</v>
      </c>
      <c r="D21" s="50">
        <f t="shared" si="0"/>
        <v>0.17169348708230281</v>
      </c>
      <c r="E21" s="50">
        <v>52755.33</v>
      </c>
      <c r="F21" s="50">
        <f t="shared" si="11"/>
        <v>5.6483827449972699</v>
      </c>
      <c r="G21" s="50">
        <f t="shared" si="2"/>
        <v>51151.73</v>
      </c>
      <c r="H21" s="18">
        <f t="shared" si="3"/>
        <v>5.4766892579149671</v>
      </c>
      <c r="I21" s="18">
        <f t="shared" si="4"/>
        <v>15321.923333333334</v>
      </c>
      <c r="J21" s="18">
        <f t="shared" si="5"/>
        <v>4.5935498506484231</v>
      </c>
      <c r="K21" s="18">
        <f t="shared" si="6"/>
        <v>7646.3760000000011</v>
      </c>
      <c r="L21" s="18">
        <f t="shared" si="7"/>
        <v>3.4266585045159226</v>
      </c>
      <c r="M21" s="18">
        <f>IF(SUM(G$5:G21)&lt;&gt;0,SUM(G$5:G21)/COUNTIF(G$5:G21,"&lt;&gt;0")," ")</f>
        <v>9040.0600000000013</v>
      </c>
      <c r="N21" s="18">
        <f>IF(SUM(G$5:G21)=0,0,M21*COUNTIF(G$5:G21,"&lt;&gt;0")/(SUM(B$5:B21))*100)</f>
        <v>2.7437849542463462</v>
      </c>
      <c r="O21" s="19"/>
      <c r="Q21" s="21"/>
    </row>
    <row r="22" spans="1:17" s="20" customFormat="1" ht="13.5" x14ac:dyDescent="0.25">
      <c r="A22" s="49">
        <v>2000</v>
      </c>
      <c r="B22" s="50">
        <v>4626860</v>
      </c>
      <c r="C22" s="51">
        <v>254322.37</v>
      </c>
      <c r="D22" s="50">
        <f t="shared" si="0"/>
        <v>5.4966515087986236</v>
      </c>
      <c r="E22" s="50">
        <v>313038.76</v>
      </c>
      <c r="F22" s="50">
        <f t="shared" si="11"/>
        <v>6.7656847192264307</v>
      </c>
      <c r="G22" s="50">
        <f t="shared" si="2"/>
        <v>58716.390000000014</v>
      </c>
      <c r="H22" s="18">
        <f t="shared" si="3"/>
        <v>1.2690332104278066</v>
      </c>
      <c r="I22" s="18">
        <f t="shared" si="4"/>
        <v>36505.626666666671</v>
      </c>
      <c r="J22" s="18">
        <f t="shared" si="5"/>
        <v>1.9468899183001136</v>
      </c>
      <c r="K22" s="18">
        <f t="shared" si="6"/>
        <v>20262.654000000002</v>
      </c>
      <c r="L22" s="18">
        <f t="shared" si="7"/>
        <v>1.7986223966442425</v>
      </c>
      <c r="M22" s="18">
        <f>IF(SUM(G$5:G22)&lt;&gt;0,SUM(G$5:G22)/COUNTIF(G$5:G22,"&lt;&gt;0")," ")</f>
        <v>12351.815333333336</v>
      </c>
      <c r="N22" s="18">
        <f>IF(SUM(G$5:G22)=0,0,M22*COUNTIF(G$5:G22,"&lt;&gt;0")/(SUM(B$5:B22))*100)</f>
        <v>2.0052739884000181</v>
      </c>
      <c r="O22" s="19"/>
      <c r="Q22" s="21"/>
    </row>
    <row r="23" spans="1:17" s="20" customFormat="1" ht="13.5" x14ac:dyDescent="0.25">
      <c r="A23" s="49">
        <v>2001</v>
      </c>
      <c r="B23" s="50">
        <v>673298</v>
      </c>
      <c r="C23" s="51">
        <v>501681.89</v>
      </c>
      <c r="D23" s="50">
        <f t="shared" si="0"/>
        <v>74.511121375676154</v>
      </c>
      <c r="E23" s="50"/>
      <c r="F23" s="50">
        <f t="shared" si="11"/>
        <v>0</v>
      </c>
      <c r="G23" s="50">
        <f t="shared" si="2"/>
        <v>-501681.89</v>
      </c>
      <c r="H23" s="18">
        <f t="shared" si="3"/>
        <v>-74.511121375676154</v>
      </c>
      <c r="I23" s="18">
        <f t="shared" si="4"/>
        <v>-130604.59000000001</v>
      </c>
      <c r="J23" s="18">
        <f t="shared" si="5"/>
        <v>-6.2849609922638994</v>
      </c>
      <c r="K23" s="18">
        <f t="shared" si="6"/>
        <v>-79399.945999999996</v>
      </c>
      <c r="L23" s="18">
        <f t="shared" si="7"/>
        <v>-6.3007659165470127</v>
      </c>
      <c r="M23" s="18">
        <f>IF(SUM(G$5:G23)&lt;&gt;0,SUM(G$5:G23)/COUNTIF(G$5:G23,"&lt;&gt;0")," ")</f>
        <v>-19775.291249999998</v>
      </c>
      <c r="N23" s="18">
        <f>IF(SUM(G$5:G23)=0,0,M23*COUNTIF(G$5:G23,"&lt;&gt;0")/(SUM(B$5:B23))*100)</f>
        <v>-3.1918814017640837</v>
      </c>
      <c r="O23" s="19"/>
      <c r="Q23" s="21"/>
    </row>
    <row r="24" spans="1:17" s="20" customFormat="1" ht="13.5" x14ac:dyDescent="0.25">
      <c r="A24" s="49">
        <v>2002</v>
      </c>
      <c r="B24" s="50">
        <v>509884</v>
      </c>
      <c r="C24" s="51">
        <v>44848.53</v>
      </c>
      <c r="D24" s="50">
        <f t="shared" si="0"/>
        <v>8.7958300319288298</v>
      </c>
      <c r="E24" s="50"/>
      <c r="F24" s="50">
        <f t="shared" si="11"/>
        <v>0</v>
      </c>
      <c r="G24" s="50">
        <f t="shared" si="2"/>
        <v>-44848.53</v>
      </c>
      <c r="H24" s="18">
        <f t="shared" si="3"/>
        <v>-8.7958300319288298</v>
      </c>
      <c r="I24" s="18">
        <f t="shared" si="4"/>
        <v>-162604.67666666667</v>
      </c>
      <c r="J24" s="18">
        <f t="shared" si="5"/>
        <v>-8.3960499769192722</v>
      </c>
      <c r="K24" s="18">
        <f t="shared" si="6"/>
        <v>-87402.708000000013</v>
      </c>
      <c r="L24" s="18">
        <f t="shared" si="7"/>
        <v>-6.4187369022167315</v>
      </c>
      <c r="M24" s="18">
        <f>IF(SUM(G$5:G24)&lt;&gt;0,SUM(G$5:G24)/COUNTIF(G$5:G24,"&lt;&gt;0")," ")</f>
        <v>-21250.187647058821</v>
      </c>
      <c r="N24" s="18">
        <f>IF(SUM(G$5:G24)=0,0,M24*COUNTIF(G$5:G24,"&lt;&gt;0")/(SUM(B$5:B24))*100)</f>
        <v>-3.4660300868903282</v>
      </c>
      <c r="O24" s="19"/>
      <c r="Q24" s="21"/>
    </row>
    <row r="25" spans="1:17" s="20" customFormat="1" ht="13.5" x14ac:dyDescent="0.25">
      <c r="A25" s="49">
        <v>2003</v>
      </c>
      <c r="B25" s="50">
        <v>335826</v>
      </c>
      <c r="C25" s="51">
        <v>-10052.32</v>
      </c>
      <c r="D25" s="50">
        <f t="shared" si="0"/>
        <v>-2.9933120127685169</v>
      </c>
      <c r="E25" s="50">
        <v>185000</v>
      </c>
      <c r="F25" s="50">
        <f t="shared" si="11"/>
        <v>55.088051550505327</v>
      </c>
      <c r="G25" s="50">
        <f t="shared" si="2"/>
        <v>195052.32</v>
      </c>
      <c r="H25" s="18">
        <f t="shared" si="3"/>
        <v>58.081363563273833</v>
      </c>
      <c r="I25" s="18">
        <f t="shared" si="4"/>
        <v>-117159.36666666668</v>
      </c>
      <c r="J25" s="18">
        <f t="shared" si="5"/>
        <v>-23.138660230887531</v>
      </c>
      <c r="K25" s="18">
        <f t="shared" si="6"/>
        <v>-48321.996000000006</v>
      </c>
      <c r="L25" s="18">
        <f t="shared" si="7"/>
        <v>-3.4126387845631934</v>
      </c>
      <c r="M25" s="18">
        <f>IF(SUM(G$5:G25)&lt;&gt;0,SUM(G$5:G25)/COUNTIF(G$5:G25,"&lt;&gt;0")," ")</f>
        <v>-9233.3816666666626</v>
      </c>
      <c r="N25" s="18">
        <f>IF(SUM(G$5:G25)=0,0,M25*COUNTIF(G$5:G25,"&lt;&gt;0")/(SUM(B$5:B25))*100)</f>
        <v>-1.5448323907457395</v>
      </c>
      <c r="O25" s="19"/>
      <c r="Q25" s="21"/>
    </row>
    <row r="26" spans="1:17" s="20" customFormat="1" ht="13.5" x14ac:dyDescent="0.25">
      <c r="A26" s="49">
        <v>2004</v>
      </c>
      <c r="B26" s="50">
        <v>88194</v>
      </c>
      <c r="C26" s="51">
        <v>320529.28999999998</v>
      </c>
      <c r="D26" s="50">
        <f t="shared" si="0"/>
        <v>363.43661700342426</v>
      </c>
      <c r="E26" s="50">
        <v>5073273.4800000004</v>
      </c>
      <c r="F26" s="50">
        <f t="shared" si="11"/>
        <v>5752.4020681679031</v>
      </c>
      <c r="G26" s="50">
        <f>E26-C26</f>
        <v>4752744.1900000004</v>
      </c>
      <c r="H26" s="18">
        <f t="shared" si="3"/>
        <v>5388.9654511644785</v>
      </c>
      <c r="I26" s="18">
        <f t="shared" si="4"/>
        <v>1634315.9933333334</v>
      </c>
      <c r="J26" s="18">
        <f t="shared" si="5"/>
        <v>524.99485814387776</v>
      </c>
      <c r="K26" s="18">
        <f t="shared" si="6"/>
        <v>891996.49600000004</v>
      </c>
      <c r="L26" s="18">
        <f t="shared" si="7"/>
        <v>71.542157906033026</v>
      </c>
      <c r="M26" s="18">
        <f>IF(SUM(G$5:G26)&lt;&gt;0,SUM(G$5:G26)/COUNTIF(G$5:G26,"&lt;&gt;0")," ")</f>
        <v>241397.01684210528</v>
      </c>
      <c r="N26" s="18">
        <f>IF(SUM(G$5:G26)=0,0,M26*COUNTIF(G$5:G26,"&lt;&gt;0")/(SUM(B$5:B26))*100)</f>
        <v>42.285153483101176</v>
      </c>
      <c r="O26" s="19"/>
      <c r="Q26" s="21"/>
    </row>
    <row r="27" spans="1:17" s="20" customFormat="1" ht="13.5" x14ac:dyDescent="0.25">
      <c r="A27" s="49">
        <v>2005</v>
      </c>
      <c r="B27" s="50">
        <v>8601001</v>
      </c>
      <c r="C27" s="51">
        <v>470397.56</v>
      </c>
      <c r="D27" s="50">
        <f t="shared" si="0"/>
        <v>5.4691024916750974</v>
      </c>
      <c r="E27" s="50">
        <v>3875000</v>
      </c>
      <c r="F27" s="50">
        <f t="shared" si="11"/>
        <v>45.052895587385699</v>
      </c>
      <c r="G27" s="50">
        <f t="shared" ref="G27:G38" si="12">E27-C27</f>
        <v>3404602.44</v>
      </c>
      <c r="H27" s="18">
        <f t="shared" si="3"/>
        <v>39.583793095710604</v>
      </c>
      <c r="I27" s="18">
        <f t="shared" si="4"/>
        <v>2784132.9833333339</v>
      </c>
      <c r="J27" s="18">
        <f t="shared" si="5"/>
        <v>92.547141441554544</v>
      </c>
      <c r="K27" s="18">
        <f t="shared" si="6"/>
        <v>1561173.7060000002</v>
      </c>
      <c r="L27" s="18">
        <f t="shared" si="7"/>
        <v>76.466627182080927</v>
      </c>
      <c r="M27" s="18">
        <f>IF(SUM(G$5:G27)&lt;&gt;0,SUM(G$5:G27)/COUNTIF(G$5:G27,"&lt;&gt;0")," ")</f>
        <v>399557.288</v>
      </c>
      <c r="N27" s="18">
        <f>IF(SUM(G$5:G27)=0,0,M27*COUNTIF(G$5:G27,"&lt;&gt;0")/(SUM(B$5:B27))*100)</f>
        <v>41.090441337536056</v>
      </c>
      <c r="O27" s="19"/>
      <c r="Q27" s="21"/>
    </row>
    <row r="28" spans="1:17" s="20" customFormat="1" ht="13.5" x14ac:dyDescent="0.25">
      <c r="A28" s="49">
        <v>2006</v>
      </c>
      <c r="B28" s="50">
        <v>3047027</v>
      </c>
      <c r="C28" s="51"/>
      <c r="D28" s="50">
        <f t="shared" si="0"/>
        <v>0</v>
      </c>
      <c r="E28" s="50"/>
      <c r="F28" s="50">
        <f t="shared" si="11"/>
        <v>0</v>
      </c>
      <c r="G28" s="50">
        <f t="shared" si="12"/>
        <v>0</v>
      </c>
      <c r="H28" s="18">
        <f t="shared" si="3"/>
        <v>0</v>
      </c>
      <c r="I28" s="18">
        <f t="shared" si="4"/>
        <v>2719115.5433333335</v>
      </c>
      <c r="J28" s="18">
        <f t="shared" si="5"/>
        <v>69.505728760072884</v>
      </c>
      <c r="K28" s="18">
        <f t="shared" si="6"/>
        <v>1661510.084</v>
      </c>
      <c r="L28" s="18">
        <f t="shared" si="7"/>
        <v>66.027621354176773</v>
      </c>
      <c r="M28" s="18">
        <f>IF(SUM(G$5:G28)&lt;&gt;0,SUM(G$5:G28)/COUNTIF(G$5:G28,"&lt;&gt;0")," ")</f>
        <v>399557.288</v>
      </c>
      <c r="N28" s="18">
        <f>IF(SUM(G$5:G28)=0,0,M28*COUNTIF(G$5:G28,"&lt;&gt;0")/(SUM(B$5:B28))*100)</f>
        <v>35.524528748448468</v>
      </c>
      <c r="O28" s="19"/>
      <c r="Q28" s="21"/>
    </row>
    <row r="29" spans="1:17" s="20" customFormat="1" ht="13.5" x14ac:dyDescent="0.25">
      <c r="A29" s="49">
        <v>2007</v>
      </c>
      <c r="B29" s="50">
        <v>1638935</v>
      </c>
      <c r="C29" s="51"/>
      <c r="D29" s="50">
        <f t="shared" si="0"/>
        <v>0</v>
      </c>
      <c r="E29" s="50">
        <v>-10901.73</v>
      </c>
      <c r="F29" s="50">
        <f t="shared" si="11"/>
        <v>-0.66517159008746529</v>
      </c>
      <c r="G29" s="50">
        <f t="shared" si="12"/>
        <v>-10901.73</v>
      </c>
      <c r="H29" s="18">
        <f t="shared" si="3"/>
        <v>-0.66517159008746529</v>
      </c>
      <c r="I29" s="18">
        <f t="shared" si="4"/>
        <v>1131233.57</v>
      </c>
      <c r="J29" s="18">
        <f t="shared" si="5"/>
        <v>25.541583204529132</v>
      </c>
      <c r="K29" s="18">
        <f t="shared" si="6"/>
        <v>1668299.4440000001</v>
      </c>
      <c r="L29" s="18">
        <f t="shared" si="7"/>
        <v>60.838068430250416</v>
      </c>
      <c r="M29" s="18">
        <f>IF(SUM(G$5:G29)&lt;&gt;0,SUM(G$5:G29)/COUNTIF(G$5:G29,"&lt;&gt;0")," ")</f>
        <v>380011.62047619047</v>
      </c>
      <c r="N29" s="18">
        <f>IF(SUM(G$5:G29)=0,0,M29*COUNTIF(G$5:G29,"&lt;&gt;0")/(SUM(B$5:B29))*100)</f>
        <v>33.066859186144235</v>
      </c>
      <c r="O29" s="19"/>
      <c r="Q29" s="21"/>
    </row>
    <row r="30" spans="1:17" s="20" customFormat="1" ht="13.5" x14ac:dyDescent="0.25">
      <c r="A30" s="49">
        <v>2008</v>
      </c>
      <c r="B30" s="50">
        <v>4806617</v>
      </c>
      <c r="C30" s="51"/>
      <c r="D30" s="50">
        <f t="shared" si="0"/>
        <v>0</v>
      </c>
      <c r="E30" s="50">
        <v>21804.54</v>
      </c>
      <c r="F30" s="50">
        <f t="shared" si="11"/>
        <v>0.45363589401859977</v>
      </c>
      <c r="G30" s="50">
        <f t="shared" si="12"/>
        <v>21804.54</v>
      </c>
      <c r="H30" s="18">
        <f t="shared" si="3"/>
        <v>0.45363589401859977</v>
      </c>
      <c r="I30" s="18">
        <f t="shared" si="4"/>
        <v>3634.2700000000004</v>
      </c>
      <c r="J30" s="18">
        <f t="shared" si="5"/>
        <v>0.11485614183458469</v>
      </c>
      <c r="K30" s="18">
        <f t="shared" si="6"/>
        <v>1633649.888</v>
      </c>
      <c r="L30" s="18">
        <f t="shared" si="7"/>
        <v>44.925481088919049</v>
      </c>
      <c r="M30" s="18">
        <f>IF(SUM(G$5:G30)&lt;&gt;0,SUM(G$5:G30)/COUNTIF(G$5:G30,"&lt;&gt;0")," ")</f>
        <v>363729.48045454541</v>
      </c>
      <c r="N30" s="18">
        <f>IF(SUM(G$5:G30)=0,0,M30*COUNTIF(G$5:G30,"&lt;&gt;0")/(SUM(B$5:B30))*100)</f>
        <v>27.650212252618573</v>
      </c>
      <c r="O30" s="19"/>
      <c r="Q30" s="21"/>
    </row>
    <row r="31" spans="1:17" s="20" customFormat="1" ht="13.5" x14ac:dyDescent="0.25">
      <c r="A31" s="49">
        <v>2009</v>
      </c>
      <c r="B31" s="50">
        <v>701843</v>
      </c>
      <c r="C31" s="51"/>
      <c r="D31" s="50">
        <f t="shared" si="0"/>
        <v>0</v>
      </c>
      <c r="E31" s="50"/>
      <c r="F31" s="50">
        <f t="shared" si="11"/>
        <v>0</v>
      </c>
      <c r="G31" s="50">
        <f t="shared" si="12"/>
        <v>0</v>
      </c>
      <c r="H31" s="18">
        <f t="shared" si="3"/>
        <v>0</v>
      </c>
      <c r="I31" s="18">
        <f t="shared" si="4"/>
        <v>3634.2700000000004</v>
      </c>
      <c r="J31" s="18">
        <f t="shared" si="5"/>
        <v>0.15254242979435167</v>
      </c>
      <c r="K31" s="18">
        <f t="shared" si="6"/>
        <v>683101.05</v>
      </c>
      <c r="L31" s="18">
        <f t="shared" si="7"/>
        <v>18.172005227017237</v>
      </c>
      <c r="M31" s="18">
        <f>IF(SUM(G$5:G31)&lt;&gt;0,SUM(G$5:G31)/COUNTIF(G$5:G31,"&lt;&gt;0")," ")</f>
        <v>363729.48045454541</v>
      </c>
      <c r="N31" s="18">
        <f>IF(SUM(G$5:G31)=0,0,M31*COUNTIF(G$5:G31,"&lt;&gt;0")/(SUM(B$5:B31))*100)</f>
        <v>26.995532134980078</v>
      </c>
      <c r="O31" s="19"/>
      <c r="Q31" s="21"/>
    </row>
    <row r="32" spans="1:17" s="20" customFormat="1" ht="13.5" x14ac:dyDescent="0.25">
      <c r="A32" s="49">
        <v>2010</v>
      </c>
      <c r="B32" s="50">
        <v>517603</v>
      </c>
      <c r="C32" s="51">
        <v>1491201.19</v>
      </c>
      <c r="D32" s="50">
        <f t="shared" si="0"/>
        <v>288.09747818308625</v>
      </c>
      <c r="E32" s="50"/>
      <c r="F32" s="50">
        <f t="shared" si="11"/>
        <v>0</v>
      </c>
      <c r="G32" s="50">
        <f>(E32-C32)+3000</f>
        <v>-1488201.19</v>
      </c>
      <c r="H32" s="18">
        <f t="shared" si="3"/>
        <v>-287.51788339712095</v>
      </c>
      <c r="I32" s="18">
        <f t="shared" si="4"/>
        <v>-488798.8833333333</v>
      </c>
      <c r="J32" s="18">
        <f t="shared" si="5"/>
        <v>-24.334240282585824</v>
      </c>
      <c r="K32" s="18">
        <f t="shared" si="6"/>
        <v>-295459.67599999998</v>
      </c>
      <c r="L32" s="18">
        <f t="shared" si="7"/>
        <v>-13.791028120266708</v>
      </c>
      <c r="M32" s="18">
        <f>IF(SUM(G$5:G32)&lt;&gt;0,SUM(G$5:G32)/COUNTIF(G$5:G32,"&lt;&gt;0")," ")</f>
        <v>283210.75565217389</v>
      </c>
      <c r="N32" s="18">
        <f>IF(SUM(G$5:G32)=0,0,M32*COUNTIF(G$5:G32,"&lt;&gt;0")/(SUM(B$5:B32))*100)</f>
        <v>21.597834131445161</v>
      </c>
      <c r="O32" s="19"/>
      <c r="Q32" s="21"/>
    </row>
    <row r="33" spans="1:17" s="20" customFormat="1" ht="13.5" x14ac:dyDescent="0.25">
      <c r="A33" s="49">
        <v>2011</v>
      </c>
      <c r="B33" s="50">
        <v>522802.67</v>
      </c>
      <c r="C33" s="51">
        <v>44810.169999999875</v>
      </c>
      <c r="D33" s="50">
        <f t="shared" si="0"/>
        <v>8.5711440609130545</v>
      </c>
      <c r="E33" s="50">
        <v>-1052341.76</v>
      </c>
      <c r="F33" s="50">
        <f t="shared" si="11"/>
        <v>-201.28852058081495</v>
      </c>
      <c r="G33" s="50">
        <f>(E33-C33)+-6989</f>
        <v>-1104140.93</v>
      </c>
      <c r="H33" s="18">
        <f t="shared" si="3"/>
        <v>-211.19649790617939</v>
      </c>
      <c r="I33" s="18">
        <f t="shared" si="4"/>
        <v>-864114.04</v>
      </c>
      <c r="J33" s="18">
        <f t="shared" si="5"/>
        <v>-148.79288844571195</v>
      </c>
      <c r="K33" s="18">
        <f t="shared" si="6"/>
        <v>-516287.86199999991</v>
      </c>
      <c r="L33" s="18">
        <f t="shared" si="7"/>
        <v>-31.527871940732034</v>
      </c>
      <c r="M33" s="18">
        <f>IF(SUM(G$5:G33)&lt;&gt;0,SUM(G$5:G33)/COUNTIF(G$5:G33,"&lt;&gt;0")," ")</f>
        <v>225404.43541666665</v>
      </c>
      <c r="N33" s="18">
        <f>IF(SUM(G$5:G33)=0,0,M33*COUNTIF(G$5:G33,"&lt;&gt;0")/(SUM(B$5:B33))*100)</f>
        <v>17.631228131472909</v>
      </c>
      <c r="O33" s="19"/>
      <c r="Q33" s="21"/>
    </row>
    <row r="34" spans="1:17" s="20" customFormat="1" ht="13.5" x14ac:dyDescent="0.25">
      <c r="A34" s="49">
        <v>2012</v>
      </c>
      <c r="B34" s="50">
        <v>986955.09</v>
      </c>
      <c r="C34" s="51">
        <v>342540.08</v>
      </c>
      <c r="D34" s="50">
        <f t="shared" si="0"/>
        <v>34.706754488697158</v>
      </c>
      <c r="E34" s="50"/>
      <c r="F34" s="50">
        <f t="shared" si="11"/>
        <v>0</v>
      </c>
      <c r="G34" s="50">
        <f>(E34-C34)+-3690</f>
        <v>-346230.08</v>
      </c>
      <c r="H34" s="18">
        <f t="shared" si="3"/>
        <v>-35.080631683048516</v>
      </c>
      <c r="I34" s="18">
        <f t="shared" si="4"/>
        <v>-979524.06666666677</v>
      </c>
      <c r="J34" s="18">
        <f t="shared" si="5"/>
        <v>-144.94569777507189</v>
      </c>
      <c r="K34" s="18">
        <f t="shared" si="6"/>
        <v>-583353.53200000001</v>
      </c>
      <c r="L34" s="18">
        <f t="shared" si="7"/>
        <v>-38.705374675073877</v>
      </c>
      <c r="M34" s="18">
        <f>IF(SUM(G$5:G34)&lt;&gt;0,SUM(G$5:G34)/COUNTIF(G$5:G34,"&lt;&gt;0")," ")</f>
        <v>202539.05479999995</v>
      </c>
      <c r="N34" s="18">
        <f>IF(SUM(G$5:G34)=0,0,M34*COUNTIF(G$5:G34,"&lt;&gt;0")/(SUM(B$5:B34))*100)</f>
        <v>15.988503533109169</v>
      </c>
      <c r="O34" s="19"/>
      <c r="Q34" s="21"/>
    </row>
    <row r="35" spans="1:17" s="20" customFormat="1" ht="13.5" x14ac:dyDescent="0.25">
      <c r="A35" s="49">
        <v>2013</v>
      </c>
      <c r="B35" s="50">
        <f>514516.45+11161653</f>
        <v>11676169.449999999</v>
      </c>
      <c r="C35" s="51">
        <v>492857.35</v>
      </c>
      <c r="D35" s="50">
        <f t="shared" si="0"/>
        <v>4.2210534209059469</v>
      </c>
      <c r="E35" s="50"/>
      <c r="F35" s="50">
        <f t="shared" si="11"/>
        <v>0</v>
      </c>
      <c r="G35" s="50">
        <f t="shared" si="12"/>
        <v>-492857.35</v>
      </c>
      <c r="H35" s="18">
        <f t="shared" si="3"/>
        <v>-4.2210534209059469</v>
      </c>
      <c r="I35" s="18">
        <f t="shared" si="4"/>
        <v>-647742.78666666662</v>
      </c>
      <c r="J35" s="18">
        <f t="shared" si="5"/>
        <v>-14.737138534530104</v>
      </c>
      <c r="K35" s="18">
        <f t="shared" si="6"/>
        <v>-686285.91</v>
      </c>
      <c r="L35" s="18">
        <f t="shared" si="7"/>
        <v>-23.820483509708389</v>
      </c>
      <c r="M35" s="18">
        <f>IF(SUM(G$5:G35)&lt;&gt;0,SUM(G$5:G35)/COUNTIF(G$5:G35,"&lt;&gt;0")," ")</f>
        <v>175793.03923076921</v>
      </c>
      <c r="N35" s="18">
        <f>IF(SUM(G$5:G35)=0,0,M35*COUNTIF(G$5:G35,"&lt;&gt;0")/(SUM(B$5:B35))*100)</f>
        <v>10.544584720645963</v>
      </c>
      <c r="O35" s="19"/>
      <c r="Q35" s="21"/>
    </row>
    <row r="36" spans="1:17" s="20" customFormat="1" ht="13.5" x14ac:dyDescent="0.25">
      <c r="A36" s="49">
        <v>2014</v>
      </c>
      <c r="B36" s="50">
        <v>1730750.65</v>
      </c>
      <c r="C36" s="51"/>
      <c r="D36" s="50">
        <f t="shared" si="0"/>
        <v>0</v>
      </c>
      <c r="E36" s="50"/>
      <c r="F36" s="50">
        <f t="shared" si="11"/>
        <v>0</v>
      </c>
      <c r="G36" s="50">
        <v>-1551831</v>
      </c>
      <c r="H36" s="18">
        <f t="shared" si="3"/>
        <v>-89.662309241368774</v>
      </c>
      <c r="I36" s="18">
        <f t="shared" si="4"/>
        <v>-796972.80999999994</v>
      </c>
      <c r="J36" s="18">
        <f t="shared" si="5"/>
        <v>-16.610665289504986</v>
      </c>
      <c r="K36" s="18">
        <f t="shared" si="6"/>
        <v>-996652.1100000001</v>
      </c>
      <c r="L36" s="18">
        <f t="shared" si="7"/>
        <v>-32.286962996214399</v>
      </c>
      <c r="M36" s="18">
        <f>IF(SUM(G$5:G36)&lt;&gt;0,SUM(G$5:G36)/COUNTIF(G$5:G36,"&lt;&gt;0")," ")</f>
        <v>111806.96370370369</v>
      </c>
      <c r="N36" s="18">
        <f>IF(SUM(G$5:G36)=0,0,M36*COUNTIF(G$5:G36,"&lt;&gt;0")/(SUM(B$5:B36))*100)</f>
        <v>6.6970472985075276</v>
      </c>
      <c r="O36" s="19"/>
      <c r="Q36" s="21"/>
    </row>
    <row r="37" spans="1:17" s="20" customFormat="1" ht="13.5" x14ac:dyDescent="0.25">
      <c r="A37" s="49">
        <v>2015</v>
      </c>
      <c r="B37" s="50">
        <f>19423087.95+3014980</f>
        <v>22438067.949999999</v>
      </c>
      <c r="C37" s="51">
        <v>11607328.45999999</v>
      </c>
      <c r="D37" s="50">
        <f t="shared" si="0"/>
        <v>51.730516575068975</v>
      </c>
      <c r="E37" s="50"/>
      <c r="F37" s="50">
        <f t="shared" si="11"/>
        <v>0</v>
      </c>
      <c r="G37" s="50">
        <f>(E37-C37)+141018</f>
        <v>-11466310.45999999</v>
      </c>
      <c r="H37" s="18">
        <f t="shared" si="3"/>
        <v>-51.102040004295425</v>
      </c>
      <c r="I37" s="18">
        <f t="shared" si="4"/>
        <v>-4503666.2699999968</v>
      </c>
      <c r="J37" s="18">
        <f t="shared" si="5"/>
        <v>-37.692853436451323</v>
      </c>
      <c r="K37" s="18">
        <f t="shared" si="6"/>
        <v>-2992273.9639999978</v>
      </c>
      <c r="L37" s="18">
        <f t="shared" si="7"/>
        <v>-40.052125896128501</v>
      </c>
      <c r="M37" s="18">
        <f>IF(SUM(G$5:G37)&lt;&gt;0,SUM(G$5:G37)/COUNTIF(G$5:G37,"&lt;&gt;0")," ")</f>
        <v>-301697.22999999963</v>
      </c>
      <c r="N37" s="18">
        <f>IF(SUM(G$5:G37)=0,0,M37*COUNTIF(G$5:G37,"&lt;&gt;0")/(SUM(B$5:B37))*100)</f>
        <v>-12.512165671524118</v>
      </c>
      <c r="O37" s="19"/>
      <c r="P37" s="22"/>
      <c r="Q37" s="21"/>
    </row>
    <row r="38" spans="1:17" s="20" customFormat="1" ht="13.5" x14ac:dyDescent="0.25">
      <c r="A38" s="49">
        <v>2016</v>
      </c>
      <c r="B38" s="50">
        <v>12009265.43</v>
      </c>
      <c r="C38" s="51">
        <v>12886.25</v>
      </c>
      <c r="D38" s="50">
        <f t="shared" si="0"/>
        <v>0.107302566298595</v>
      </c>
      <c r="E38" s="50"/>
      <c r="F38" s="50">
        <f t="shared" si="11"/>
        <v>0</v>
      </c>
      <c r="G38" s="50">
        <f t="shared" si="12"/>
        <v>-12886.25</v>
      </c>
      <c r="H38" s="18">
        <f t="shared" si="3"/>
        <v>-0.107302566298595</v>
      </c>
      <c r="I38" s="18">
        <f t="shared" si="4"/>
        <v>-4343675.9033333296</v>
      </c>
      <c r="J38" s="18">
        <f t="shared" si="5"/>
        <v>-36.019120579172331</v>
      </c>
      <c r="K38" s="18">
        <f t="shared" si="6"/>
        <v>-2774023.0279999981</v>
      </c>
      <c r="L38" s="18">
        <f t="shared" si="7"/>
        <v>-28.398386416095988</v>
      </c>
      <c r="M38" s="18">
        <f>IF(SUM(G$5:G38)&lt;&gt;0,SUM(G$5:G38)/COUNTIF(G$5:G38,"&lt;&gt;0")," ")</f>
        <v>-291738.23068965483</v>
      </c>
      <c r="N38" s="18">
        <f>IF(SUM(G$5:G38)=0,0,M38*COUNTIF(G$5:G38,"&lt;&gt;0")/(SUM(B$5:B38))*100)</f>
        <v>-10.63884707889825</v>
      </c>
      <c r="O38" s="19"/>
      <c r="P38" s="22"/>
      <c r="Q38" s="21"/>
    </row>
    <row r="39" spans="1:17" s="20" customFormat="1" ht="13.5" x14ac:dyDescent="0.25">
      <c r="A39" s="49">
        <v>2017</v>
      </c>
      <c r="B39" s="50">
        <v>2223298.0699999998</v>
      </c>
      <c r="C39" s="51"/>
      <c r="D39" s="50">
        <f t="shared" si="0"/>
        <v>0</v>
      </c>
      <c r="E39" s="50"/>
      <c r="F39" s="50">
        <f t="shared" si="11"/>
        <v>0</v>
      </c>
      <c r="G39" s="50">
        <v>-1263.5899999999999</v>
      </c>
      <c r="H39" s="18">
        <f t="shared" si="3"/>
        <v>-5.683403485345534E-2</v>
      </c>
      <c r="I39" s="18">
        <f t="shared" si="4"/>
        <v>-3826820.0999999964</v>
      </c>
      <c r="J39" s="18">
        <f t="shared" si="5"/>
        <v>-31.306961036799901</v>
      </c>
      <c r="K39" s="18">
        <f t="shared" si="6"/>
        <v>-2705029.7299999977</v>
      </c>
      <c r="L39" s="18">
        <f t="shared" si="7"/>
        <v>-27.008406424375174</v>
      </c>
      <c r="M39" s="18">
        <f>IF(SUM(G$5:G39)&lt;&gt;0,SUM(G$5:G39)/COUNTIF(G$5:G39,"&lt;&gt;0")," ")</f>
        <v>-282055.74266666634</v>
      </c>
      <c r="N39" s="18">
        <f>IF(SUM(G$5:G39)=0,0,M39*COUNTIF(G$5:G39,"&lt;&gt;0")/(SUM(B$5:B39))*100)</f>
        <v>-10.351044966245198</v>
      </c>
      <c r="O39" s="19"/>
      <c r="P39" s="22"/>
      <c r="Q39" s="21"/>
    </row>
    <row r="40" spans="1:17" s="20" customFormat="1" ht="13.5" x14ac:dyDescent="0.25">
      <c r="A40" s="49">
        <v>2018</v>
      </c>
      <c r="B40" s="50">
        <f>1723215.93+1618286</f>
        <v>3341501.9299999997</v>
      </c>
      <c r="C40" s="51"/>
      <c r="D40" s="50">
        <f t="shared" si="0"/>
        <v>0</v>
      </c>
      <c r="E40" s="50"/>
      <c r="F40" s="50">
        <f t="shared" si="11"/>
        <v>0</v>
      </c>
      <c r="G40" s="50">
        <v>-9500</v>
      </c>
      <c r="H40" s="18">
        <f t="shared" si="3"/>
        <v>-0.28430329232220436</v>
      </c>
      <c r="I40" s="18">
        <f t="shared" si="4"/>
        <v>-7883.28</v>
      </c>
      <c r="J40" s="18">
        <f t="shared" si="5"/>
        <v>-0.13457239074362545</v>
      </c>
      <c r="K40" s="18">
        <f t="shared" si="6"/>
        <v>-2608358.2599999979</v>
      </c>
      <c r="L40" s="18">
        <f t="shared" si="7"/>
        <v>-31.243148630140276</v>
      </c>
      <c r="M40" s="18">
        <f>IF(SUM(G$5:G40)&lt;&gt;0,SUM(G$5:G40)/COUNTIF(G$5:G40,"&lt;&gt;0")," ")</f>
        <v>-273263.62193548353</v>
      </c>
      <c r="N40" s="18">
        <f>IF(SUM(G$5:G40)=0,0,M40*COUNTIF(G$5:G40,"&lt;&gt;0")/(SUM(B$5:B40))*100)</f>
        <v>-9.9557151342999646</v>
      </c>
      <c r="O40" s="19"/>
      <c r="P40" s="22"/>
      <c r="Q40" s="21"/>
    </row>
    <row r="41" spans="1:17" s="20" customFormat="1" ht="13.5" x14ac:dyDescent="0.25">
      <c r="A41" s="49">
        <v>2019</v>
      </c>
      <c r="B41" s="50">
        <v>219673.65</v>
      </c>
      <c r="C41" s="51"/>
      <c r="D41" s="50">
        <f t="shared" si="0"/>
        <v>0</v>
      </c>
      <c r="E41" s="50"/>
      <c r="F41" s="50">
        <f t="shared" si="11"/>
        <v>0</v>
      </c>
      <c r="G41" s="50">
        <v>154020.14000000001</v>
      </c>
      <c r="H41" s="18">
        <f t="shared" si="3"/>
        <v>70.113161045942476</v>
      </c>
      <c r="I41" s="18">
        <f t="shared" si="4"/>
        <v>47752.183333333342</v>
      </c>
      <c r="J41" s="18">
        <f t="shared" si="5"/>
        <v>2.4765701888883185</v>
      </c>
      <c r="K41" s="18">
        <f t="shared" si="6"/>
        <v>-2267188.0319999978</v>
      </c>
      <c r="L41" s="18">
        <f t="shared" si="7"/>
        <v>-28.176562269616728</v>
      </c>
      <c r="M41" s="18">
        <f>IF(SUM(G$5:G41)&lt;&gt;0,SUM(G$5:G41)/COUNTIF(G$5:G41,"&lt;&gt;0")," ")</f>
        <v>-259911.0043749997</v>
      </c>
      <c r="N41" s="18">
        <f>IF(SUM(G$5:G41)=0,0,M41*COUNTIF(G$5:G41,"&lt;&gt;0")/(SUM(B$5:B41))*100)</f>
        <v>-9.7495330762707066</v>
      </c>
      <c r="O41" s="19"/>
      <c r="P41" s="22"/>
      <c r="Q41" s="21"/>
    </row>
    <row r="42" spans="1:17" s="20" customFormat="1" ht="13.5" x14ac:dyDescent="0.25">
      <c r="A42" s="49">
        <v>2020</v>
      </c>
      <c r="B42" s="50">
        <v>32635.27</v>
      </c>
      <c r="C42" s="51"/>
      <c r="D42" s="50">
        <f t="shared" si="0"/>
        <v>0</v>
      </c>
      <c r="E42" s="50"/>
      <c r="F42" s="50">
        <f t="shared" si="11"/>
        <v>0</v>
      </c>
      <c r="G42" s="50">
        <v>156717.9</v>
      </c>
      <c r="H42" s="18">
        <f t="shared" si="3"/>
        <v>480.21021428656792</v>
      </c>
      <c r="I42" s="18">
        <f t="shared" si="4"/>
        <v>100412.68000000001</v>
      </c>
      <c r="J42" s="18">
        <f t="shared" si="5"/>
        <v>8.3821339679020674</v>
      </c>
      <c r="K42" s="18">
        <f t="shared" si="6"/>
        <v>57417.64</v>
      </c>
      <c r="L42" s="18">
        <f t="shared" si="7"/>
        <v>1.610468816391708</v>
      </c>
      <c r="M42" s="18">
        <f>IF(SUM(G$5:G42)&lt;&gt;0,SUM(G$5:G42)/COUNTIF(G$5:G42,"&lt;&gt;0")," ")</f>
        <v>-247285.88606060576</v>
      </c>
      <c r="N42" s="18">
        <f>IF(SUM(G$5:G42)=0,0,M42*COUNTIF(G$5:G42,"&lt;&gt;0")/(SUM(B$5:B42))*100)</f>
        <v>-9.5621671248984264</v>
      </c>
      <c r="O42" s="19"/>
      <c r="P42" s="22"/>
      <c r="Q42" s="21"/>
    </row>
    <row r="43" spans="1:17" s="20" customFormat="1" ht="13.5" x14ac:dyDescent="0.25">
      <c r="A43" s="49">
        <v>2021</v>
      </c>
      <c r="B43" s="50">
        <v>38787930.759999998</v>
      </c>
      <c r="C43" s="51"/>
      <c r="D43" s="50"/>
      <c r="E43" s="50"/>
      <c r="F43" s="50"/>
      <c r="G43" s="50">
        <v>161036.53</v>
      </c>
      <c r="H43" s="18">
        <f t="shared" si="3"/>
        <v>0.41517174761503062</v>
      </c>
      <c r="I43" s="18">
        <f t="shared" si="4"/>
        <v>157258.19000000003</v>
      </c>
      <c r="J43" s="18">
        <f t="shared" si="5"/>
        <v>1.2084315410637358</v>
      </c>
      <c r="K43" s="18">
        <f t="shared" si="6"/>
        <v>92202.195999999996</v>
      </c>
      <c r="L43" s="18">
        <f t="shared" si="7"/>
        <v>1.0335401185770225</v>
      </c>
      <c r="M43" s="18">
        <f>IF(SUM(G$5:G43)&lt;&gt;0,SUM(G$5:G43)/COUNTIF(G$5:G43,"&lt;&gt;0")," ")</f>
        <v>-235276.40323529381</v>
      </c>
      <c r="N43" s="18">
        <f>IF(SUM(G$5:G43)=0,0,M43*COUNTIF(G$5:G43,"&lt;&gt;0")/(SUM(B$5:B43))*100)</f>
        <v>-6.4444345404288335</v>
      </c>
      <c r="O43" s="19"/>
      <c r="P43" s="22"/>
      <c r="Q43" s="21"/>
    </row>
    <row r="44" spans="1:17" s="20" customFormat="1" ht="13.5" x14ac:dyDescent="0.25">
      <c r="A44" s="23"/>
      <c r="B44" s="24"/>
      <c r="C44" s="24"/>
      <c r="D44" s="25"/>
      <c r="E44" s="50"/>
      <c r="F44" s="18"/>
      <c r="G44" s="50"/>
      <c r="H44" s="25"/>
      <c r="I44" s="18"/>
      <c r="J44" s="18"/>
      <c r="K44" s="18"/>
      <c r="L44" s="18"/>
      <c r="M44" s="18"/>
      <c r="N44" s="18"/>
      <c r="O44" s="19"/>
    </row>
    <row r="45" spans="1:17" s="32" customFormat="1" ht="30" customHeight="1" x14ac:dyDescent="0.3">
      <c r="A45" s="26" t="s">
        <v>17</v>
      </c>
      <c r="B45" s="27">
        <f>SUM(B5:B44)</f>
        <v>124128775.92000002</v>
      </c>
      <c r="C45" s="27">
        <f>SUM(C5:C44)</f>
        <v>15795125.61999999</v>
      </c>
      <c r="D45" s="28">
        <f t="shared" si="0"/>
        <v>12.724789641186682</v>
      </c>
      <c r="E45" s="29">
        <f>SUM(E5:E44)</f>
        <v>8753208.9299999997</v>
      </c>
      <c r="F45" s="28">
        <f>E45/B45*100</f>
        <v>7.0517161432747635</v>
      </c>
      <c r="G45" s="29">
        <f>SUM(G5:G44)</f>
        <v>-7999397.7099999897</v>
      </c>
      <c r="H45" s="28">
        <f t="shared" si="3"/>
        <v>-6.4444345404288335</v>
      </c>
      <c r="I45" s="30"/>
      <c r="J45" s="30"/>
      <c r="K45" s="30"/>
      <c r="L45" s="30"/>
      <c r="M45" s="30"/>
      <c r="N45" s="30"/>
      <c r="O45" s="31"/>
    </row>
    <row r="47" spans="1:17" x14ac:dyDescent="0.35">
      <c r="B47" s="38"/>
    </row>
    <row r="48" spans="1:17" x14ac:dyDescent="0.35">
      <c r="B48" s="38"/>
    </row>
  </sheetData>
  <conditionalFormatting sqref="A5:XFD35 A37:XFD38 A36 C36:XFD36 A39:F43 H39:XFD43">
    <cfRule type="expression" dxfId="30" priority="4">
      <formula>MOD(ROW(),2)=0</formula>
    </cfRule>
  </conditionalFormatting>
  <conditionalFormatting sqref="A44:XFD45">
    <cfRule type="expression" dxfId="29" priority="3">
      <formula>MOD(ROW(),2)=0</formula>
    </cfRule>
  </conditionalFormatting>
  <conditionalFormatting sqref="B36">
    <cfRule type="expression" dxfId="28" priority="2">
      <formula>MOD(ROW(),2)=0</formula>
    </cfRule>
  </conditionalFormatting>
  <conditionalFormatting sqref="G39:G43">
    <cfRule type="expression" dxfId="27" priority="1">
      <formula>MOD(ROW(),2)=0</formula>
    </cfRule>
  </conditionalFormatting>
  <printOptions horizontalCentered="1"/>
  <pageMargins left="0.7" right="0.7" top="0.75" bottom="0.75" header="0.3" footer="0.3"/>
  <pageSetup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18E59-8125-4620-86C5-15E3AB88AB69}">
  <dimension ref="A1:Q47"/>
  <sheetViews>
    <sheetView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5.81640625" style="34" customWidth="1"/>
    <col min="3" max="3" width="13.81640625" style="34" hidden="1" customWidth="1"/>
    <col min="4" max="6" width="12.54296875" style="35" hidden="1" customWidth="1"/>
    <col min="7" max="7" width="13.7265625" style="35" customWidth="1"/>
    <col min="8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61" t="s">
        <v>30</v>
      </c>
      <c r="B2" s="61"/>
      <c r="C2" s="40"/>
      <c r="D2" s="40"/>
      <c r="E2" s="40"/>
      <c r="F2" s="40"/>
      <c r="G2" s="47">
        <v>473</v>
      </c>
      <c r="H2" s="41" t="s">
        <v>31</v>
      </c>
      <c r="I2" s="42"/>
      <c r="J2" s="6"/>
      <c r="K2" s="6"/>
      <c r="L2" s="6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9"/>
      <c r="K3" s="9"/>
      <c r="L3" s="9"/>
      <c r="M3" s="9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1983</v>
      </c>
      <c r="B5" s="50">
        <v>2242827.64</v>
      </c>
      <c r="C5" s="51">
        <v>1407693.52</v>
      </c>
      <c r="D5" s="50">
        <f t="shared" ref="D5:D44" si="0">C5/B5*100</f>
        <v>62.764230959807499</v>
      </c>
      <c r="E5" s="50">
        <v>906</v>
      </c>
      <c r="F5" s="50">
        <f t="shared" ref="F5:F42" si="1">E5/B5*100</f>
        <v>4.0395435825822085E-2</v>
      </c>
      <c r="G5" s="50">
        <f>(E5-C5)</f>
        <v>-1406787.52</v>
      </c>
      <c r="H5" s="18">
        <f t="shared" ref="H5:H44" si="2">G5/B5*100</f>
        <v>-62.723835523981677</v>
      </c>
      <c r="I5" s="18"/>
      <c r="J5" s="18"/>
      <c r="K5" s="18"/>
      <c r="L5" s="18"/>
      <c r="M5" s="18">
        <f>IF(SUM(G$5:G5)&lt;&gt;0,SUM(G$5:G5)/COUNTIF(G$5:G5,"&lt;&gt;0")," ")</f>
        <v>-1406787.52</v>
      </c>
      <c r="N5" s="18">
        <f>IF(SUM(G$5:G5)=0,0,M5*COUNTIF(G$5:G5,"&lt;&gt;0")/(SUM(B$5:B5))*100)</f>
        <v>-62.723835523981677</v>
      </c>
      <c r="O5" s="19"/>
      <c r="Q5" s="21"/>
    </row>
    <row r="6" spans="1:17" s="20" customFormat="1" ht="13.5" x14ac:dyDescent="0.25">
      <c r="A6" s="49">
        <v>1984</v>
      </c>
      <c r="B6" s="50">
        <v>1801799.74</v>
      </c>
      <c r="C6" s="51">
        <v>1376147.71</v>
      </c>
      <c r="D6" s="50">
        <f t="shared" si="0"/>
        <v>76.37628530238328</v>
      </c>
      <c r="E6" s="50">
        <v>2074</v>
      </c>
      <c r="F6" s="50">
        <f t="shared" si="1"/>
        <v>0.11510713171709083</v>
      </c>
      <c r="G6" s="50">
        <f t="shared" ref="G6:G31" si="3">(E6-C6)</f>
        <v>-1374073.71</v>
      </c>
      <c r="H6" s="18">
        <f t="shared" si="2"/>
        <v>-76.26117817066617</v>
      </c>
      <c r="I6" s="18"/>
      <c r="J6" s="18"/>
      <c r="K6" s="18"/>
      <c r="L6" s="18"/>
      <c r="M6" s="18">
        <f>IF(SUM(G$5:G6)&lt;&gt;0,SUM(G$5:G6)/COUNTIF(G$5:G6,"&lt;&gt;0")," ")</f>
        <v>-1390430.615</v>
      </c>
      <c r="N6" s="18">
        <f>IF(SUM(G$5:G6)=0,0,M6*COUNTIF(G$5:G6,"&lt;&gt;0")/(SUM(B$5:B6))*100)</f>
        <v>-68.754448030265763</v>
      </c>
      <c r="O6" s="19"/>
      <c r="Q6" s="21"/>
    </row>
    <row r="7" spans="1:17" s="20" customFormat="1" ht="13.5" x14ac:dyDescent="0.25">
      <c r="A7" s="49">
        <v>1985</v>
      </c>
      <c r="B7" s="50">
        <v>2077976.37</v>
      </c>
      <c r="C7" s="51">
        <v>1634306.73</v>
      </c>
      <c r="D7" s="50">
        <f t="shared" si="0"/>
        <v>78.648956436400667</v>
      </c>
      <c r="E7" s="50"/>
      <c r="F7" s="50">
        <f t="shared" si="1"/>
        <v>0</v>
      </c>
      <c r="G7" s="50">
        <f t="shared" si="3"/>
        <v>-1634306.73</v>
      </c>
      <c r="H7" s="18">
        <f t="shared" si="2"/>
        <v>-78.648956436400667</v>
      </c>
      <c r="I7" s="18">
        <f>SUM(G5:G7)/3</f>
        <v>-1471722.6533333333</v>
      </c>
      <c r="J7" s="18">
        <f>IF(SUM(B5:B7)=0,0,I7/(SUM(B5:B7)/3)*100)</f>
        <v>-72.112587067226102</v>
      </c>
      <c r="K7" s="18"/>
      <c r="L7" s="18"/>
      <c r="M7" s="18">
        <f>IF(SUM(G$5:G7)&lt;&gt;0,SUM(G$5:G7)/COUNTIF(G$5:G7,"&lt;&gt;0")," ")</f>
        <v>-1471722.6533333333</v>
      </c>
      <c r="N7" s="18">
        <f>IF(SUM(G$5:G7)=0,0,M7*COUNTIF(G$5:G7,"&lt;&gt;0")/(SUM(B$5:B7))*100)</f>
        <v>-72.112587067226102</v>
      </c>
      <c r="O7" s="19"/>
      <c r="Q7" s="21"/>
    </row>
    <row r="8" spans="1:17" s="20" customFormat="1" ht="13.5" x14ac:dyDescent="0.25">
      <c r="A8" s="49">
        <v>1986</v>
      </c>
      <c r="B8" s="50">
        <v>1018346</v>
      </c>
      <c r="C8" s="51"/>
      <c r="D8" s="50">
        <f t="shared" si="0"/>
        <v>0</v>
      </c>
      <c r="E8" s="50"/>
      <c r="F8" s="50">
        <f t="shared" si="1"/>
        <v>0</v>
      </c>
      <c r="G8" s="50">
        <f t="shared" si="3"/>
        <v>0</v>
      </c>
      <c r="H8" s="18">
        <f t="shared" si="2"/>
        <v>0</v>
      </c>
      <c r="I8" s="18">
        <f t="shared" ref="I8:I42" si="4">SUM(G6:G8)/3</f>
        <v>-1002793.48</v>
      </c>
      <c r="J8" s="18">
        <f t="shared" ref="J8:J42" si="5">IF(SUM(B6:B8)=0,0,I8/(SUM(B6:B8)/3)*100)</f>
        <v>-61.419057598790651</v>
      </c>
      <c r="K8" s="18"/>
      <c r="L8" s="18"/>
      <c r="M8" s="18">
        <f>IF(SUM(G$5:G8)&lt;&gt;0,SUM(G$5:G8)/COUNTIF(G$5:G8,"&lt;&gt;0")," ")</f>
        <v>-1471722.6533333333</v>
      </c>
      <c r="N8" s="18">
        <f>IF(SUM(G$5:G8)=0,0,M8*COUNTIF(G$5:G8,"&lt;&gt;0")/(SUM(B$5:B8))*100)</f>
        <v>-61.828861910140176</v>
      </c>
      <c r="O8" s="19"/>
      <c r="Q8" s="21"/>
    </row>
    <row r="9" spans="1:17" s="20" customFormat="1" ht="13.5" x14ac:dyDescent="0.25">
      <c r="A9" s="49">
        <v>1987</v>
      </c>
      <c r="B9" s="50">
        <v>2000491.81</v>
      </c>
      <c r="C9" s="51">
        <v>2155908.33</v>
      </c>
      <c r="D9" s="50">
        <f t="shared" si="0"/>
        <v>107.76891558481312</v>
      </c>
      <c r="E9" s="50">
        <v>1105</v>
      </c>
      <c r="F9" s="50">
        <f t="shared" si="1"/>
        <v>5.5236417088855759E-2</v>
      </c>
      <c r="G9" s="50">
        <f t="shared" si="3"/>
        <v>-2154803.33</v>
      </c>
      <c r="H9" s="18">
        <f t="shared" si="2"/>
        <v>-107.71367916772425</v>
      </c>
      <c r="I9" s="18">
        <f t="shared" si="4"/>
        <v>-1263036.6866666668</v>
      </c>
      <c r="J9" s="18">
        <f t="shared" si="5"/>
        <v>-74.342715394030719</v>
      </c>
      <c r="K9" s="18">
        <f>SUM(G5:G9)/5</f>
        <v>-1313994.2579999999</v>
      </c>
      <c r="L9" s="18">
        <f>IF(SUM(B5:B9)=0,0,K9/(SUM(B5:B9)/5)*100)</f>
        <v>-71.870188600757174</v>
      </c>
      <c r="M9" s="18">
        <f>IF(SUM(G$5:G9)&lt;&gt;0,SUM(G$5:G9)/COUNTIF(G$5:G9,"&lt;&gt;0")," ")</f>
        <v>-1642492.8225</v>
      </c>
      <c r="N9" s="18">
        <f>IF(SUM(G$5:G9)=0,0,M9*COUNTIF(G$5:G9,"&lt;&gt;0")/(SUM(B$5:B9))*100)</f>
        <v>-71.870188600757174</v>
      </c>
      <c r="O9" s="19"/>
      <c r="Q9" s="21"/>
    </row>
    <row r="10" spans="1:17" s="20" customFormat="1" ht="13.5" x14ac:dyDescent="0.25">
      <c r="A10" s="49">
        <v>1988</v>
      </c>
      <c r="B10" s="50">
        <v>2721742.04</v>
      </c>
      <c r="C10" s="51">
        <v>2704092.24</v>
      </c>
      <c r="D10" s="50">
        <f t="shared" si="0"/>
        <v>99.351525613353147</v>
      </c>
      <c r="E10" s="50">
        <v>647.5</v>
      </c>
      <c r="F10" s="50">
        <f t="shared" si="1"/>
        <v>2.3789910670593897E-2</v>
      </c>
      <c r="G10" s="50">
        <f t="shared" si="3"/>
        <v>-2703444.74</v>
      </c>
      <c r="H10" s="18">
        <f t="shared" si="2"/>
        <v>-99.327735702682546</v>
      </c>
      <c r="I10" s="18">
        <f t="shared" si="4"/>
        <v>-1619416.0233333334</v>
      </c>
      <c r="J10" s="18">
        <f t="shared" si="5"/>
        <v>-84.629918874832839</v>
      </c>
      <c r="K10" s="18">
        <f t="shared" ref="K10:K42" si="6">SUM(G6:G10)/5</f>
        <v>-1573325.702</v>
      </c>
      <c r="L10" s="18">
        <f t="shared" ref="L10:L42" si="7">IF(SUM(B6:B10)=0,0,K10/(SUM(B6:B10)/5)*100)</f>
        <v>-81.770659450734072</v>
      </c>
      <c r="M10" s="18">
        <f>IF(SUM(G$5:G10)&lt;&gt;0,SUM(G$5:G10)/COUNTIF(G$5:G10,"&lt;&gt;0")," ")</f>
        <v>-1854683.2060000002</v>
      </c>
      <c r="N10" s="18">
        <f>IF(SUM(G$5:G10)=0,0,M10*COUNTIF(G$5:G10,"&lt;&gt;0")/(SUM(B$5:B10))*100)</f>
        <v>-78.169708424642437</v>
      </c>
      <c r="O10" s="19"/>
      <c r="Q10" s="21"/>
    </row>
    <row r="11" spans="1:17" s="20" customFormat="1" ht="13.5" x14ac:dyDescent="0.25">
      <c r="A11" s="49">
        <v>1989</v>
      </c>
      <c r="B11" s="50">
        <v>5229439.83</v>
      </c>
      <c r="C11" s="51">
        <v>3151263.64</v>
      </c>
      <c r="D11" s="50">
        <f t="shared" si="0"/>
        <v>60.260061162229682</v>
      </c>
      <c r="E11" s="50">
        <v>6048.5</v>
      </c>
      <c r="F11" s="50">
        <f t="shared" si="1"/>
        <v>0.11566248387257952</v>
      </c>
      <c r="G11" s="50">
        <f t="shared" si="3"/>
        <v>-3145215.14</v>
      </c>
      <c r="H11" s="18">
        <f t="shared" si="2"/>
        <v>-60.144398678357106</v>
      </c>
      <c r="I11" s="18">
        <f t="shared" si="4"/>
        <v>-2667821.0700000003</v>
      </c>
      <c r="J11" s="18">
        <f t="shared" si="5"/>
        <v>-80.423288256372985</v>
      </c>
      <c r="K11" s="18">
        <f t="shared" si="6"/>
        <v>-1927553.9880000004</v>
      </c>
      <c r="L11" s="18">
        <f t="shared" si="7"/>
        <v>-73.863985726758415</v>
      </c>
      <c r="M11" s="18">
        <f>IF(SUM(G$5:G11)&lt;&gt;0,SUM(G$5:G11)/COUNTIF(G$5:G11,"&lt;&gt;0")," ")</f>
        <v>-2069771.861666667</v>
      </c>
      <c r="N11" s="18">
        <f>IF(SUM(G$5:G11)=0,0,M11*COUNTIF(G$5:G11,"&lt;&gt;0")/(SUM(B$5:B11))*100)</f>
        <v>-72.654915852200475</v>
      </c>
      <c r="O11" s="19"/>
      <c r="Q11" s="21"/>
    </row>
    <row r="12" spans="1:17" s="20" customFormat="1" ht="13.5" x14ac:dyDescent="0.25">
      <c r="A12" s="49">
        <v>1990</v>
      </c>
      <c r="B12" s="50">
        <v>7902879.8600000003</v>
      </c>
      <c r="C12" s="51">
        <v>3098642.37</v>
      </c>
      <c r="D12" s="50">
        <f t="shared" si="0"/>
        <v>39.20902790998521</v>
      </c>
      <c r="E12" s="50"/>
      <c r="F12" s="50">
        <f t="shared" si="1"/>
        <v>0</v>
      </c>
      <c r="G12" s="50">
        <f t="shared" si="3"/>
        <v>-3098642.37</v>
      </c>
      <c r="H12" s="18">
        <f t="shared" si="2"/>
        <v>-39.20902790998521</v>
      </c>
      <c r="I12" s="18">
        <f t="shared" si="4"/>
        <v>-2982434.0833333335</v>
      </c>
      <c r="J12" s="18">
        <f t="shared" si="5"/>
        <v>-56.435394300688145</v>
      </c>
      <c r="K12" s="18">
        <f t="shared" si="6"/>
        <v>-2220421.1160000004</v>
      </c>
      <c r="L12" s="18">
        <f t="shared" si="7"/>
        <v>-58.825648684611195</v>
      </c>
      <c r="M12" s="18">
        <f>IF(SUM(G$5:G12)&lt;&gt;0,SUM(G$5:G12)/COUNTIF(G$5:G12,"&lt;&gt;0")," ")</f>
        <v>-2216753.3628571434</v>
      </c>
      <c r="N12" s="18">
        <f>IF(SUM(G$5:G12)=0,0,M12*COUNTIF(G$5:G12,"&lt;&gt;0")/(SUM(B$5:B12))*100)</f>
        <v>-62.080260437116422</v>
      </c>
      <c r="O12" s="19"/>
      <c r="Q12" s="21"/>
    </row>
    <row r="13" spans="1:17" s="20" customFormat="1" ht="13.5" x14ac:dyDescent="0.25">
      <c r="A13" s="49">
        <v>1991</v>
      </c>
      <c r="B13" s="50">
        <v>14117494.15</v>
      </c>
      <c r="C13" s="51">
        <v>3066653.8</v>
      </c>
      <c r="D13" s="50">
        <f t="shared" si="0"/>
        <v>21.722366359188467</v>
      </c>
      <c r="E13" s="50"/>
      <c r="F13" s="50">
        <f t="shared" si="1"/>
        <v>0</v>
      </c>
      <c r="G13" s="50">
        <f t="shared" si="3"/>
        <v>-3066653.8</v>
      </c>
      <c r="H13" s="18">
        <f t="shared" si="2"/>
        <v>-21.722366359188467</v>
      </c>
      <c r="I13" s="18">
        <f t="shared" si="4"/>
        <v>-3103503.7699999996</v>
      </c>
      <c r="J13" s="18">
        <f t="shared" si="5"/>
        <v>-34.167247397239457</v>
      </c>
      <c r="K13" s="18">
        <f t="shared" si="6"/>
        <v>-2833751.8760000006</v>
      </c>
      <c r="L13" s="18">
        <f t="shared" si="7"/>
        <v>-44.316083590828661</v>
      </c>
      <c r="M13" s="18">
        <f>IF(SUM(G$5:G13)&lt;&gt;0,SUM(G$5:G13)/COUNTIF(G$5:G13,"&lt;&gt;0")," ")</f>
        <v>-2322990.9175000004</v>
      </c>
      <c r="N13" s="18">
        <f>IF(SUM(G$5:G13)=0,0,M13*COUNTIF(G$5:G13,"&lt;&gt;0")/(SUM(B$5:B13))*100)</f>
        <v>-47.513431739687206</v>
      </c>
      <c r="O13" s="19"/>
      <c r="Q13" s="21"/>
    </row>
    <row r="14" spans="1:17" s="20" customFormat="1" ht="13.5" x14ac:dyDescent="0.25">
      <c r="A14" s="49">
        <v>1992</v>
      </c>
      <c r="B14" s="50">
        <v>18304751.670000002</v>
      </c>
      <c r="C14" s="51">
        <v>3347652.91</v>
      </c>
      <c r="D14" s="50">
        <f t="shared" si="0"/>
        <v>18.288436633022073</v>
      </c>
      <c r="E14" s="50"/>
      <c r="F14" s="50">
        <f t="shared" si="1"/>
        <v>0</v>
      </c>
      <c r="G14" s="50">
        <f t="shared" si="3"/>
        <v>-3347652.91</v>
      </c>
      <c r="H14" s="18">
        <f t="shared" si="2"/>
        <v>-18.288436633022073</v>
      </c>
      <c r="I14" s="18">
        <f t="shared" si="4"/>
        <v>-3170983.0266666668</v>
      </c>
      <c r="J14" s="18">
        <f t="shared" si="5"/>
        <v>-23.590624752145843</v>
      </c>
      <c r="K14" s="18">
        <f t="shared" si="6"/>
        <v>-3072321.7920000004</v>
      </c>
      <c r="L14" s="18">
        <f t="shared" si="7"/>
        <v>-31.820182071899154</v>
      </c>
      <c r="M14" s="18">
        <f>IF(SUM(G$5:G14)&lt;&gt;0,SUM(G$5:G14)/COUNTIF(G$5:G14,"&lt;&gt;0")," ")</f>
        <v>-2436842.2500000005</v>
      </c>
      <c r="N14" s="18">
        <f>IF(SUM(G$5:G14)=0,0,M14*COUNTIF(G$5:G14,"&lt;&gt;0")/(SUM(B$5:B14))*100)</f>
        <v>-38.19651691323503</v>
      </c>
      <c r="O14" s="19"/>
      <c r="Q14" s="21"/>
    </row>
    <row r="15" spans="1:17" s="20" customFormat="1" ht="13.5" x14ac:dyDescent="0.25">
      <c r="A15" s="49">
        <v>1993</v>
      </c>
      <c r="B15" s="50">
        <v>8035462.2699999996</v>
      </c>
      <c r="C15" s="51">
        <v>3484559.34</v>
      </c>
      <c r="D15" s="50">
        <f t="shared" si="0"/>
        <v>43.364765123836492</v>
      </c>
      <c r="E15" s="50"/>
      <c r="F15" s="50">
        <f t="shared" si="1"/>
        <v>0</v>
      </c>
      <c r="G15" s="50">
        <f t="shared" si="3"/>
        <v>-3484559.34</v>
      </c>
      <c r="H15" s="18">
        <f t="shared" si="2"/>
        <v>-43.364765123836492</v>
      </c>
      <c r="I15" s="18">
        <f t="shared" si="4"/>
        <v>-3299622.0166666671</v>
      </c>
      <c r="J15" s="18">
        <f t="shared" si="5"/>
        <v>-24.467194305667356</v>
      </c>
      <c r="K15" s="18">
        <f t="shared" si="6"/>
        <v>-3228544.7119999998</v>
      </c>
      <c r="L15" s="18">
        <f t="shared" si="7"/>
        <v>-30.122625847983837</v>
      </c>
      <c r="M15" s="18">
        <f>IF(SUM(G$5:G15)&lt;&gt;0,SUM(G$5:G15)/COUNTIF(G$5:G15,"&lt;&gt;0")," ")</f>
        <v>-2541613.9590000003</v>
      </c>
      <c r="N15" s="18">
        <f>IF(SUM(G$5:G15)=0,0,M15*COUNTIF(G$5:G15,"&lt;&gt;0")/(SUM(B$5:B15))*100)</f>
        <v>-38.831004704172862</v>
      </c>
      <c r="O15" s="19"/>
      <c r="Q15" s="21"/>
    </row>
    <row r="16" spans="1:17" s="20" customFormat="1" ht="13.5" x14ac:dyDescent="0.25">
      <c r="A16" s="49">
        <v>1994</v>
      </c>
      <c r="B16" s="50">
        <v>11411372.449999999</v>
      </c>
      <c r="C16" s="51">
        <v>3978738.89</v>
      </c>
      <c r="D16" s="50">
        <f t="shared" si="0"/>
        <v>34.866436157729652</v>
      </c>
      <c r="E16" s="50"/>
      <c r="F16" s="50">
        <f t="shared" si="1"/>
        <v>0</v>
      </c>
      <c r="G16" s="50">
        <f t="shared" si="3"/>
        <v>-3978738.89</v>
      </c>
      <c r="H16" s="18">
        <f t="shared" si="2"/>
        <v>-34.866436157729652</v>
      </c>
      <c r="I16" s="18">
        <f t="shared" si="4"/>
        <v>-3603650.3800000004</v>
      </c>
      <c r="J16" s="18">
        <f t="shared" si="5"/>
        <v>-28.637077733145826</v>
      </c>
      <c r="K16" s="18">
        <f t="shared" si="6"/>
        <v>-3395249.4619999998</v>
      </c>
      <c r="L16" s="18">
        <f t="shared" si="7"/>
        <v>-28.401690686390801</v>
      </c>
      <c r="M16" s="18">
        <f>IF(SUM(G$5:G16)&lt;&gt;0,SUM(G$5:G16)/COUNTIF(G$5:G16,"&lt;&gt;0")," ")</f>
        <v>-2672261.6800000002</v>
      </c>
      <c r="N16" s="18">
        <f>IF(SUM(G$5:G16)=0,0,M16*COUNTIF(G$5:G16,"&lt;&gt;0")/(SUM(B$5:B16))*100)</f>
        <v>-38.242421952107513</v>
      </c>
      <c r="O16" s="19"/>
      <c r="Q16" s="21"/>
    </row>
    <row r="17" spans="1:17" s="20" customFormat="1" ht="13.5" x14ac:dyDescent="0.25">
      <c r="A17" s="49">
        <v>1995</v>
      </c>
      <c r="B17" s="50">
        <v>14180385.51</v>
      </c>
      <c r="C17" s="51">
        <v>5296012.38</v>
      </c>
      <c r="D17" s="50">
        <f t="shared" si="0"/>
        <v>37.347449942494549</v>
      </c>
      <c r="E17" s="50"/>
      <c r="F17" s="50">
        <f t="shared" si="1"/>
        <v>0</v>
      </c>
      <c r="G17" s="50">
        <f t="shared" si="3"/>
        <v>-5296012.38</v>
      </c>
      <c r="H17" s="18">
        <f t="shared" si="2"/>
        <v>-37.347449942494549</v>
      </c>
      <c r="I17" s="18">
        <f t="shared" si="4"/>
        <v>-4253103.5366666662</v>
      </c>
      <c r="J17" s="18">
        <f t="shared" si="5"/>
        <v>-37.943399789605508</v>
      </c>
      <c r="K17" s="18">
        <f t="shared" si="6"/>
        <v>-3834723.4640000002</v>
      </c>
      <c r="L17" s="18">
        <f t="shared" si="7"/>
        <v>-29.029178381980277</v>
      </c>
      <c r="M17" s="18">
        <f>IF(SUM(G$5:G17)&lt;&gt;0,SUM(G$5:G17)/COUNTIF(G$5:G17,"&lt;&gt;0")," ")</f>
        <v>-2890907.5716666672</v>
      </c>
      <c r="N17" s="18">
        <f>IF(SUM(G$5:G17)=0,0,M17*COUNTIF(G$5:G17,"&lt;&gt;0")/(SUM(B$5:B17))*100)</f>
        <v>-38.103028768618401</v>
      </c>
      <c r="O17" s="19"/>
      <c r="Q17" s="21"/>
    </row>
    <row r="18" spans="1:17" s="20" customFormat="1" ht="13.5" x14ac:dyDescent="0.25">
      <c r="A18" s="49">
        <v>1996</v>
      </c>
      <c r="B18" s="50">
        <v>23185409.989999998</v>
      </c>
      <c r="C18" s="51">
        <v>5379495.2300000004</v>
      </c>
      <c r="D18" s="50">
        <f t="shared" si="0"/>
        <v>23.202070751909101</v>
      </c>
      <c r="E18" s="50"/>
      <c r="F18" s="50">
        <f t="shared" si="1"/>
        <v>0</v>
      </c>
      <c r="G18" s="50">
        <f t="shared" si="3"/>
        <v>-5379495.2300000004</v>
      </c>
      <c r="H18" s="18">
        <f t="shared" si="2"/>
        <v>-23.202070751909101</v>
      </c>
      <c r="I18" s="18">
        <f t="shared" si="4"/>
        <v>-4884748.833333333</v>
      </c>
      <c r="J18" s="18">
        <f t="shared" si="5"/>
        <v>-30.043249979214913</v>
      </c>
      <c r="K18" s="18">
        <f t="shared" si="6"/>
        <v>-4297291.75</v>
      </c>
      <c r="L18" s="18">
        <f t="shared" si="7"/>
        <v>-28.603844023030817</v>
      </c>
      <c r="M18" s="18">
        <f>IF(SUM(G$5:G18)&lt;&gt;0,SUM(G$5:G18)/COUNTIF(G$5:G18,"&lt;&gt;0")," ")</f>
        <v>-3082337.3915384617</v>
      </c>
      <c r="N18" s="18">
        <f>IF(SUM(G$5:G18)=0,0,M18*COUNTIF(G$5:G18,"&lt;&gt;0")/(SUM(B$5:B18))*100)</f>
        <v>-35.07857220209408</v>
      </c>
      <c r="O18" s="19"/>
      <c r="Q18" s="21"/>
    </row>
    <row r="19" spans="1:17" s="20" customFormat="1" ht="13.5" x14ac:dyDescent="0.25">
      <c r="A19" s="49">
        <v>1997</v>
      </c>
      <c r="B19" s="50">
        <v>29126959.989999998</v>
      </c>
      <c r="C19" s="51">
        <v>4438531.8899999997</v>
      </c>
      <c r="D19" s="50">
        <f t="shared" si="0"/>
        <v>15.238568980504169</v>
      </c>
      <c r="E19" s="50">
        <v>500</v>
      </c>
      <c r="F19" s="50">
        <f t="shared" si="1"/>
        <v>1.7166226759389319E-3</v>
      </c>
      <c r="G19" s="50">
        <f t="shared" si="3"/>
        <v>-4438031.8899999997</v>
      </c>
      <c r="H19" s="18">
        <f t="shared" si="2"/>
        <v>-15.236852357828228</v>
      </c>
      <c r="I19" s="18">
        <f t="shared" si="4"/>
        <v>-5037846.5</v>
      </c>
      <c r="J19" s="18">
        <f t="shared" si="5"/>
        <v>-22.729603230645122</v>
      </c>
      <c r="K19" s="18">
        <f t="shared" si="6"/>
        <v>-4515367.5460000001</v>
      </c>
      <c r="L19" s="18">
        <f t="shared" si="7"/>
        <v>-26.270590393591313</v>
      </c>
      <c r="M19" s="18">
        <f>IF(SUM(G$5:G19)&lt;&gt;0,SUM(G$5:G19)/COUNTIF(G$5:G19,"&lt;&gt;0")," ")</f>
        <v>-3179172.712857143</v>
      </c>
      <c r="N19" s="18">
        <f>IF(SUM(G$5:G19)=0,0,M19*COUNTIF(G$5:G19,"&lt;&gt;0")/(SUM(B$5:B19))*100)</f>
        <v>-31.04718474207241</v>
      </c>
      <c r="O19" s="19"/>
      <c r="Q19" s="21"/>
    </row>
    <row r="20" spans="1:17" s="20" customFormat="1" ht="13.5" x14ac:dyDescent="0.25">
      <c r="A20" s="49">
        <v>1998</v>
      </c>
      <c r="B20" s="50">
        <v>18167681.539999999</v>
      </c>
      <c r="C20" s="51">
        <v>4202204.63</v>
      </c>
      <c r="D20" s="50">
        <f t="shared" si="0"/>
        <v>23.130109479010606</v>
      </c>
      <c r="E20" s="50"/>
      <c r="F20" s="50">
        <f t="shared" si="1"/>
        <v>0</v>
      </c>
      <c r="G20" s="50">
        <f t="shared" si="3"/>
        <v>-4202204.63</v>
      </c>
      <c r="H20" s="18">
        <f t="shared" si="2"/>
        <v>-23.130109479010606</v>
      </c>
      <c r="I20" s="18">
        <f t="shared" si="4"/>
        <v>-4673243.916666667</v>
      </c>
      <c r="J20" s="18">
        <f t="shared" si="5"/>
        <v>-19.891772845855041</v>
      </c>
      <c r="K20" s="18">
        <f t="shared" si="6"/>
        <v>-4658896.6040000003</v>
      </c>
      <c r="L20" s="18">
        <f t="shared" si="7"/>
        <v>-24.246949387217896</v>
      </c>
      <c r="M20" s="18">
        <f>IF(SUM(G$5:G20)&lt;&gt;0,SUM(G$5:G20)/COUNTIF(G$5:G20,"&lt;&gt;0")," ")</f>
        <v>-3247374.8406666671</v>
      </c>
      <c r="N20" s="18">
        <f>IF(SUM(G$5:G20)=0,0,M20*COUNTIF(G$5:G20,"&lt;&gt;0")/(SUM(B$5:B20))*100)</f>
        <v>-30.156704113488026</v>
      </c>
      <c r="O20" s="19"/>
      <c r="Q20" s="21"/>
    </row>
    <row r="21" spans="1:17" s="20" customFormat="1" ht="13.5" x14ac:dyDescent="0.25">
      <c r="A21" s="49">
        <v>1999</v>
      </c>
      <c r="B21" s="50">
        <v>27499759.989999998</v>
      </c>
      <c r="C21" s="51">
        <v>4653181.6900000004</v>
      </c>
      <c r="D21" s="50">
        <f t="shared" si="0"/>
        <v>16.920808369571521</v>
      </c>
      <c r="E21" s="50"/>
      <c r="F21" s="50">
        <f t="shared" si="1"/>
        <v>0</v>
      </c>
      <c r="G21" s="50">
        <f t="shared" si="3"/>
        <v>-4653181.6900000004</v>
      </c>
      <c r="H21" s="18">
        <f t="shared" si="2"/>
        <v>-16.920808369571521</v>
      </c>
      <c r="I21" s="18">
        <f t="shared" si="4"/>
        <v>-4431139.4033333333</v>
      </c>
      <c r="J21" s="18">
        <f t="shared" si="5"/>
        <v>-17.773279737314756</v>
      </c>
      <c r="K21" s="18">
        <f t="shared" si="6"/>
        <v>-4793785.1639999999</v>
      </c>
      <c r="L21" s="18">
        <f t="shared" si="7"/>
        <v>-21.37026008943792</v>
      </c>
      <c r="M21" s="18">
        <f>IF(SUM(G$5:G21)&lt;&gt;0,SUM(G$5:G21)/COUNTIF(G$5:G21,"&lt;&gt;0")," ")</f>
        <v>-3335237.7687500003</v>
      </c>
      <c r="N21" s="18">
        <f>IF(SUM(G$5:G21)=0,0,M21*COUNTIF(G$5:G21,"&lt;&gt;0")/(SUM(B$5:B21))*100)</f>
        <v>-28.231115550054085</v>
      </c>
      <c r="O21" s="19"/>
      <c r="Q21" s="21"/>
    </row>
    <row r="22" spans="1:17" s="20" customFormat="1" ht="13.5" x14ac:dyDescent="0.25">
      <c r="A22" s="49">
        <v>2000</v>
      </c>
      <c r="B22" s="50">
        <v>24964142.989999998</v>
      </c>
      <c r="C22" s="51">
        <v>4641399.42</v>
      </c>
      <c r="D22" s="50">
        <f t="shared" si="0"/>
        <v>18.592264200133872</v>
      </c>
      <c r="E22" s="50"/>
      <c r="F22" s="50">
        <f t="shared" si="1"/>
        <v>0</v>
      </c>
      <c r="G22" s="50">
        <f t="shared" si="3"/>
        <v>-4641399.42</v>
      </c>
      <c r="H22" s="18">
        <f t="shared" si="2"/>
        <v>-18.592264200133872</v>
      </c>
      <c r="I22" s="18">
        <f t="shared" si="4"/>
        <v>-4498928.58</v>
      </c>
      <c r="J22" s="18">
        <f t="shared" si="5"/>
        <v>-19.108711537086158</v>
      </c>
      <c r="K22" s="18">
        <f t="shared" si="6"/>
        <v>-4662862.5719999997</v>
      </c>
      <c r="L22" s="18">
        <f t="shared" si="7"/>
        <v>-18.963366645246474</v>
      </c>
      <c r="M22" s="18">
        <f>IF(SUM(G$5:G22)&lt;&gt;0,SUM(G$5:G22)/COUNTIF(G$5:G22,"&lt;&gt;0")," ")</f>
        <v>-3412070.8070588238</v>
      </c>
      <c r="N22" s="18">
        <f>IF(SUM(G$5:G22)=0,0,M22*COUNTIF(G$5:G22,"&lt;&gt;0")/(SUM(B$5:B22))*100)</f>
        <v>-27.10663836197925</v>
      </c>
      <c r="O22" s="19"/>
      <c r="Q22" s="21"/>
    </row>
    <row r="23" spans="1:17" s="20" customFormat="1" ht="13.5" x14ac:dyDescent="0.25">
      <c r="A23" s="49">
        <v>2001</v>
      </c>
      <c r="B23" s="50">
        <v>42141723.990000002</v>
      </c>
      <c r="C23" s="51">
        <v>5628621.5700000003</v>
      </c>
      <c r="D23" s="50">
        <f t="shared" si="0"/>
        <v>13.356410315191757</v>
      </c>
      <c r="E23" s="50"/>
      <c r="F23" s="50">
        <f t="shared" si="1"/>
        <v>0</v>
      </c>
      <c r="G23" s="50">
        <f t="shared" si="3"/>
        <v>-5628621.5700000003</v>
      </c>
      <c r="H23" s="18">
        <f t="shared" si="2"/>
        <v>-13.356410315191757</v>
      </c>
      <c r="I23" s="18">
        <f t="shared" si="4"/>
        <v>-4974400.8933333335</v>
      </c>
      <c r="J23" s="18">
        <f t="shared" si="5"/>
        <v>-15.774117415586957</v>
      </c>
      <c r="K23" s="18">
        <f t="shared" si="6"/>
        <v>-4712687.8400000008</v>
      </c>
      <c r="L23" s="18">
        <f t="shared" si="7"/>
        <v>-16.605633977359251</v>
      </c>
      <c r="M23" s="18">
        <f>IF(SUM(G$5:G23)&lt;&gt;0,SUM(G$5:G23)/COUNTIF(G$5:G23,"&lt;&gt;0")," ")</f>
        <v>-3535212.5161111113</v>
      </c>
      <c r="N23" s="18">
        <f>IF(SUM(G$5:G23)=0,0,M23*COUNTIF(G$5:G23,"&lt;&gt;0")/(SUM(B$5:B23))*100)</f>
        <v>-24.844283895395165</v>
      </c>
      <c r="O23" s="19"/>
      <c r="Q23" s="21"/>
    </row>
    <row r="24" spans="1:17" s="20" customFormat="1" ht="13.5" x14ac:dyDescent="0.25">
      <c r="A24" s="49">
        <v>2002</v>
      </c>
      <c r="B24" s="50">
        <v>22988608.989999998</v>
      </c>
      <c r="C24" s="51">
        <v>6202343.7000000002</v>
      </c>
      <c r="D24" s="50">
        <f t="shared" si="0"/>
        <v>26.980073925734299</v>
      </c>
      <c r="E24" s="50"/>
      <c r="F24" s="50">
        <f t="shared" si="1"/>
        <v>0</v>
      </c>
      <c r="G24" s="50">
        <f t="shared" si="3"/>
        <v>-6202343.7000000002</v>
      </c>
      <c r="H24" s="18">
        <f t="shared" si="2"/>
        <v>-26.980073925734299</v>
      </c>
      <c r="I24" s="18">
        <f t="shared" si="4"/>
        <v>-5490788.2300000004</v>
      </c>
      <c r="J24" s="18">
        <f t="shared" si="5"/>
        <v>-18.283434708566411</v>
      </c>
      <c r="K24" s="18">
        <f t="shared" si="6"/>
        <v>-5065550.2020000005</v>
      </c>
      <c r="L24" s="18">
        <f t="shared" si="7"/>
        <v>-18.656005657845839</v>
      </c>
      <c r="M24" s="18">
        <f>IF(SUM(G$5:G24)&lt;&gt;0,SUM(G$5:G24)/COUNTIF(G$5:G24,"&lt;&gt;0")," ")</f>
        <v>-3675587.8415789478</v>
      </c>
      <c r="N24" s="18">
        <f>IF(SUM(G$5:G24)=0,0,M24*COUNTIF(G$5:G24,"&lt;&gt;0")/(SUM(B$5:B24))*100)</f>
        <v>-25.020190217486981</v>
      </c>
      <c r="O24" s="19"/>
      <c r="Q24" s="21"/>
    </row>
    <row r="25" spans="1:17" s="20" customFormat="1" ht="13.5" x14ac:dyDescent="0.25">
      <c r="A25" s="49">
        <v>2003</v>
      </c>
      <c r="B25" s="50">
        <v>13120974.189999999</v>
      </c>
      <c r="C25" s="51">
        <v>4757942.0999999996</v>
      </c>
      <c r="D25" s="50">
        <f t="shared" si="0"/>
        <v>36.262110046876025</v>
      </c>
      <c r="E25" s="50"/>
      <c r="F25" s="50">
        <f t="shared" si="1"/>
        <v>0</v>
      </c>
      <c r="G25" s="50">
        <f t="shared" si="3"/>
        <v>-4757942.0999999996</v>
      </c>
      <c r="H25" s="18">
        <f t="shared" si="2"/>
        <v>-36.262110046876025</v>
      </c>
      <c r="I25" s="18">
        <f t="shared" si="4"/>
        <v>-5529635.79</v>
      </c>
      <c r="J25" s="18">
        <f t="shared" si="5"/>
        <v>-21.199527483880622</v>
      </c>
      <c r="K25" s="18">
        <f t="shared" si="6"/>
        <v>-5176697.6959999995</v>
      </c>
      <c r="L25" s="18">
        <f t="shared" si="7"/>
        <v>-19.801435846905534</v>
      </c>
      <c r="M25" s="18">
        <f>IF(SUM(G$5:G25)&lt;&gt;0,SUM(G$5:G25)/COUNTIF(G$5:G25,"&lt;&gt;0")," ")</f>
        <v>-3729705.5545000001</v>
      </c>
      <c r="N25" s="18">
        <f>IF(SUM(G$5:G25)=0,0,M25*COUNTIF(G$5:G25,"&lt;&gt;0")/(SUM(B$5:B25))*100)</f>
        <v>-25.524928868348557</v>
      </c>
      <c r="O25" s="19"/>
      <c r="Q25" s="21"/>
    </row>
    <row r="26" spans="1:17" s="20" customFormat="1" ht="13.5" x14ac:dyDescent="0.25">
      <c r="A26" s="49">
        <v>2004</v>
      </c>
      <c r="B26" s="50">
        <v>25143230.539999999</v>
      </c>
      <c r="C26" s="51">
        <v>8429551.3699999992</v>
      </c>
      <c r="D26" s="50">
        <f t="shared" si="0"/>
        <v>33.526126869773357</v>
      </c>
      <c r="E26" s="50"/>
      <c r="F26" s="50">
        <f t="shared" si="1"/>
        <v>0</v>
      </c>
      <c r="G26" s="50">
        <f t="shared" si="3"/>
        <v>-8429551.3699999992</v>
      </c>
      <c r="H26" s="18">
        <f t="shared" si="2"/>
        <v>-33.526126869773357</v>
      </c>
      <c r="I26" s="18">
        <f t="shared" si="4"/>
        <v>-6463279.0566666676</v>
      </c>
      <c r="J26" s="18">
        <f t="shared" si="5"/>
        <v>-31.655422816387158</v>
      </c>
      <c r="K26" s="18">
        <f t="shared" si="6"/>
        <v>-5931971.6319999993</v>
      </c>
      <c r="L26" s="18">
        <f t="shared" si="7"/>
        <v>-23.107013875688736</v>
      </c>
      <c r="M26" s="18">
        <f>IF(SUM(G$5:G26)&lt;&gt;0,SUM(G$5:G26)/COUNTIF(G$5:G26,"&lt;&gt;0")," ")</f>
        <v>-3953507.7361904765</v>
      </c>
      <c r="N26" s="18">
        <f>IF(SUM(G$5:G26)=0,0,M26*COUNTIF(G$5:G26,"&lt;&gt;0")/(SUM(B$5:B26))*100)</f>
        <v>-26.158786615578144</v>
      </c>
      <c r="O26" s="19"/>
      <c r="Q26" s="21"/>
    </row>
    <row r="27" spans="1:17" s="20" customFormat="1" ht="13.5" x14ac:dyDescent="0.25">
      <c r="A27" s="49">
        <v>2005</v>
      </c>
      <c r="B27" s="50">
        <v>15772476.220000001</v>
      </c>
      <c r="C27" s="51">
        <v>4369245.53</v>
      </c>
      <c r="D27" s="50">
        <f t="shared" si="0"/>
        <v>27.701709414908855</v>
      </c>
      <c r="E27" s="50"/>
      <c r="F27" s="50">
        <f t="shared" si="1"/>
        <v>0</v>
      </c>
      <c r="G27" s="50">
        <f t="shared" si="3"/>
        <v>-4369245.53</v>
      </c>
      <c r="H27" s="18">
        <f t="shared" si="2"/>
        <v>-27.701709414908855</v>
      </c>
      <c r="I27" s="18">
        <f t="shared" si="4"/>
        <v>-5852246.333333333</v>
      </c>
      <c r="J27" s="18">
        <f t="shared" si="5"/>
        <v>-32.490409646449613</v>
      </c>
      <c r="K27" s="18">
        <f t="shared" si="6"/>
        <v>-5877540.8540000003</v>
      </c>
      <c r="L27" s="18">
        <f t="shared" si="7"/>
        <v>-24.66093871183401</v>
      </c>
      <c r="M27" s="18">
        <f>IF(SUM(G$5:G27)&lt;&gt;0,SUM(G$5:G27)/COUNTIF(G$5:G27,"&lt;&gt;0")," ")</f>
        <v>-3972404.9086363642</v>
      </c>
      <c r="N27" s="18">
        <f>IF(SUM(G$5:G27)=0,0,M27*COUNTIF(G$5:G27,"&lt;&gt;0")/(SUM(B$5:B27))*100)</f>
        <v>-26.231832629179557</v>
      </c>
      <c r="O27" s="19"/>
      <c r="Q27" s="21"/>
    </row>
    <row r="28" spans="1:17" s="20" customFormat="1" ht="13.5" x14ac:dyDescent="0.25">
      <c r="A28" s="49">
        <v>2006</v>
      </c>
      <c r="B28" s="50">
        <v>30787193.989999998</v>
      </c>
      <c r="C28" s="51">
        <v>11168196.220000001</v>
      </c>
      <c r="D28" s="50">
        <f t="shared" si="0"/>
        <v>36.275459931903988</v>
      </c>
      <c r="E28" s="50"/>
      <c r="F28" s="50">
        <f t="shared" si="1"/>
        <v>0</v>
      </c>
      <c r="G28" s="50">
        <f t="shared" si="3"/>
        <v>-11168196.220000001</v>
      </c>
      <c r="H28" s="18">
        <f t="shared" si="2"/>
        <v>-36.275459931903988</v>
      </c>
      <c r="I28" s="18">
        <f t="shared" si="4"/>
        <v>-7988997.7066666661</v>
      </c>
      <c r="J28" s="18">
        <f t="shared" si="5"/>
        <v>-33.425416362949576</v>
      </c>
      <c r="K28" s="18">
        <f t="shared" si="6"/>
        <v>-6985455.784</v>
      </c>
      <c r="L28" s="18">
        <f t="shared" si="7"/>
        <v>-32.396321508256342</v>
      </c>
      <c r="M28" s="18">
        <f>IF(SUM(G$5:G28)&lt;&gt;0,SUM(G$5:G28)/COUNTIF(G$5:G28,"&lt;&gt;0")," ")</f>
        <v>-4285265.4004347827</v>
      </c>
      <c r="N28" s="18">
        <f>IF(SUM(G$5:G28)=0,0,M28*COUNTIF(G$5:G28,"&lt;&gt;0")/(SUM(B$5:B28))*100)</f>
        <v>-27.08145740609703</v>
      </c>
      <c r="O28" s="19"/>
      <c r="Q28" s="21"/>
    </row>
    <row r="29" spans="1:17" s="20" customFormat="1" ht="13.5" x14ac:dyDescent="0.25">
      <c r="A29" s="49">
        <v>2007</v>
      </c>
      <c r="B29" s="50">
        <v>22145416.989999998</v>
      </c>
      <c r="C29" s="51">
        <v>8770615.1500000004</v>
      </c>
      <c r="D29" s="50">
        <f t="shared" si="0"/>
        <v>39.604651174373764</v>
      </c>
      <c r="E29" s="50"/>
      <c r="F29" s="50">
        <f t="shared" si="1"/>
        <v>0</v>
      </c>
      <c r="G29" s="50">
        <f t="shared" si="3"/>
        <v>-8770615.1500000004</v>
      </c>
      <c r="H29" s="18">
        <f t="shared" si="2"/>
        <v>-39.604651174373764</v>
      </c>
      <c r="I29" s="18">
        <f t="shared" si="4"/>
        <v>-8102685.6333333328</v>
      </c>
      <c r="J29" s="18">
        <f t="shared" si="5"/>
        <v>-35.380286803565831</v>
      </c>
      <c r="K29" s="18">
        <f t="shared" si="6"/>
        <v>-7499110.0739999991</v>
      </c>
      <c r="L29" s="18">
        <f t="shared" si="7"/>
        <v>-35.052630239468016</v>
      </c>
      <c r="M29" s="18">
        <f>IF(SUM(G$5:G29)&lt;&gt;0,SUM(G$5:G29)/COUNTIF(G$5:G29,"&lt;&gt;0")," ")</f>
        <v>-4472154.9733333336</v>
      </c>
      <c r="N29" s="18">
        <f>IF(SUM(G$5:G29)=0,0,M29*COUNTIF(G$5:G29,"&lt;&gt;0")/(SUM(B$5:B29))*100)</f>
        <v>-27.799767620018024</v>
      </c>
      <c r="O29" s="19"/>
      <c r="Q29" s="21"/>
    </row>
    <row r="30" spans="1:17" s="20" customFormat="1" ht="13.5" x14ac:dyDescent="0.25">
      <c r="A30" s="49">
        <v>2008</v>
      </c>
      <c r="B30" s="50">
        <v>38255672.990000002</v>
      </c>
      <c r="C30" s="51">
        <v>7727858.3899999997</v>
      </c>
      <c r="D30" s="50">
        <f t="shared" si="0"/>
        <v>20.200555332068149</v>
      </c>
      <c r="E30" s="50"/>
      <c r="F30" s="50">
        <f t="shared" si="1"/>
        <v>0</v>
      </c>
      <c r="G30" s="50">
        <f t="shared" si="3"/>
        <v>-7727858.3899999997</v>
      </c>
      <c r="H30" s="18">
        <f t="shared" si="2"/>
        <v>-20.200555332068149</v>
      </c>
      <c r="I30" s="18">
        <f t="shared" si="4"/>
        <v>-9222223.2533333339</v>
      </c>
      <c r="J30" s="18">
        <f t="shared" si="5"/>
        <v>-30.340158357516682</v>
      </c>
      <c r="K30" s="18">
        <f t="shared" si="6"/>
        <v>-8093093.3319999995</v>
      </c>
      <c r="L30" s="18">
        <f t="shared" si="7"/>
        <v>-30.63152478315747</v>
      </c>
      <c r="M30" s="18">
        <f>IF(SUM(G$5:G30)&lt;&gt;0,SUM(G$5:G30)/COUNTIF(G$5:G30,"&lt;&gt;0")," ")</f>
        <v>-4602383.1100000003</v>
      </c>
      <c r="N30" s="18">
        <f>IF(SUM(G$5:G30)=0,0,M30*COUNTIF(G$5:G30,"&lt;&gt;0")/(SUM(B$5:B30))*100)</f>
        <v>-27.114679982728308</v>
      </c>
      <c r="O30" s="19"/>
      <c r="Q30" s="21"/>
    </row>
    <row r="31" spans="1:17" s="20" customFormat="1" ht="13.5" x14ac:dyDescent="0.25">
      <c r="A31" s="49">
        <v>2009</v>
      </c>
      <c r="B31" s="50">
        <v>22078715.989999998</v>
      </c>
      <c r="C31" s="51">
        <v>6558026.0999999996</v>
      </c>
      <c r="D31" s="50">
        <f t="shared" si="0"/>
        <v>29.702932466590422</v>
      </c>
      <c r="E31" s="50"/>
      <c r="F31" s="50">
        <f t="shared" si="1"/>
        <v>0</v>
      </c>
      <c r="G31" s="50">
        <f t="shared" si="3"/>
        <v>-6558026.0999999996</v>
      </c>
      <c r="H31" s="18">
        <f t="shared" si="2"/>
        <v>-29.702932466590422</v>
      </c>
      <c r="I31" s="18">
        <f t="shared" si="4"/>
        <v>-7685499.8799999999</v>
      </c>
      <c r="J31" s="18">
        <f t="shared" si="5"/>
        <v>-27.954114790699474</v>
      </c>
      <c r="K31" s="18">
        <f t="shared" si="6"/>
        <v>-7718788.2779999999</v>
      </c>
      <c r="L31" s="18">
        <f t="shared" si="7"/>
        <v>-29.908631476591292</v>
      </c>
      <c r="M31" s="18">
        <f>IF(SUM(G$5:G31)&lt;&gt;0,SUM(G$5:G31)/COUNTIF(G$5:G31,"&lt;&gt;0")," ")</f>
        <v>-4677600.1480769236</v>
      </c>
      <c r="N31" s="18">
        <f>IF(SUM(G$5:G31)=0,0,M31*COUNTIF(G$5:G31,"&lt;&gt;0")/(SUM(B$5:B31))*100)</f>
        <v>-27.242687051075148</v>
      </c>
      <c r="O31" s="19"/>
      <c r="Q31" s="21"/>
    </row>
    <row r="32" spans="1:17" s="20" customFormat="1" ht="13.5" x14ac:dyDescent="0.25">
      <c r="A32" s="49">
        <v>2010</v>
      </c>
      <c r="B32" s="50">
        <f>39311395.91</f>
        <v>39311395.909999996</v>
      </c>
      <c r="C32" s="51">
        <v>12190996.17</v>
      </c>
      <c r="D32" s="50">
        <f t="shared" si="0"/>
        <v>31.011354055984729</v>
      </c>
      <c r="E32" s="50"/>
      <c r="F32" s="50">
        <f t="shared" si="1"/>
        <v>0</v>
      </c>
      <c r="G32" s="50">
        <f>(E32-C32)+-1379572+-814492</f>
        <v>-14385060.17</v>
      </c>
      <c r="H32" s="18">
        <f t="shared" si="2"/>
        <v>-36.59259570159589</v>
      </c>
      <c r="I32" s="18">
        <f t="shared" si="4"/>
        <v>-9556981.5533333328</v>
      </c>
      <c r="J32" s="18">
        <f t="shared" si="5"/>
        <v>-28.772862486506728</v>
      </c>
      <c r="K32" s="18">
        <f t="shared" si="6"/>
        <v>-9721951.2060000002</v>
      </c>
      <c r="L32" s="18">
        <f t="shared" si="7"/>
        <v>-31.858872124607029</v>
      </c>
      <c r="M32" s="18">
        <f>IF(SUM(G$5:G32)&lt;&gt;0,SUM(G$5:G32)/COUNTIF(G$5:G32,"&lt;&gt;0")," ")</f>
        <v>-5037135.7044444447</v>
      </c>
      <c r="N32" s="18">
        <f>IF(SUM(G$5:G32)=0,0,M32*COUNTIF(G$5:G32,"&lt;&gt;0")/(SUM(B$5:B32))*100)</f>
        <v>-27.999392795815375</v>
      </c>
      <c r="O32" s="19"/>
      <c r="Q32" s="21"/>
    </row>
    <row r="33" spans="1:17" s="20" customFormat="1" ht="13.5" x14ac:dyDescent="0.25">
      <c r="A33" s="49">
        <v>2011</v>
      </c>
      <c r="B33" s="50">
        <f>153795655.66</f>
        <v>153795655.66</v>
      </c>
      <c r="C33" s="51">
        <v>2684265.6999999997</v>
      </c>
      <c r="D33" s="50">
        <f t="shared" si="0"/>
        <v>1.7453455941136433</v>
      </c>
      <c r="E33" s="50"/>
      <c r="F33" s="50">
        <f t="shared" si="1"/>
        <v>0</v>
      </c>
      <c r="G33" s="50">
        <f>(E33-C33)+-1591204+-763491</f>
        <v>-5038960.6999999993</v>
      </c>
      <c r="H33" s="18">
        <f t="shared" si="2"/>
        <v>-3.276399894636659</v>
      </c>
      <c r="I33" s="18">
        <f t="shared" si="4"/>
        <v>-8660682.3233333323</v>
      </c>
      <c r="J33" s="18">
        <f t="shared" si="5"/>
        <v>-12.074240440997313</v>
      </c>
      <c r="K33" s="18">
        <f t="shared" si="6"/>
        <v>-8496104.1020000018</v>
      </c>
      <c r="L33" s="18">
        <f t="shared" si="7"/>
        <v>-15.414566895242524</v>
      </c>
      <c r="M33" s="18">
        <f>IF(SUM(G$5:G33)&lt;&gt;0,SUM(G$5:G33)/COUNTIF(G$5:G33,"&lt;&gt;0")," ")</f>
        <v>-5037200.8828571429</v>
      </c>
      <c r="N33" s="18">
        <f>IF(SUM(G$5:G33)=0,0,M33*COUNTIF(G$5:G33,"&lt;&gt;0")/(SUM(B$5:B33))*100)</f>
        <v>-22.053950100819765</v>
      </c>
      <c r="O33" s="19"/>
      <c r="Q33" s="21"/>
    </row>
    <row r="34" spans="1:17" s="20" customFormat="1" ht="13.5" x14ac:dyDescent="0.25">
      <c r="A34" s="49">
        <v>2012</v>
      </c>
      <c r="B34" s="50">
        <v>29038326.32</v>
      </c>
      <c r="C34" s="51">
        <v>16352828.99</v>
      </c>
      <c r="D34" s="50">
        <f t="shared" si="0"/>
        <v>56.314640209608335</v>
      </c>
      <c r="E34" s="50"/>
      <c r="F34" s="50">
        <f t="shared" si="1"/>
        <v>0</v>
      </c>
      <c r="G34" s="50">
        <f>(E34-C34)+-1468221+-863483</f>
        <v>-18684532.990000002</v>
      </c>
      <c r="H34" s="18">
        <f t="shared" si="2"/>
        <v>-64.344386739435194</v>
      </c>
      <c r="I34" s="18">
        <f t="shared" si="4"/>
        <v>-12702851.286666667</v>
      </c>
      <c r="J34" s="18">
        <f t="shared" si="5"/>
        <v>-17.154781351728264</v>
      </c>
      <c r="K34" s="18">
        <f t="shared" si="6"/>
        <v>-10478887.67</v>
      </c>
      <c r="L34" s="18">
        <f t="shared" si="7"/>
        <v>-18.548032282295264</v>
      </c>
      <c r="M34" s="18">
        <f>IF(SUM(G$5:G34)&lt;&gt;0,SUM(G$5:G34)/COUNTIF(G$5:G34,"&lt;&gt;0")," ")</f>
        <v>-5507798.541724138</v>
      </c>
      <c r="N34" s="18">
        <f>IF(SUM(G$5:G34)=0,0,M34*COUNTIF(G$5:G34,"&lt;&gt;0")/(SUM(B$5:B34))*100)</f>
        <v>-23.890775853156782</v>
      </c>
      <c r="O34" s="19"/>
      <c r="Q34" s="21"/>
    </row>
    <row r="35" spans="1:17" s="20" customFormat="1" ht="13.5" x14ac:dyDescent="0.25">
      <c r="A35" s="49">
        <v>2013</v>
      </c>
      <c r="B35" s="50">
        <v>9696697.0999999996</v>
      </c>
      <c r="C35" s="51">
        <v>23763080.050000001</v>
      </c>
      <c r="D35" s="50">
        <f t="shared" si="0"/>
        <v>245.06365213779856</v>
      </c>
      <c r="E35" s="50"/>
      <c r="F35" s="50">
        <f t="shared" si="1"/>
        <v>0</v>
      </c>
      <c r="G35" s="50">
        <f>(E35-C35)+-1156539+-906250</f>
        <v>-25825869.050000001</v>
      </c>
      <c r="H35" s="18">
        <f t="shared" si="2"/>
        <v>-266.33676172064821</v>
      </c>
      <c r="I35" s="18">
        <f t="shared" si="4"/>
        <v>-16516454.246666668</v>
      </c>
      <c r="J35" s="18">
        <f t="shared" si="5"/>
        <v>-25.735827129873336</v>
      </c>
      <c r="K35" s="18">
        <f t="shared" si="6"/>
        <v>-14098489.802000001</v>
      </c>
      <c r="L35" s="18">
        <f t="shared" si="7"/>
        <v>-27.761590036773448</v>
      </c>
      <c r="M35" s="18">
        <f>IF(SUM(G$5:G35)&lt;&gt;0,SUM(G$5:G35)/COUNTIF(G$5:G35,"&lt;&gt;0")," ")</f>
        <v>-6185067.558666667</v>
      </c>
      <c r="N35" s="18">
        <f>IF(SUM(G$5:G35)=0,0,M35*COUNTIF(G$5:G35,"&lt;&gt;0")/(SUM(B$5:B35))*100)</f>
        <v>-27.356862477085958</v>
      </c>
      <c r="O35" s="19"/>
      <c r="Q35" s="21"/>
    </row>
    <row r="36" spans="1:17" s="20" customFormat="1" ht="13.5" x14ac:dyDescent="0.25">
      <c r="A36" s="49">
        <v>2014</v>
      </c>
      <c r="B36" s="50">
        <v>-7345429.7899999795</v>
      </c>
      <c r="C36" s="51">
        <v>24520756.32</v>
      </c>
      <c r="D36" s="50">
        <f t="shared" si="0"/>
        <v>-333.82330266613394</v>
      </c>
      <c r="E36" s="50"/>
      <c r="F36" s="50">
        <f t="shared" si="1"/>
        <v>0</v>
      </c>
      <c r="G36" s="50">
        <f>(E36-C36)+-1608614+-1032662</f>
        <v>-27162032.32</v>
      </c>
      <c r="H36" s="18">
        <f t="shared" si="2"/>
        <v>369.7813891976507</v>
      </c>
      <c r="I36" s="18">
        <f t="shared" si="4"/>
        <v>-23890811.453333337</v>
      </c>
      <c r="J36" s="18">
        <f t="shared" si="5"/>
        <v>-228.33183253286978</v>
      </c>
      <c r="K36" s="18">
        <f t="shared" si="6"/>
        <v>-18219291.045999996</v>
      </c>
      <c r="L36" s="18">
        <f t="shared" si="7"/>
        <v>-40.578092001706217</v>
      </c>
      <c r="M36" s="18">
        <f>IF(SUM(G$5:G36)&lt;&gt;0,SUM(G$5:G36)/COUNTIF(G$5:G36,"&lt;&gt;0")," ")</f>
        <v>-6861743.8412903231</v>
      </c>
      <c r="N36" s="18">
        <f>IF(SUM(G$5:G36)=0,0,M36*COUNTIF(G$5:G36,"&lt;&gt;0")/(SUM(B$5:B36))*100)</f>
        <v>-31.704851742596006</v>
      </c>
      <c r="O36" s="19"/>
      <c r="Q36" s="21"/>
    </row>
    <row r="37" spans="1:17" s="20" customFormat="1" ht="13.5" x14ac:dyDescent="0.25">
      <c r="A37" s="49">
        <v>2015</v>
      </c>
      <c r="B37" s="50">
        <v>8880815.5899999291</v>
      </c>
      <c r="C37" s="51">
        <v>8588561.0400000159</v>
      </c>
      <c r="D37" s="50">
        <f t="shared" si="0"/>
        <v>96.70914740838667</v>
      </c>
      <c r="E37" s="50"/>
      <c r="F37" s="50">
        <f t="shared" si="1"/>
        <v>0</v>
      </c>
      <c r="G37" s="50">
        <f>(E37-C37)+-1770362+-977501</f>
        <v>-11336424.040000016</v>
      </c>
      <c r="H37" s="18">
        <f t="shared" si="2"/>
        <v>-127.65070871154197</v>
      </c>
      <c r="I37" s="18">
        <f t="shared" si="4"/>
        <v>-21441441.803333338</v>
      </c>
      <c r="J37" s="18">
        <f t="shared" si="5"/>
        <v>-572.68385554740075</v>
      </c>
      <c r="K37" s="18">
        <f t="shared" si="6"/>
        <v>-17609563.820000004</v>
      </c>
      <c r="L37" s="18">
        <f t="shared" si="7"/>
        <v>-45.370023427044842</v>
      </c>
      <c r="M37" s="18">
        <f>IF(SUM(G$5:G37)&lt;&gt;0,SUM(G$5:G37)/COUNTIF(G$5:G37,"&lt;&gt;0")," ")</f>
        <v>-7001577.5975000011</v>
      </c>
      <c r="N37" s="18">
        <f>IF(SUM(G$5:G37)=0,0,M37*COUNTIF(G$5:G37,"&lt;&gt;0")/(SUM(B$5:B37))*100)</f>
        <v>-32.95827475355744</v>
      </c>
      <c r="O37" s="19"/>
      <c r="P37" s="22"/>
      <c r="Q37" s="21"/>
    </row>
    <row r="38" spans="1:17" s="20" customFormat="1" ht="13.5" x14ac:dyDescent="0.25">
      <c r="A38" s="49">
        <v>2016</v>
      </c>
      <c r="B38" s="50">
        <f>8340380.82+815670+1940579</f>
        <v>11096629.82</v>
      </c>
      <c r="C38" s="51">
        <v>20455696.230000064</v>
      </c>
      <c r="D38" s="50">
        <f t="shared" si="0"/>
        <v>184.34152136112317</v>
      </c>
      <c r="E38" s="50"/>
      <c r="F38" s="50">
        <f t="shared" si="1"/>
        <v>0</v>
      </c>
      <c r="G38" s="50">
        <f>(E38-C38)+-1757907+-1176658</f>
        <v>-23390261.230000064</v>
      </c>
      <c r="H38" s="18">
        <f t="shared" si="2"/>
        <v>-210.78707327735353</v>
      </c>
      <c r="I38" s="18">
        <f t="shared" si="4"/>
        <v>-20629572.530000027</v>
      </c>
      <c r="J38" s="18">
        <f t="shared" si="5"/>
        <v>-489.93541056118744</v>
      </c>
      <c r="K38" s="18">
        <f t="shared" si="6"/>
        <v>-21279823.926000021</v>
      </c>
      <c r="L38" s="18">
        <f t="shared" si="7"/>
        <v>-207.135006452574</v>
      </c>
      <c r="M38" s="18">
        <f>IF(SUM(G$5:G38)&lt;&gt;0,SUM(G$5:G38)/COUNTIF(G$5:G38,"&lt;&gt;0")," ")</f>
        <v>-7498204.3742424268</v>
      </c>
      <c r="N38" s="18">
        <f>IF(SUM(G$5:G38)=0,0,M38*COUNTIF(G$5:G38,"&lt;&gt;0")/(SUM(B$5:B38))*100)</f>
        <v>-35.814417228645397</v>
      </c>
      <c r="O38" s="19"/>
      <c r="P38" s="22"/>
      <c r="Q38" s="21"/>
    </row>
    <row r="39" spans="1:17" s="20" customFormat="1" ht="13.5" x14ac:dyDescent="0.25">
      <c r="A39" s="49">
        <v>2017</v>
      </c>
      <c r="B39" s="50">
        <f>7608029.03+1013594+2601887</f>
        <v>11223510.030000001</v>
      </c>
      <c r="C39" s="51"/>
      <c r="D39" s="50">
        <f t="shared" si="0"/>
        <v>0</v>
      </c>
      <c r="E39" s="50"/>
      <c r="F39" s="50">
        <f t="shared" si="1"/>
        <v>0</v>
      </c>
      <c r="G39" s="50">
        <f>(E39-C39)+-1825691+-1648236</f>
        <v>-3473927</v>
      </c>
      <c r="H39" s="18">
        <f t="shared" si="2"/>
        <v>-30.952233220394774</v>
      </c>
      <c r="I39" s="18">
        <f t="shared" si="4"/>
        <v>-12733537.42333336</v>
      </c>
      <c r="J39" s="18">
        <f t="shared" si="5"/>
        <v>-122.43411053055935</v>
      </c>
      <c r="K39" s="18">
        <f t="shared" si="6"/>
        <v>-18237702.728000015</v>
      </c>
      <c r="L39" s="18">
        <f t="shared" si="7"/>
        <v>-271.78084241825735</v>
      </c>
      <c r="M39" s="18">
        <f>IF(SUM(G$5:G39)&lt;&gt;0,SUM(G$5:G39)/COUNTIF(G$5:G39,"&lt;&gt;0")," ")</f>
        <v>-7379843.2750000022</v>
      </c>
      <c r="N39" s="18">
        <f>IF(SUM(G$5:G39)=0,0,M39*COUNTIF(G$5:G39,"&lt;&gt;0")/(SUM(B$5:B39))*100)</f>
        <v>-35.736694433196355</v>
      </c>
      <c r="O39" s="19"/>
      <c r="P39" s="22"/>
      <c r="Q39" s="21"/>
    </row>
    <row r="40" spans="1:17" s="20" customFormat="1" ht="13.5" x14ac:dyDescent="0.25">
      <c r="A40" s="49">
        <v>2018</v>
      </c>
      <c r="B40" s="50">
        <f>8383824.14+1094435+2523015</f>
        <v>12001274.140000001</v>
      </c>
      <c r="C40" s="51"/>
      <c r="D40" s="50">
        <f t="shared" si="0"/>
        <v>0</v>
      </c>
      <c r="E40" s="50"/>
      <c r="F40" s="50">
        <f t="shared" si="1"/>
        <v>0</v>
      </c>
      <c r="G40" s="50">
        <f>(E40-C40)+-1947435+-1575511</f>
        <v>-3522946</v>
      </c>
      <c r="H40" s="18">
        <f t="shared" si="2"/>
        <v>-29.354766493151701</v>
      </c>
      <c r="I40" s="18">
        <f t="shared" si="4"/>
        <v>-10129044.743333355</v>
      </c>
      <c r="J40" s="18">
        <f t="shared" si="5"/>
        <v>-88.536953165314685</v>
      </c>
      <c r="K40" s="18">
        <f t="shared" si="6"/>
        <v>-13777118.118000016</v>
      </c>
      <c r="L40" s="18">
        <f t="shared" si="7"/>
        <v>-192.11304687935785</v>
      </c>
      <c r="M40" s="18">
        <f>IF(SUM(G$5:G40)&lt;&gt;0,SUM(G$5:G40)/COUNTIF(G$5:G40,"&lt;&gt;0")," ")</f>
        <v>-7269646.2100000028</v>
      </c>
      <c r="N40" s="18">
        <f>IF(SUM(G$5:G40)=0,0,M40*COUNTIF(G$5:G40,"&lt;&gt;0")/(SUM(B$5:B40))*100)</f>
        <v>-35.629442049347446</v>
      </c>
      <c r="O40" s="19"/>
      <c r="P40" s="22"/>
      <c r="Q40" s="21"/>
    </row>
    <row r="41" spans="1:17" s="20" customFormat="1" ht="13.5" x14ac:dyDescent="0.25">
      <c r="A41" s="49">
        <v>2019</v>
      </c>
      <c r="B41" s="50">
        <v>9879019.3900000006</v>
      </c>
      <c r="C41" s="51"/>
      <c r="D41" s="50">
        <f t="shared" si="0"/>
        <v>0</v>
      </c>
      <c r="E41" s="50"/>
      <c r="F41" s="50">
        <f t="shared" si="1"/>
        <v>0</v>
      </c>
      <c r="G41" s="50">
        <f>(E41-C41)+-1528902+-8788562</f>
        <v>-10317464</v>
      </c>
      <c r="H41" s="18">
        <f t="shared" si="2"/>
        <v>-104.43813897605882</v>
      </c>
      <c r="I41" s="18">
        <f t="shared" si="4"/>
        <v>-5771445.666666667</v>
      </c>
      <c r="J41" s="18">
        <f t="shared" si="5"/>
        <v>-52.303165008268913</v>
      </c>
      <c r="K41" s="18">
        <f t="shared" si="6"/>
        <v>-10408204.454000015</v>
      </c>
      <c r="L41" s="18">
        <f t="shared" si="7"/>
        <v>-98.040312313322232</v>
      </c>
      <c r="M41" s="18">
        <f>IF(SUM(G$5:G41)&lt;&gt;0,SUM(G$5:G41)/COUNTIF(G$5:G41,"&lt;&gt;0")," ")</f>
        <v>-7354307.8152777804</v>
      </c>
      <c r="N41" s="18">
        <f>IF(SUM(G$5:G41)=0,0,M41*COUNTIF(G$5:G41,"&lt;&gt;0")/(SUM(B$5:B41))*100)</f>
        <v>-36.568339383699545</v>
      </c>
      <c r="O41" s="19"/>
      <c r="P41" s="22"/>
      <c r="Q41" s="21"/>
    </row>
    <row r="42" spans="1:17" s="20" customFormat="1" ht="13.5" x14ac:dyDescent="0.25">
      <c r="A42" s="49">
        <v>2020</v>
      </c>
      <c r="B42" s="50">
        <f>8251371.86+20114+2580299</f>
        <v>10851784.859999999</v>
      </c>
      <c r="C42" s="51"/>
      <c r="D42" s="50">
        <f t="shared" si="0"/>
        <v>0</v>
      </c>
      <c r="E42" s="50"/>
      <c r="F42" s="50">
        <f t="shared" si="1"/>
        <v>0</v>
      </c>
      <c r="G42" s="50">
        <f>(E42-C42)+-20146+-7925902</f>
        <v>-7946048</v>
      </c>
      <c r="H42" s="18">
        <f t="shared" si="2"/>
        <v>-73.223419949001837</v>
      </c>
      <c r="I42" s="18">
        <f t="shared" si="4"/>
        <v>-7262152.666666667</v>
      </c>
      <c r="J42" s="18">
        <f t="shared" si="5"/>
        <v>-66.559959133716347</v>
      </c>
      <c r="K42" s="18">
        <f t="shared" si="6"/>
        <v>-9730129.2460000124</v>
      </c>
      <c r="L42" s="18">
        <f t="shared" si="7"/>
        <v>-88.371818221579559</v>
      </c>
      <c r="M42" s="18">
        <f>IF(SUM(G$5:G42)&lt;&gt;0,SUM(G$5:G42)/COUNTIF(G$5:G42,"&lt;&gt;0")," ")</f>
        <v>-7370300.7932432452</v>
      </c>
      <c r="N42" s="18">
        <f>IF(SUM(G$5:G42)=0,0,M42*COUNTIF(G$5:G42,"&lt;&gt;0")/(SUM(B$5:B42))*100)</f>
        <v>-37.109635746056433</v>
      </c>
      <c r="O42" s="19"/>
      <c r="P42" s="22"/>
      <c r="Q42" s="21"/>
    </row>
    <row r="43" spans="1:17" s="20" customFormat="1" ht="13.5" x14ac:dyDescent="0.25">
      <c r="A43" s="23"/>
      <c r="B43" s="24"/>
      <c r="C43" s="24"/>
      <c r="D43" s="25"/>
      <c r="E43" s="50"/>
      <c r="F43" s="18"/>
      <c r="G43" s="50"/>
      <c r="H43" s="25"/>
      <c r="I43" s="18"/>
      <c r="J43" s="18"/>
      <c r="K43" s="18"/>
      <c r="L43" s="18"/>
      <c r="M43" s="18"/>
      <c r="N43" s="18"/>
      <c r="O43" s="19"/>
    </row>
    <row r="44" spans="1:17" s="32" customFormat="1" ht="30" customHeight="1" x14ac:dyDescent="0.3">
      <c r="A44" s="26" t="s">
        <v>17</v>
      </c>
      <c r="B44" s="27">
        <f>SUM(B5:B43)</f>
        <v>734852616.76000011</v>
      </c>
      <c r="C44" s="27">
        <f>SUM(C5:C43)</f>
        <v>230185069.35000008</v>
      </c>
      <c r="D44" s="28">
        <f t="shared" si="0"/>
        <v>31.323977638522528</v>
      </c>
      <c r="E44" s="29">
        <f>SUM(E5:E43)</f>
        <v>11281</v>
      </c>
      <c r="F44" s="28">
        <f>E44/B44*100</f>
        <v>1.5351377599685857E-3</v>
      </c>
      <c r="G44" s="29">
        <f>SUM(G5:G43)</f>
        <v>-272701129.35000008</v>
      </c>
      <c r="H44" s="28">
        <f t="shared" si="2"/>
        <v>-37.109635746056433</v>
      </c>
      <c r="I44" s="30"/>
      <c r="J44" s="30"/>
      <c r="K44" s="30"/>
      <c r="L44" s="30"/>
      <c r="M44" s="30"/>
      <c r="N44" s="30"/>
      <c r="O44" s="31"/>
    </row>
    <row r="46" spans="1:17" x14ac:dyDescent="0.35">
      <c r="B46" s="38"/>
    </row>
    <row r="47" spans="1:17" x14ac:dyDescent="0.35">
      <c r="B47" s="38"/>
    </row>
  </sheetData>
  <mergeCells count="1">
    <mergeCell ref="A2:B2"/>
  </mergeCells>
  <conditionalFormatting sqref="A5:XFD42">
    <cfRule type="expression" dxfId="26" priority="2">
      <formula>MOD(ROW(),2)=0</formula>
    </cfRule>
  </conditionalFormatting>
  <conditionalFormatting sqref="A43:XFD44">
    <cfRule type="expression" dxfId="25" priority="1">
      <formula>MOD(ROW(),2)=0</formula>
    </cfRule>
  </conditionalFormatting>
  <pageMargins left="0.7" right="0.7" top="0.75" bottom="0.75" header="0.3" footer="0.3"/>
  <pageSetup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2A130-5272-43C5-BBBB-27C34A9527DA}">
  <dimension ref="A1:Q48"/>
  <sheetViews>
    <sheetView tabSelected="1" view="pageBreakPreview" zoomScale="60" zoomScaleNormal="100" workbookViewId="0">
      <selection activeCell="B5" sqref="B5"/>
    </sheetView>
  </sheetViews>
  <sheetFormatPr defaultColWidth="9" defaultRowHeight="16" x14ac:dyDescent="0.35"/>
  <cols>
    <col min="1" max="1" width="13.1796875" style="33" customWidth="1"/>
    <col min="2" max="2" width="25.81640625" style="34" customWidth="1"/>
    <col min="3" max="3" width="13.81640625" style="34" hidden="1" customWidth="1"/>
    <col min="4" max="6" width="12.54296875" style="35" hidden="1" customWidth="1"/>
    <col min="7" max="7" width="18" style="35" customWidth="1"/>
    <col min="8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32</v>
      </c>
      <c r="B2" s="40"/>
      <c r="C2" s="40"/>
      <c r="D2" s="40"/>
      <c r="E2" s="40"/>
      <c r="F2" s="40"/>
      <c r="G2" s="47"/>
      <c r="H2" s="41"/>
      <c r="I2" s="42"/>
      <c r="J2" s="42"/>
      <c r="K2" s="6"/>
      <c r="L2" s="6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45"/>
      <c r="K3" s="9"/>
      <c r="L3" s="9"/>
      <c r="M3" s="9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1983</v>
      </c>
      <c r="B5" s="50">
        <v>1121414</v>
      </c>
      <c r="C5" s="51">
        <v>1407693.52</v>
      </c>
      <c r="D5" s="50">
        <f t="shared" ref="D5:D45" si="0">C5/B5*100</f>
        <v>125.52844177083576</v>
      </c>
      <c r="E5" s="50">
        <v>906</v>
      </c>
      <c r="F5" s="50">
        <f t="shared" ref="F5:F42" si="1">E5/B5*100</f>
        <v>8.0790858683768882E-2</v>
      </c>
      <c r="G5" s="50">
        <f>(E5-C5)</f>
        <v>-1406787.52</v>
      </c>
      <c r="H5" s="18">
        <f t="shared" ref="H5:H45" si="2">G5/B5*100</f>
        <v>-125.44765091215197</v>
      </c>
      <c r="I5" s="18"/>
      <c r="J5" s="18"/>
      <c r="K5" s="18"/>
      <c r="L5" s="18"/>
      <c r="M5" s="18">
        <f>IF(SUM(G$5:G5)&lt;&gt;0,SUM(G$5:G5)/COUNTIF(G$5:G5,"&lt;&gt;0")," ")</f>
        <v>-1406787.52</v>
      </c>
      <c r="N5" s="18">
        <f>IF(SUM(G$5:G5)=0,0,M5*COUNTIF(G$5:G5,"&lt;&gt;0")/(SUM(B$5:B5))*100)</f>
        <v>-125.44765091215197</v>
      </c>
      <c r="O5" s="19"/>
      <c r="Q5" s="21"/>
    </row>
    <row r="6" spans="1:17" s="20" customFormat="1" ht="13.5" x14ac:dyDescent="0.25">
      <c r="A6" s="49">
        <v>1984</v>
      </c>
      <c r="B6" s="50">
        <v>900900</v>
      </c>
      <c r="C6" s="51">
        <v>1376147.71</v>
      </c>
      <c r="D6" s="50">
        <f t="shared" si="0"/>
        <v>152.75254856254855</v>
      </c>
      <c r="E6" s="50">
        <v>2074</v>
      </c>
      <c r="F6" s="50">
        <f t="shared" si="1"/>
        <v>0.23021423021423021</v>
      </c>
      <c r="G6" s="50">
        <f t="shared" ref="G6:G31" si="3">(E6-C6)</f>
        <v>-1374073.71</v>
      </c>
      <c r="H6" s="18">
        <f t="shared" si="2"/>
        <v>-152.52233433233434</v>
      </c>
      <c r="I6" s="18"/>
      <c r="J6" s="18"/>
      <c r="K6" s="18"/>
      <c r="L6" s="18"/>
      <c r="M6" s="18">
        <f>IF(SUM(G$5:G6)&lt;&gt;0,SUM(G$5:G6)/COUNTIF(G$5:G6,"&lt;&gt;0")," ")</f>
        <v>-1390430.615</v>
      </c>
      <c r="N6" s="18">
        <f>IF(SUM(G$5:G6)=0,0,M6*COUNTIF(G$5:G6,"&lt;&gt;0")/(SUM(B$5:B6))*100)</f>
        <v>-137.50887498182774</v>
      </c>
      <c r="O6" s="19"/>
      <c r="Q6" s="21"/>
    </row>
    <row r="7" spans="1:17" s="20" customFormat="1" ht="13.5" x14ac:dyDescent="0.25">
      <c r="A7" s="49">
        <v>1985</v>
      </c>
      <c r="B7" s="50">
        <v>1038988</v>
      </c>
      <c r="C7" s="51">
        <v>1634306.73</v>
      </c>
      <c r="D7" s="50">
        <f t="shared" si="0"/>
        <v>157.29794088093414</v>
      </c>
      <c r="E7" s="50"/>
      <c r="F7" s="50">
        <f t="shared" si="1"/>
        <v>0</v>
      </c>
      <c r="G7" s="50">
        <f t="shared" si="3"/>
        <v>-1634306.73</v>
      </c>
      <c r="H7" s="18">
        <f t="shared" si="2"/>
        <v>-157.29794088093414</v>
      </c>
      <c r="I7" s="18">
        <f>SUM(G5:G7)/3</f>
        <v>-1471722.6533333333</v>
      </c>
      <c r="J7" s="18">
        <f>IF(SUM(B5:B7)=0,0,I7/(SUM(B5:B7)/3)*100)</f>
        <v>-144.22516824540671</v>
      </c>
      <c r="K7" s="18"/>
      <c r="L7" s="18"/>
      <c r="M7" s="18">
        <f>IF(SUM(G$5:G7)&lt;&gt;0,SUM(G$5:G7)/COUNTIF(G$5:G7,"&lt;&gt;0")," ")</f>
        <v>-1471722.6533333333</v>
      </c>
      <c r="N7" s="18">
        <f>IF(SUM(G$5:G7)=0,0,M7*COUNTIF(G$5:G7,"&lt;&gt;0")/(SUM(B$5:B7))*100)</f>
        <v>-144.22516824540671</v>
      </c>
      <c r="O7" s="19"/>
      <c r="Q7" s="21"/>
    </row>
    <row r="8" spans="1:17" s="20" customFormat="1" ht="13.5" x14ac:dyDescent="0.25">
      <c r="A8" s="49">
        <v>1986</v>
      </c>
      <c r="B8" s="50">
        <v>1018346</v>
      </c>
      <c r="C8" s="51"/>
      <c r="D8" s="50">
        <f t="shared" si="0"/>
        <v>0</v>
      </c>
      <c r="E8" s="50"/>
      <c r="F8" s="50">
        <f t="shared" si="1"/>
        <v>0</v>
      </c>
      <c r="G8" s="50">
        <f t="shared" si="3"/>
        <v>0</v>
      </c>
      <c r="H8" s="18">
        <f t="shared" si="2"/>
        <v>0</v>
      </c>
      <c r="I8" s="18">
        <f t="shared" ref="I8:I43" si="4">SUM(G6:G8)/3</f>
        <v>-1002793.48</v>
      </c>
      <c r="J8" s="18">
        <f t="shared" ref="J8:J43" si="5">IF(SUM(B6:B8)=0,0,I8/(SUM(B6:B8)/3)*100)</f>
        <v>-101.69514784834466</v>
      </c>
      <c r="K8" s="18"/>
      <c r="L8" s="18"/>
      <c r="M8" s="18">
        <f>IF(SUM(G$5:G8)&lt;&gt;0,SUM(G$5:G8)/COUNTIF(G$5:G8,"&lt;&gt;0")," ")</f>
        <v>-1471722.6533333333</v>
      </c>
      <c r="N8" s="18">
        <f>IF(SUM(G$5:G8)=0,0,M8*COUNTIF(G$5:G8,"&lt;&gt;0")/(SUM(B$5:B8))*100)</f>
        <v>-108.22423797347223</v>
      </c>
      <c r="O8" s="19"/>
      <c r="Q8" s="21"/>
    </row>
    <row r="9" spans="1:17" s="20" customFormat="1" ht="13.5" x14ac:dyDescent="0.25">
      <c r="A9" s="49">
        <v>1987</v>
      </c>
      <c r="B9" s="50">
        <v>1000246</v>
      </c>
      <c r="C9" s="51">
        <v>2155908.33</v>
      </c>
      <c r="D9" s="50">
        <f t="shared" si="0"/>
        <v>215.53781069856814</v>
      </c>
      <c r="E9" s="50">
        <v>1105</v>
      </c>
      <c r="F9" s="50">
        <f t="shared" si="1"/>
        <v>0.11047282368537341</v>
      </c>
      <c r="G9" s="50">
        <f t="shared" si="3"/>
        <v>-2154803.33</v>
      </c>
      <c r="H9" s="18">
        <f t="shared" si="2"/>
        <v>-215.42733787488277</v>
      </c>
      <c r="I9" s="18">
        <f t="shared" si="4"/>
        <v>-1263036.6866666668</v>
      </c>
      <c r="J9" s="18">
        <f t="shared" si="5"/>
        <v>-123.92513229416728</v>
      </c>
      <c r="K9" s="18">
        <f>SUM(G5:G9)/5</f>
        <v>-1313994.2579999999</v>
      </c>
      <c r="L9" s="18">
        <f>IF(SUM(B5:B9)=0,0,K9/(SUM(B5:B9)/5)*100)</f>
        <v>-129.33284218135259</v>
      </c>
      <c r="M9" s="18">
        <f>IF(SUM(G$5:G9)&lt;&gt;0,SUM(G$5:G9)/COUNTIF(G$5:G9,"&lt;&gt;0")," ")</f>
        <v>-1642492.8225</v>
      </c>
      <c r="N9" s="18">
        <f>IF(SUM(G$5:G9)=0,0,M9*COUNTIF(G$5:G9,"&lt;&gt;0")/(SUM(B$5:B9))*100)</f>
        <v>-129.33284218135262</v>
      </c>
      <c r="O9" s="19"/>
      <c r="Q9" s="21"/>
    </row>
    <row r="10" spans="1:17" s="20" customFormat="1" ht="13.5" x14ac:dyDescent="0.25">
      <c r="A10" s="49">
        <v>1988</v>
      </c>
      <c r="B10" s="50">
        <v>1360871</v>
      </c>
      <c r="C10" s="51">
        <v>2704092.24</v>
      </c>
      <c r="D10" s="50">
        <f t="shared" si="0"/>
        <v>198.70305414693973</v>
      </c>
      <c r="E10" s="50">
        <v>647.5</v>
      </c>
      <c r="F10" s="50">
        <f t="shared" si="1"/>
        <v>4.7579822040443219E-2</v>
      </c>
      <c r="G10" s="50">
        <f t="shared" si="3"/>
        <v>-2703444.74</v>
      </c>
      <c r="H10" s="18">
        <f t="shared" si="2"/>
        <v>-198.6554743248993</v>
      </c>
      <c r="I10" s="18">
        <f t="shared" si="4"/>
        <v>-1619416.0233333334</v>
      </c>
      <c r="J10" s="18">
        <f t="shared" si="5"/>
        <v>-143.75798965693662</v>
      </c>
      <c r="K10" s="18">
        <f t="shared" ref="K10:K43" si="6">SUM(G6:G10)/5</f>
        <v>-1573325.702</v>
      </c>
      <c r="L10" s="18">
        <f t="shared" ref="L10:L43" si="7">IF(SUM(B6:B10)=0,0,K10/(SUM(B6:B10)/5)*100)</f>
        <v>-147.88699805671783</v>
      </c>
      <c r="M10" s="18">
        <f>IF(SUM(G$5:G10)&lt;&gt;0,SUM(G$5:G10)/COUNTIF(G$5:G10,"&lt;&gt;0")," ")</f>
        <v>-1854683.2060000002</v>
      </c>
      <c r="N10" s="18">
        <f>IF(SUM(G$5:G10)=0,0,M10*COUNTIF(G$5:G10,"&lt;&gt;0")/(SUM(B$5:B10))*100)</f>
        <v>-143.98004010393177</v>
      </c>
      <c r="O10" s="19"/>
      <c r="Q10" s="21"/>
    </row>
    <row r="11" spans="1:17" s="20" customFormat="1" ht="13.5" x14ac:dyDescent="0.25">
      <c r="A11" s="49">
        <v>1989</v>
      </c>
      <c r="B11" s="50">
        <v>2614720</v>
      </c>
      <c r="C11" s="51">
        <v>3151263.64</v>
      </c>
      <c r="D11" s="50">
        <f t="shared" si="0"/>
        <v>120.52011840655979</v>
      </c>
      <c r="E11" s="50">
        <v>6048.5</v>
      </c>
      <c r="F11" s="50">
        <f t="shared" si="1"/>
        <v>0.23132496022518662</v>
      </c>
      <c r="G11" s="50">
        <f t="shared" si="3"/>
        <v>-3145215.14</v>
      </c>
      <c r="H11" s="18">
        <f t="shared" si="2"/>
        <v>-120.28879344633461</v>
      </c>
      <c r="I11" s="18">
        <f t="shared" si="4"/>
        <v>-2667821.0700000003</v>
      </c>
      <c r="J11" s="18">
        <f t="shared" si="5"/>
        <v>-160.84657134066089</v>
      </c>
      <c r="K11" s="18">
        <f t="shared" si="6"/>
        <v>-1927553.9880000004</v>
      </c>
      <c r="L11" s="18">
        <f t="shared" si="7"/>
        <v>-137.03306716131317</v>
      </c>
      <c r="M11" s="18">
        <f>IF(SUM(G$5:G11)&lt;&gt;0,SUM(G$5:G11)/COUNTIF(G$5:G11,"&lt;&gt;0")," ")</f>
        <v>-2069771.861666667</v>
      </c>
      <c r="N11" s="18">
        <f>IF(SUM(G$5:G11)=0,0,M11*COUNTIF(G$5:G11,"&lt;&gt;0")/(SUM(B$5:B11))*100)</f>
        <v>-137.13932682788391</v>
      </c>
      <c r="O11" s="19"/>
      <c r="Q11" s="21"/>
    </row>
    <row r="12" spans="1:17" s="20" customFormat="1" ht="13.5" x14ac:dyDescent="0.25">
      <c r="A12" s="49">
        <v>1990</v>
      </c>
      <c r="B12" s="50">
        <v>3951440</v>
      </c>
      <c r="C12" s="51">
        <v>3098642.37</v>
      </c>
      <c r="D12" s="50">
        <f t="shared" si="0"/>
        <v>78.41805443078978</v>
      </c>
      <c r="E12" s="50"/>
      <c r="F12" s="50">
        <f t="shared" si="1"/>
        <v>0</v>
      </c>
      <c r="G12" s="50">
        <f t="shared" si="3"/>
        <v>-3098642.37</v>
      </c>
      <c r="H12" s="18">
        <f t="shared" si="2"/>
        <v>-78.41805443078978</v>
      </c>
      <c r="I12" s="18">
        <f t="shared" si="4"/>
        <v>-2982434.0833333335</v>
      </c>
      <c r="J12" s="18">
        <f t="shared" si="5"/>
        <v>-112.87078667914886</v>
      </c>
      <c r="K12" s="18">
        <f t="shared" si="6"/>
        <v>-2220421.1160000004</v>
      </c>
      <c r="L12" s="18">
        <f t="shared" si="7"/>
        <v>-111.62805567836224</v>
      </c>
      <c r="M12" s="18">
        <f>IF(SUM(G$5:G12)&lt;&gt;0,SUM(G$5:G12)/COUNTIF(G$5:G12,"&lt;&gt;0")," ")</f>
        <v>-2216753.3628571434</v>
      </c>
      <c r="N12" s="18">
        <f>IF(SUM(G$5:G12)=0,0,M12*COUNTIF(G$5:G12,"&lt;&gt;0")/(SUM(B$5:B12))*100)</f>
        <v>-119.30009237387009</v>
      </c>
      <c r="O12" s="19"/>
      <c r="Q12" s="21"/>
    </row>
    <row r="13" spans="1:17" s="20" customFormat="1" ht="13.5" x14ac:dyDescent="0.25">
      <c r="A13" s="49">
        <v>1991</v>
      </c>
      <c r="B13" s="50">
        <v>7058747</v>
      </c>
      <c r="C13" s="51">
        <v>3066653.8</v>
      </c>
      <c r="D13" s="50">
        <f t="shared" si="0"/>
        <v>43.444733179982222</v>
      </c>
      <c r="E13" s="50"/>
      <c r="F13" s="50">
        <f t="shared" si="1"/>
        <v>0</v>
      </c>
      <c r="G13" s="50">
        <f t="shared" si="3"/>
        <v>-3066653.8</v>
      </c>
      <c r="H13" s="18">
        <f t="shared" si="2"/>
        <v>-43.444733179982222</v>
      </c>
      <c r="I13" s="18">
        <f t="shared" si="4"/>
        <v>-3103503.7699999996</v>
      </c>
      <c r="J13" s="18">
        <f t="shared" si="5"/>
        <v>-68.334494393246118</v>
      </c>
      <c r="K13" s="18">
        <f t="shared" si="6"/>
        <v>-2833751.8760000006</v>
      </c>
      <c r="L13" s="18">
        <f t="shared" si="7"/>
        <v>-88.632166322282529</v>
      </c>
      <c r="M13" s="18">
        <f>IF(SUM(G$5:G13)&lt;&gt;0,SUM(G$5:G13)/COUNTIF(G$5:G13,"&lt;&gt;0")," ")</f>
        <v>-2322990.9175000004</v>
      </c>
      <c r="N13" s="18">
        <f>IF(SUM(G$5:G13)=0,0,M13*COUNTIF(G$5:G13,"&lt;&gt;0")/(SUM(B$5:B13))*100)</f>
        <v>-92.615524364197739</v>
      </c>
      <c r="O13" s="19"/>
      <c r="Q13" s="21"/>
    </row>
    <row r="14" spans="1:17" s="20" customFormat="1" ht="13.5" x14ac:dyDescent="0.25">
      <c r="A14" s="49">
        <v>1992</v>
      </c>
      <c r="B14" s="50">
        <v>9152376</v>
      </c>
      <c r="C14" s="51">
        <v>3347652.91</v>
      </c>
      <c r="D14" s="50">
        <f t="shared" si="0"/>
        <v>36.576872606632421</v>
      </c>
      <c r="E14" s="50"/>
      <c r="F14" s="50">
        <f t="shared" si="1"/>
        <v>0</v>
      </c>
      <c r="G14" s="50">
        <f t="shared" si="3"/>
        <v>-3347652.91</v>
      </c>
      <c r="H14" s="18">
        <f t="shared" si="2"/>
        <v>-36.576872606632421</v>
      </c>
      <c r="I14" s="18">
        <f t="shared" si="4"/>
        <v>-3170983.0266666668</v>
      </c>
      <c r="J14" s="18">
        <f t="shared" si="5"/>
        <v>-47.181249129884932</v>
      </c>
      <c r="K14" s="18">
        <f t="shared" si="6"/>
        <v>-3072321.7920000004</v>
      </c>
      <c r="L14" s="18">
        <f t="shared" si="7"/>
        <v>-63.640363550584702</v>
      </c>
      <c r="M14" s="18">
        <f>IF(SUM(G$5:G14)&lt;&gt;0,SUM(G$5:G14)/COUNTIF(G$5:G14,"&lt;&gt;0")," ")</f>
        <v>-2436842.2500000005</v>
      </c>
      <c r="N14" s="18">
        <f>IF(SUM(G$5:G14)=0,0,M14*COUNTIF(G$5:G14,"&lt;&gt;0")/(SUM(B$5:B14))*100)</f>
        <v>-75.061757205683293</v>
      </c>
      <c r="O14" s="19"/>
      <c r="Q14" s="21"/>
    </row>
    <row r="15" spans="1:17" s="20" customFormat="1" ht="13.5" x14ac:dyDescent="0.25">
      <c r="A15" s="49">
        <v>1993</v>
      </c>
      <c r="B15" s="50">
        <v>4017731</v>
      </c>
      <c r="C15" s="51">
        <v>3484559.34</v>
      </c>
      <c r="D15" s="50">
        <f t="shared" si="0"/>
        <v>86.729533161876688</v>
      </c>
      <c r="E15" s="50"/>
      <c r="F15" s="50">
        <f t="shared" si="1"/>
        <v>0</v>
      </c>
      <c r="G15" s="50">
        <f t="shared" si="3"/>
        <v>-3484559.34</v>
      </c>
      <c r="H15" s="18">
        <f t="shared" si="2"/>
        <v>-86.729533161876688</v>
      </c>
      <c r="I15" s="18">
        <f t="shared" si="4"/>
        <v>-3299622.0166666671</v>
      </c>
      <c r="J15" s="18">
        <f t="shared" si="5"/>
        <v>-48.934388720191471</v>
      </c>
      <c r="K15" s="18">
        <f t="shared" si="6"/>
        <v>-3228544.7119999998</v>
      </c>
      <c r="L15" s="18">
        <f t="shared" si="7"/>
        <v>-60.245251448646378</v>
      </c>
      <c r="M15" s="18">
        <f>IF(SUM(G$5:G15)&lt;&gt;0,SUM(G$5:G15)/COUNTIF(G$5:G15,"&lt;&gt;0")," ")</f>
        <v>-2541613.9590000003</v>
      </c>
      <c r="N15" s="18">
        <f>IF(SUM(G$5:G15)=0,0,M15*COUNTIF(G$5:G15,"&lt;&gt;0")/(SUM(B$5:B15))*100)</f>
        <v>-76.47222467690618</v>
      </c>
      <c r="O15" s="19"/>
      <c r="Q15" s="21"/>
    </row>
    <row r="16" spans="1:17" s="20" customFormat="1" ht="13.5" x14ac:dyDescent="0.25">
      <c r="A16" s="49">
        <v>1994</v>
      </c>
      <c r="B16" s="50">
        <v>5705686</v>
      </c>
      <c r="C16" s="51">
        <v>3978738.89</v>
      </c>
      <c r="D16" s="50">
        <f t="shared" si="0"/>
        <v>69.732875065329566</v>
      </c>
      <c r="E16" s="50"/>
      <c r="F16" s="50">
        <f t="shared" si="1"/>
        <v>0</v>
      </c>
      <c r="G16" s="50">
        <f t="shared" si="3"/>
        <v>-3978738.89</v>
      </c>
      <c r="H16" s="18">
        <f t="shared" si="2"/>
        <v>-69.732875065329566</v>
      </c>
      <c r="I16" s="18">
        <f t="shared" si="4"/>
        <v>-3603650.3800000004</v>
      </c>
      <c r="J16" s="18">
        <f t="shared" si="5"/>
        <v>-57.2741560579733</v>
      </c>
      <c r="K16" s="18">
        <f t="shared" si="6"/>
        <v>-3395249.4619999998</v>
      </c>
      <c r="L16" s="18">
        <f t="shared" si="7"/>
        <v>-56.803381752915584</v>
      </c>
      <c r="M16" s="18">
        <f>IF(SUM(G$5:G16)&lt;&gt;0,SUM(G$5:G16)/COUNTIF(G$5:G16,"&lt;&gt;0")," ")</f>
        <v>-2672261.6800000002</v>
      </c>
      <c r="N16" s="18">
        <f>IF(SUM(G$5:G16)=0,0,M16*COUNTIF(G$5:G16,"&lt;&gt;0")/(SUM(B$5:B16))*100)</f>
        <v>-75.484778192089081</v>
      </c>
      <c r="O16" s="19"/>
      <c r="Q16" s="21"/>
    </row>
    <row r="17" spans="1:17" s="20" customFormat="1" ht="13.5" x14ac:dyDescent="0.25">
      <c r="A17" s="49">
        <v>1995</v>
      </c>
      <c r="B17" s="50">
        <v>7090193</v>
      </c>
      <c r="C17" s="51">
        <v>5296012.38</v>
      </c>
      <c r="D17" s="50">
        <f t="shared" si="0"/>
        <v>74.694897303923881</v>
      </c>
      <c r="E17" s="50"/>
      <c r="F17" s="50">
        <f t="shared" si="1"/>
        <v>0</v>
      </c>
      <c r="G17" s="50">
        <f t="shared" si="3"/>
        <v>-5296012.38</v>
      </c>
      <c r="H17" s="18">
        <f t="shared" si="2"/>
        <v>-74.694897303923881</v>
      </c>
      <c r="I17" s="18">
        <f t="shared" si="4"/>
        <v>-4253103.5366666662</v>
      </c>
      <c r="J17" s="18">
        <f t="shared" si="5"/>
        <v>-75.88680009825373</v>
      </c>
      <c r="K17" s="18">
        <f t="shared" si="6"/>
        <v>-3834723.4640000002</v>
      </c>
      <c r="L17" s="18">
        <f t="shared" si="7"/>
        <v>-58.058356807911217</v>
      </c>
      <c r="M17" s="18">
        <f>IF(SUM(G$5:G17)&lt;&gt;0,SUM(G$5:G17)/COUNTIF(G$5:G17,"&lt;&gt;0")," ")</f>
        <v>-2890907.5716666672</v>
      </c>
      <c r="N17" s="18">
        <f>IF(SUM(G$5:G17)=0,0,M17*COUNTIF(G$5:G17,"&lt;&gt;0")/(SUM(B$5:B17))*100)</f>
        <v>-75.363113924768925</v>
      </c>
      <c r="O17" s="19"/>
      <c r="Q17" s="21"/>
    </row>
    <row r="18" spans="1:17" s="20" customFormat="1" ht="13.5" x14ac:dyDescent="0.25">
      <c r="A18" s="49">
        <v>1996</v>
      </c>
      <c r="B18" s="50">
        <v>13185410</v>
      </c>
      <c r="C18" s="51">
        <v>5379495.2300000004</v>
      </c>
      <c r="D18" s="50">
        <f t="shared" si="0"/>
        <v>40.798846831459926</v>
      </c>
      <c r="E18" s="50"/>
      <c r="F18" s="50">
        <f t="shared" si="1"/>
        <v>0</v>
      </c>
      <c r="G18" s="50">
        <f t="shared" si="3"/>
        <v>-5379495.2300000004</v>
      </c>
      <c r="H18" s="18">
        <f t="shared" si="2"/>
        <v>-40.798846831459926</v>
      </c>
      <c r="I18" s="18">
        <f t="shared" si="4"/>
        <v>-4884748.833333333</v>
      </c>
      <c r="J18" s="18">
        <f t="shared" si="5"/>
        <v>-56.403077229924968</v>
      </c>
      <c r="K18" s="18">
        <f t="shared" si="6"/>
        <v>-4297291.75</v>
      </c>
      <c r="L18" s="18">
        <f t="shared" si="7"/>
        <v>-54.880440917100373</v>
      </c>
      <c r="M18" s="18">
        <f>IF(SUM(G$5:G18)&lt;&gt;0,SUM(G$5:G18)/COUNTIF(G$5:G18,"&lt;&gt;0")," ")</f>
        <v>-3082337.3915384617</v>
      </c>
      <c r="N18" s="18">
        <f>IF(SUM(G$5:G18)=0,0,M18*COUNTIF(G$5:G18,"&lt;&gt;0")/(SUM(B$5:B18))*100)</f>
        <v>-67.666953875527923</v>
      </c>
      <c r="O18" s="19"/>
      <c r="Q18" s="21"/>
    </row>
    <row r="19" spans="1:17" s="20" customFormat="1" ht="13.5" x14ac:dyDescent="0.25">
      <c r="A19" s="49">
        <v>1997</v>
      </c>
      <c r="B19" s="50">
        <v>19126960</v>
      </c>
      <c r="C19" s="51">
        <v>4438531.8899999997</v>
      </c>
      <c r="D19" s="50">
        <f t="shared" si="0"/>
        <v>23.205631684282288</v>
      </c>
      <c r="E19" s="50">
        <v>500</v>
      </c>
      <c r="F19" s="50">
        <f t="shared" si="1"/>
        <v>2.6141111812854733E-3</v>
      </c>
      <c r="G19" s="50">
        <f t="shared" si="3"/>
        <v>-4438031.8899999997</v>
      </c>
      <c r="H19" s="18">
        <f t="shared" si="2"/>
        <v>-23.203017573101004</v>
      </c>
      <c r="I19" s="18">
        <f t="shared" si="4"/>
        <v>-5037846.5</v>
      </c>
      <c r="J19" s="18">
        <f t="shared" si="5"/>
        <v>-38.356742174360583</v>
      </c>
      <c r="K19" s="18">
        <f t="shared" si="6"/>
        <v>-4515367.5460000001</v>
      </c>
      <c r="L19" s="18">
        <f t="shared" si="7"/>
        <v>-45.957022597818913</v>
      </c>
      <c r="M19" s="18">
        <f>IF(SUM(G$5:G19)&lt;&gt;0,SUM(G$5:G19)/COUNTIF(G$5:G19,"&lt;&gt;0")," ")</f>
        <v>-3179172.712857143</v>
      </c>
      <c r="N19" s="18">
        <f>IF(SUM(G$5:G19)=0,0,M19*COUNTIF(G$5:G19,"&lt;&gt;0")/(SUM(B$5:B19))*100)</f>
        <v>-56.811500654523407</v>
      </c>
      <c r="O19" s="19"/>
      <c r="Q19" s="21"/>
    </row>
    <row r="20" spans="1:17" s="20" customFormat="1" ht="13.5" x14ac:dyDescent="0.25">
      <c r="A20" s="49">
        <v>1998</v>
      </c>
      <c r="B20" s="50">
        <v>9083841</v>
      </c>
      <c r="C20" s="51">
        <v>4202204.63</v>
      </c>
      <c r="D20" s="50">
        <f t="shared" si="0"/>
        <v>46.260217786727004</v>
      </c>
      <c r="E20" s="50"/>
      <c r="F20" s="50">
        <f t="shared" si="1"/>
        <v>0</v>
      </c>
      <c r="G20" s="50">
        <f t="shared" si="3"/>
        <v>-4202204.63</v>
      </c>
      <c r="H20" s="18">
        <f t="shared" si="2"/>
        <v>-46.260217786727004</v>
      </c>
      <c r="I20" s="18">
        <f t="shared" si="4"/>
        <v>-4673243.916666667</v>
      </c>
      <c r="J20" s="18">
        <f t="shared" si="5"/>
        <v>-33.867185936413364</v>
      </c>
      <c r="K20" s="18">
        <f t="shared" si="6"/>
        <v>-4658896.6040000003</v>
      </c>
      <c r="L20" s="18">
        <f t="shared" si="7"/>
        <v>-42.985024235086712</v>
      </c>
      <c r="M20" s="18">
        <f>IF(SUM(G$5:G20)&lt;&gt;0,SUM(G$5:G20)/COUNTIF(G$5:G20,"&lt;&gt;0")," ")</f>
        <v>-3247374.8406666671</v>
      </c>
      <c r="N20" s="18">
        <f>IF(SUM(G$5:G20)=0,0,M20*COUNTIF(G$5:G20,"&lt;&gt;0")/(SUM(B$5:B20))*100)</f>
        <v>-55.71521205669557</v>
      </c>
      <c r="O20" s="19"/>
      <c r="Q20" s="21"/>
    </row>
    <row r="21" spans="1:17" s="20" customFormat="1" ht="13.5" x14ac:dyDescent="0.25">
      <c r="A21" s="49">
        <v>1999</v>
      </c>
      <c r="B21" s="50">
        <v>17499760</v>
      </c>
      <c r="C21" s="51">
        <v>4653181.6900000004</v>
      </c>
      <c r="D21" s="50">
        <f t="shared" si="0"/>
        <v>26.589974319647812</v>
      </c>
      <c r="E21" s="50"/>
      <c r="F21" s="50">
        <f t="shared" si="1"/>
        <v>0</v>
      </c>
      <c r="G21" s="50">
        <f t="shared" si="3"/>
        <v>-4653181.6900000004</v>
      </c>
      <c r="H21" s="18">
        <f t="shared" si="2"/>
        <v>-26.589974319647812</v>
      </c>
      <c r="I21" s="18">
        <f t="shared" si="4"/>
        <v>-4431139.4033333333</v>
      </c>
      <c r="J21" s="18">
        <f t="shared" si="5"/>
        <v>-29.081721858543808</v>
      </c>
      <c r="K21" s="18">
        <f t="shared" si="6"/>
        <v>-4793785.1639999999</v>
      </c>
      <c r="L21" s="18">
        <f t="shared" si="7"/>
        <v>-36.32416913945778</v>
      </c>
      <c r="M21" s="18">
        <f>IF(SUM(G$5:G21)&lt;&gt;0,SUM(G$5:G21)/COUNTIF(G$5:G21,"&lt;&gt;0")," ")</f>
        <v>-3335237.7687500003</v>
      </c>
      <c r="N21" s="18">
        <f>IF(SUM(G$5:G21)=0,0,M21*COUNTIF(G$5:G21,"&lt;&gt;0")/(SUM(B$5:B21))*100)</f>
        <v>-50.857724327307544</v>
      </c>
      <c r="O21" s="19"/>
      <c r="Q21" s="21"/>
    </row>
    <row r="22" spans="1:17" s="20" customFormat="1" ht="13.5" x14ac:dyDescent="0.25">
      <c r="A22" s="49">
        <v>2000</v>
      </c>
      <c r="B22" s="50">
        <v>14964143</v>
      </c>
      <c r="C22" s="51">
        <v>4641399.42</v>
      </c>
      <c r="D22" s="50">
        <f t="shared" si="0"/>
        <v>31.016807444302025</v>
      </c>
      <c r="E22" s="50"/>
      <c r="F22" s="50">
        <f t="shared" si="1"/>
        <v>0</v>
      </c>
      <c r="G22" s="50">
        <f t="shared" si="3"/>
        <v>-4641399.42</v>
      </c>
      <c r="H22" s="18">
        <f t="shared" si="2"/>
        <v>-31.016807444302025</v>
      </c>
      <c r="I22" s="18">
        <f t="shared" si="4"/>
        <v>-4498928.58</v>
      </c>
      <c r="J22" s="18">
        <f t="shared" si="5"/>
        <v>-32.485002651407498</v>
      </c>
      <c r="K22" s="18">
        <f t="shared" si="6"/>
        <v>-4662862.5719999997</v>
      </c>
      <c r="L22" s="18">
        <f t="shared" si="7"/>
        <v>-31.565498071124015</v>
      </c>
      <c r="M22" s="18">
        <f>IF(SUM(G$5:G22)&lt;&gt;0,SUM(G$5:G22)/COUNTIF(G$5:G22,"&lt;&gt;0")," ")</f>
        <v>-3412070.8070588238</v>
      </c>
      <c r="N22" s="18">
        <f>IF(SUM(G$5:G22)=0,0,M22*COUNTIF(G$5:G22,"&lt;&gt;0")/(SUM(B$5:B22))*100)</f>
        <v>-48.381304865524889</v>
      </c>
      <c r="O22" s="19"/>
      <c r="Q22" s="21"/>
    </row>
    <row r="23" spans="1:17" s="20" customFormat="1" ht="13.5" x14ac:dyDescent="0.25">
      <c r="A23" s="49">
        <v>2001</v>
      </c>
      <c r="B23" s="50">
        <v>32141724</v>
      </c>
      <c r="C23" s="51">
        <v>5628621.5700000003</v>
      </c>
      <c r="D23" s="50">
        <f t="shared" si="0"/>
        <v>17.511884458966794</v>
      </c>
      <c r="E23" s="50"/>
      <c r="F23" s="50">
        <f t="shared" si="1"/>
        <v>0</v>
      </c>
      <c r="G23" s="50">
        <f t="shared" si="3"/>
        <v>-5628621.5700000003</v>
      </c>
      <c r="H23" s="18">
        <f t="shared" si="2"/>
        <v>-17.511884458966794</v>
      </c>
      <c r="I23" s="18">
        <f t="shared" si="4"/>
        <v>-4974400.8933333335</v>
      </c>
      <c r="J23" s="18">
        <f t="shared" si="5"/>
        <v>-23.0989209035925</v>
      </c>
      <c r="K23" s="18">
        <f t="shared" si="6"/>
        <v>-4712687.8400000008</v>
      </c>
      <c r="L23" s="18">
        <f t="shared" si="7"/>
        <v>-25.387142888110283</v>
      </c>
      <c r="M23" s="18">
        <f>IF(SUM(G$5:G23)&lt;&gt;0,SUM(G$5:G23)/COUNTIF(G$5:G23,"&lt;&gt;0")," ")</f>
        <v>-3535212.5161111113</v>
      </c>
      <c r="N23" s="18">
        <f>IF(SUM(G$5:G23)=0,0,M23*COUNTIF(G$5:G23,"&lt;&gt;0")/(SUM(B$5:B23))*100)</f>
        <v>-41.855135193365548</v>
      </c>
      <c r="O23" s="19"/>
      <c r="Q23" s="21"/>
    </row>
    <row r="24" spans="1:17" s="20" customFormat="1" ht="13.5" x14ac:dyDescent="0.25">
      <c r="A24" s="49">
        <v>2002</v>
      </c>
      <c r="B24" s="50">
        <v>12988609</v>
      </c>
      <c r="C24" s="51">
        <v>6202343.7000000002</v>
      </c>
      <c r="D24" s="50">
        <f t="shared" si="0"/>
        <v>47.752178081579025</v>
      </c>
      <c r="E24" s="50"/>
      <c r="F24" s="50">
        <f t="shared" si="1"/>
        <v>0</v>
      </c>
      <c r="G24" s="50">
        <f t="shared" si="3"/>
        <v>-6202343.7000000002</v>
      </c>
      <c r="H24" s="18">
        <f t="shared" si="2"/>
        <v>-47.752178081579025</v>
      </c>
      <c r="I24" s="18">
        <f t="shared" si="4"/>
        <v>-5490788.2300000004</v>
      </c>
      <c r="J24" s="18">
        <f t="shared" si="5"/>
        <v>-27.41078013559849</v>
      </c>
      <c r="K24" s="18">
        <f t="shared" si="6"/>
        <v>-5065550.2020000005</v>
      </c>
      <c r="L24" s="18">
        <f t="shared" si="7"/>
        <v>-29.220480987366628</v>
      </c>
      <c r="M24" s="18">
        <f>IF(SUM(G$5:G24)&lt;&gt;0,SUM(G$5:G24)/COUNTIF(G$5:G24,"&lt;&gt;0")," ")</f>
        <v>-3675587.8415789478</v>
      </c>
      <c r="N24" s="18">
        <f>IF(SUM(G$5:G24)=0,0,M24*COUNTIF(G$5:G24,"&lt;&gt;0")/(SUM(B$5:B24))*100)</f>
        <v>-42.319281401724943</v>
      </c>
      <c r="O24" s="19"/>
      <c r="Q24" s="21"/>
    </row>
    <row r="25" spans="1:17" s="20" customFormat="1" ht="13.5" x14ac:dyDescent="0.25">
      <c r="A25" s="49">
        <v>2003</v>
      </c>
      <c r="B25" s="50">
        <v>6560487</v>
      </c>
      <c r="C25" s="51">
        <v>4757942.0999999996</v>
      </c>
      <c r="D25" s="50">
        <f t="shared" si="0"/>
        <v>72.524221143948608</v>
      </c>
      <c r="E25" s="50"/>
      <c r="F25" s="50">
        <f t="shared" si="1"/>
        <v>0</v>
      </c>
      <c r="G25" s="50">
        <f t="shared" si="3"/>
        <v>-4757942.0999999996</v>
      </c>
      <c r="H25" s="18">
        <f t="shared" si="2"/>
        <v>-72.524221143948608</v>
      </c>
      <c r="I25" s="18">
        <f t="shared" si="4"/>
        <v>-5529635.79</v>
      </c>
      <c r="J25" s="18">
        <f t="shared" si="5"/>
        <v>-32.092559897482765</v>
      </c>
      <c r="K25" s="18">
        <f t="shared" si="6"/>
        <v>-5176697.6959999995</v>
      </c>
      <c r="L25" s="18">
        <f t="shared" si="7"/>
        <v>-30.757024154187988</v>
      </c>
      <c r="M25" s="18">
        <f>IF(SUM(G$5:G25)&lt;&gt;0,SUM(G$5:G25)/COUNTIF(G$5:G25,"&lt;&gt;0")," ")</f>
        <v>-3729705.5545000001</v>
      </c>
      <c r="N25" s="18">
        <f>IF(SUM(G$5:G25)=0,0,M25*COUNTIF(G$5:G25,"&lt;&gt;0")/(SUM(B$5:B25))*100)</f>
        <v>-43.474171954460274</v>
      </c>
      <c r="O25" s="19"/>
      <c r="Q25" s="21"/>
    </row>
    <row r="26" spans="1:17" s="20" customFormat="1" ht="13.5" x14ac:dyDescent="0.25">
      <c r="A26" s="49">
        <v>2004</v>
      </c>
      <c r="B26" s="50">
        <v>14462803</v>
      </c>
      <c r="C26" s="51">
        <v>8429551.3699999992</v>
      </c>
      <c r="D26" s="50">
        <f t="shared" si="0"/>
        <v>58.284354492002691</v>
      </c>
      <c r="E26" s="50"/>
      <c r="F26" s="50">
        <f t="shared" si="1"/>
        <v>0</v>
      </c>
      <c r="G26" s="50">
        <f t="shared" si="3"/>
        <v>-8429551.3699999992</v>
      </c>
      <c r="H26" s="18">
        <f t="shared" si="2"/>
        <v>-58.284354492002691</v>
      </c>
      <c r="I26" s="18">
        <f t="shared" si="4"/>
        <v>-6463279.0566666676</v>
      </c>
      <c r="J26" s="18">
        <f t="shared" si="5"/>
        <v>-57.008981386190769</v>
      </c>
      <c r="K26" s="18">
        <f t="shared" si="6"/>
        <v>-5931971.6319999993</v>
      </c>
      <c r="L26" s="18">
        <f t="shared" si="7"/>
        <v>-36.563948469685421</v>
      </c>
      <c r="M26" s="18">
        <f>IF(SUM(G$5:G26)&lt;&gt;0,SUM(G$5:G26)/COUNTIF(G$5:G26,"&lt;&gt;0")," ")</f>
        <v>-3953507.7361904765</v>
      </c>
      <c r="N26" s="18">
        <f>IF(SUM(G$5:G26)=0,0,M26*COUNTIF(G$5:G26,"&lt;&gt;0")/(SUM(B$5:B26))*100)</f>
        <v>-44.625486408841248</v>
      </c>
      <c r="O26" s="19"/>
      <c r="Q26" s="21"/>
    </row>
    <row r="27" spans="1:17" s="20" customFormat="1" ht="13.5" x14ac:dyDescent="0.25">
      <c r="A27" s="49">
        <v>2005</v>
      </c>
      <c r="B27" s="50">
        <v>7886238</v>
      </c>
      <c r="C27" s="51">
        <v>4369245.53</v>
      </c>
      <c r="D27" s="50">
        <f t="shared" si="0"/>
        <v>55.403419602603933</v>
      </c>
      <c r="E27" s="50"/>
      <c r="F27" s="50">
        <f t="shared" si="1"/>
        <v>0</v>
      </c>
      <c r="G27" s="50">
        <f t="shared" si="3"/>
        <v>-4369245.53</v>
      </c>
      <c r="H27" s="18">
        <f t="shared" si="2"/>
        <v>-55.403419602603933</v>
      </c>
      <c r="I27" s="18">
        <f t="shared" si="4"/>
        <v>-5852246.333333333</v>
      </c>
      <c r="J27" s="18">
        <f t="shared" si="5"/>
        <v>-60.729939969964221</v>
      </c>
      <c r="K27" s="18">
        <f t="shared" si="6"/>
        <v>-5877540.8540000003</v>
      </c>
      <c r="L27" s="18">
        <f t="shared" si="7"/>
        <v>-39.691733443421782</v>
      </c>
      <c r="M27" s="18">
        <f>IF(SUM(G$5:G27)&lt;&gt;0,SUM(G$5:G27)/COUNTIF(G$5:G27,"&lt;&gt;0")," ")</f>
        <v>-3972404.9086363642</v>
      </c>
      <c r="N27" s="18">
        <f>IF(SUM(G$5:G27)=0,0,M27*COUNTIF(G$5:G27,"&lt;&gt;0")/(SUM(B$5:B27))*100)</f>
        <v>-45.063771514779134</v>
      </c>
      <c r="O27" s="19"/>
      <c r="Q27" s="21"/>
    </row>
    <row r="28" spans="1:17" s="20" customFormat="1" ht="13.5" x14ac:dyDescent="0.25">
      <c r="A28" s="49">
        <v>2006</v>
      </c>
      <c r="B28" s="50">
        <v>20787194</v>
      </c>
      <c r="C28" s="51">
        <v>11168196.220000001</v>
      </c>
      <c r="D28" s="50">
        <f t="shared" si="0"/>
        <v>53.726328911925293</v>
      </c>
      <c r="E28" s="50"/>
      <c r="F28" s="50">
        <f t="shared" si="1"/>
        <v>0</v>
      </c>
      <c r="G28" s="50">
        <f t="shared" si="3"/>
        <v>-11168196.220000001</v>
      </c>
      <c r="H28" s="18">
        <f t="shared" si="2"/>
        <v>-53.726328911925293</v>
      </c>
      <c r="I28" s="18">
        <f t="shared" si="4"/>
        <v>-7988997.7066666661</v>
      </c>
      <c r="J28" s="18">
        <f t="shared" si="5"/>
        <v>-55.561161329912082</v>
      </c>
      <c r="K28" s="18">
        <f t="shared" si="6"/>
        <v>-6985455.784</v>
      </c>
      <c r="L28" s="18">
        <f t="shared" si="7"/>
        <v>-55.718424650258292</v>
      </c>
      <c r="M28" s="18">
        <f>IF(SUM(G$5:G28)&lt;&gt;0,SUM(G$5:G28)/COUNTIF(G$5:G28,"&lt;&gt;0")," ")</f>
        <v>-4285265.4004347827</v>
      </c>
      <c r="N28" s="18">
        <f>IF(SUM(G$5:G28)=0,0,M28*COUNTIF(G$5:G28,"&lt;&gt;0")/(SUM(B$5:B28))*100)</f>
        <v>-45.902404361588658</v>
      </c>
      <c r="O28" s="19"/>
      <c r="Q28" s="21"/>
    </row>
    <row r="29" spans="1:17" s="20" customFormat="1" ht="13.5" x14ac:dyDescent="0.25">
      <c r="A29" s="49">
        <v>2007</v>
      </c>
      <c r="B29" s="50">
        <v>12145417</v>
      </c>
      <c r="C29" s="51">
        <v>8770615.1500000004</v>
      </c>
      <c r="D29" s="50">
        <f t="shared" si="0"/>
        <v>72.213371924570396</v>
      </c>
      <c r="E29" s="50"/>
      <c r="F29" s="50">
        <f t="shared" si="1"/>
        <v>0</v>
      </c>
      <c r="G29" s="50">
        <f t="shared" si="3"/>
        <v>-8770615.1500000004</v>
      </c>
      <c r="H29" s="18">
        <f t="shared" si="2"/>
        <v>-72.213371924570396</v>
      </c>
      <c r="I29" s="18">
        <f t="shared" si="4"/>
        <v>-8102685.6333333328</v>
      </c>
      <c r="J29" s="18">
        <f t="shared" si="5"/>
        <v>-59.551059119770869</v>
      </c>
      <c r="K29" s="18">
        <f t="shared" si="6"/>
        <v>-7499110.0739999991</v>
      </c>
      <c r="L29" s="18">
        <f t="shared" si="7"/>
        <v>-60.631069649773906</v>
      </c>
      <c r="M29" s="18">
        <f>IF(SUM(G$5:G29)&lt;&gt;0,SUM(G$5:G29)/COUNTIF(G$5:G29,"&lt;&gt;0")," ")</f>
        <v>-4472154.9733333336</v>
      </c>
      <c r="N29" s="18">
        <f>IF(SUM(G$5:G29)=0,0,M29*COUNTIF(G$5:G29,"&lt;&gt;0")/(SUM(B$5:B29))*100)</f>
        <v>-47.310989809394563</v>
      </c>
      <c r="O29" s="19"/>
      <c r="Q29" s="21"/>
    </row>
    <row r="30" spans="1:17" s="20" customFormat="1" ht="13.5" x14ac:dyDescent="0.25">
      <c r="A30" s="49">
        <v>2008</v>
      </c>
      <c r="B30" s="50">
        <v>28255673</v>
      </c>
      <c r="C30" s="51">
        <v>7727858.3899999997</v>
      </c>
      <c r="D30" s="50">
        <f t="shared" si="0"/>
        <v>27.349758719249053</v>
      </c>
      <c r="E30" s="50"/>
      <c r="F30" s="50">
        <f t="shared" si="1"/>
        <v>0</v>
      </c>
      <c r="G30" s="50">
        <f t="shared" si="3"/>
        <v>-7727858.3899999997</v>
      </c>
      <c r="H30" s="18">
        <f t="shared" si="2"/>
        <v>-27.349758719249053</v>
      </c>
      <c r="I30" s="18">
        <f t="shared" si="4"/>
        <v>-9222223.2533333339</v>
      </c>
      <c r="J30" s="18">
        <f t="shared" si="5"/>
        <v>-45.21563271818507</v>
      </c>
      <c r="K30" s="18">
        <f t="shared" si="6"/>
        <v>-8093093.3319999995</v>
      </c>
      <c r="L30" s="18">
        <f t="shared" si="7"/>
        <v>-48.43998375576426</v>
      </c>
      <c r="M30" s="18">
        <f>IF(SUM(G$5:G30)&lt;&gt;0,SUM(G$5:G30)/COUNTIF(G$5:G30,"&lt;&gt;0")," ")</f>
        <v>-4602383.1100000003</v>
      </c>
      <c r="N30" s="18">
        <f>IF(SUM(G$5:G30)=0,0,M30*COUNTIF(G$5:G30,"&lt;&gt;0")/(SUM(B$5:B30))*100)</f>
        <v>-45.100194098134651</v>
      </c>
      <c r="O30" s="19"/>
      <c r="Q30" s="21"/>
    </row>
    <row r="31" spans="1:17" s="20" customFormat="1" ht="13.5" x14ac:dyDescent="0.25">
      <c r="A31" s="49">
        <v>2009</v>
      </c>
      <c r="B31" s="50">
        <v>12078716</v>
      </c>
      <c r="C31" s="51">
        <v>6558026.0999999996</v>
      </c>
      <c r="D31" s="50">
        <f t="shared" si="0"/>
        <v>54.294066521640218</v>
      </c>
      <c r="E31" s="50"/>
      <c r="F31" s="50">
        <f t="shared" si="1"/>
        <v>0</v>
      </c>
      <c r="G31" s="50">
        <f t="shared" si="3"/>
        <v>-6558026.0999999996</v>
      </c>
      <c r="H31" s="18">
        <f t="shared" si="2"/>
        <v>-54.294066521640218</v>
      </c>
      <c r="I31" s="18">
        <f t="shared" si="4"/>
        <v>-7685499.8799999999</v>
      </c>
      <c r="J31" s="18">
        <f t="shared" si="5"/>
        <v>-43.934041295808143</v>
      </c>
      <c r="K31" s="18">
        <f t="shared" si="6"/>
        <v>-7718788.2779999999</v>
      </c>
      <c r="L31" s="18">
        <f t="shared" si="7"/>
        <v>-47.556871840406416</v>
      </c>
      <c r="M31" s="18">
        <f>IF(SUM(G$5:G31)&lt;&gt;0,SUM(G$5:G31)/COUNTIF(G$5:G31,"&lt;&gt;0")," ")</f>
        <v>-4677600.1480769236</v>
      </c>
      <c r="N31" s="18">
        <f>IF(SUM(G$5:G31)=0,0,M31*COUNTIF(G$5:G31,"&lt;&gt;0")/(SUM(B$5:B31))*100)</f>
        <v>-45.51580316281035</v>
      </c>
      <c r="O31" s="19"/>
      <c r="Q31" s="21"/>
    </row>
    <row r="32" spans="1:17" s="20" customFormat="1" ht="13.5" x14ac:dyDescent="0.25">
      <c r="A32" s="49">
        <v>2010</v>
      </c>
      <c r="B32" s="50">
        <v>29914224.969999999</v>
      </c>
      <c r="C32" s="51">
        <v>12190996.17</v>
      </c>
      <c r="D32" s="50">
        <f t="shared" si="0"/>
        <v>40.753174057579471</v>
      </c>
      <c r="E32" s="50"/>
      <c r="F32" s="50">
        <f t="shared" si="1"/>
        <v>0</v>
      </c>
      <c r="G32" s="50">
        <f>(E32-C32)+-1379572+-814492</f>
        <v>-14385060.17</v>
      </c>
      <c r="H32" s="18">
        <f t="shared" si="2"/>
        <v>-48.087691338907518</v>
      </c>
      <c r="I32" s="18">
        <f t="shared" si="4"/>
        <v>-9556981.5533333328</v>
      </c>
      <c r="J32" s="18">
        <f t="shared" si="5"/>
        <v>-40.813537861749218</v>
      </c>
      <c r="K32" s="18">
        <f t="shared" si="6"/>
        <v>-9721951.2060000002</v>
      </c>
      <c r="L32" s="18">
        <f t="shared" si="7"/>
        <v>-47.111047619499885</v>
      </c>
      <c r="M32" s="18">
        <f>IF(SUM(G$5:G32)&lt;&gt;0,SUM(G$5:G32)/COUNTIF(G$5:G32,"&lt;&gt;0")," ")</f>
        <v>-5037135.7044444447</v>
      </c>
      <c r="N32" s="18">
        <f>IF(SUM(G$5:G32)=0,0,M32*COUNTIF(G$5:G32,"&lt;&gt;0")/(SUM(B$5:B32))*100)</f>
        <v>-45.774748676051047</v>
      </c>
      <c r="O32" s="19"/>
      <c r="Q32" s="21"/>
    </row>
    <row r="33" spans="1:17" s="20" customFormat="1" ht="13.5" x14ac:dyDescent="0.25">
      <c r="A33" s="49">
        <v>2011</v>
      </c>
      <c r="B33" s="50">
        <v>18899411.899999999</v>
      </c>
      <c r="C33" s="51">
        <v>2684265.6999999997</v>
      </c>
      <c r="D33" s="50">
        <f t="shared" si="0"/>
        <v>14.202905964497234</v>
      </c>
      <c r="E33" s="50"/>
      <c r="F33" s="50">
        <f t="shared" si="1"/>
        <v>0</v>
      </c>
      <c r="G33" s="50">
        <f>(E33-C33)+-1591204+-763491</f>
        <v>-5038960.6999999993</v>
      </c>
      <c r="H33" s="18">
        <f t="shared" si="2"/>
        <v>-26.661997350298499</v>
      </c>
      <c r="I33" s="18">
        <f t="shared" si="4"/>
        <v>-8660682.3233333323</v>
      </c>
      <c r="J33" s="18">
        <f t="shared" si="5"/>
        <v>-42.668817586125243</v>
      </c>
      <c r="K33" s="18">
        <f t="shared" si="6"/>
        <v>-8496104.1020000018</v>
      </c>
      <c r="L33" s="18">
        <f t="shared" si="7"/>
        <v>-41.938075463107225</v>
      </c>
      <c r="M33" s="18">
        <f>IF(SUM(G$5:G33)&lt;&gt;0,SUM(G$5:G33)/COUNTIF(G$5:G33,"&lt;&gt;0")," ")</f>
        <v>-5037200.8828571429</v>
      </c>
      <c r="N33" s="18">
        <f>IF(SUM(G$5:G33)=0,0,M33*COUNTIF(G$5:G33,"&lt;&gt;0")/(SUM(B$5:B33))*100)</f>
        <v>-44.631692553590149</v>
      </c>
      <c r="O33" s="19"/>
      <c r="Q33" s="21"/>
    </row>
    <row r="34" spans="1:17" s="20" customFormat="1" ht="13.5" x14ac:dyDescent="0.25">
      <c r="A34" s="49">
        <v>2012</v>
      </c>
      <c r="B34" s="50">
        <v>30682989.079999998</v>
      </c>
      <c r="C34" s="51">
        <v>16352828.99</v>
      </c>
      <c r="D34" s="50">
        <f t="shared" si="0"/>
        <v>53.296075383539531</v>
      </c>
      <c r="E34" s="50"/>
      <c r="F34" s="50">
        <f t="shared" si="1"/>
        <v>0</v>
      </c>
      <c r="G34" s="50">
        <f>(E34-C34)+-1468221+-863483</f>
        <v>-18684532.990000002</v>
      </c>
      <c r="H34" s="18">
        <f t="shared" si="2"/>
        <v>-60.895413224844795</v>
      </c>
      <c r="I34" s="18">
        <f t="shared" si="4"/>
        <v>-12702851.286666667</v>
      </c>
      <c r="J34" s="18">
        <f t="shared" si="5"/>
        <v>-47.937322376384458</v>
      </c>
      <c r="K34" s="18">
        <f t="shared" si="6"/>
        <v>-10478887.67</v>
      </c>
      <c r="L34" s="18">
        <f t="shared" si="7"/>
        <v>-43.723603919954947</v>
      </c>
      <c r="M34" s="18">
        <f>IF(SUM(G$5:G34)&lt;&gt;0,SUM(G$5:G34)/COUNTIF(G$5:G34,"&lt;&gt;0")," ")</f>
        <v>-5507798.541724138</v>
      </c>
      <c r="N34" s="18">
        <f>IF(SUM(G$5:G34)=0,0,M34*COUNTIF(G$5:G34,"&lt;&gt;0")/(SUM(B$5:B34))*100)</f>
        <v>-46.071053349199545</v>
      </c>
      <c r="O34" s="19"/>
      <c r="Q34" s="21"/>
    </row>
    <row r="35" spans="1:17" s="20" customFormat="1" ht="13.5" x14ac:dyDescent="0.25">
      <c r="A35" s="49">
        <v>2013</v>
      </c>
      <c r="B35" s="50">
        <v>10980130.93</v>
      </c>
      <c r="C35" s="51">
        <v>23763080.050000001</v>
      </c>
      <c r="D35" s="50">
        <f t="shared" si="0"/>
        <v>216.41891341272012</v>
      </c>
      <c r="E35" s="50"/>
      <c r="F35" s="50">
        <f t="shared" si="1"/>
        <v>0</v>
      </c>
      <c r="G35" s="50">
        <f>(E35-C35)+-1156539+-906250</f>
        <v>-25825869.050000001</v>
      </c>
      <c r="H35" s="18">
        <f t="shared" si="2"/>
        <v>-235.20547445785328</v>
      </c>
      <c r="I35" s="18">
        <f t="shared" si="4"/>
        <v>-16516454.246666668</v>
      </c>
      <c r="J35" s="18">
        <f t="shared" si="5"/>
        <v>-81.815210126342947</v>
      </c>
      <c r="K35" s="18">
        <f t="shared" si="6"/>
        <v>-14098489.802000001</v>
      </c>
      <c r="L35" s="18">
        <f t="shared" si="7"/>
        <v>-68.735921185291701</v>
      </c>
      <c r="M35" s="18">
        <f>IF(SUM(G$5:G35)&lt;&gt;0,SUM(G$5:G35)/COUNTIF(G$5:G35,"&lt;&gt;0")," ")</f>
        <v>-6185067.558666667</v>
      </c>
      <c r="N35" s="18">
        <f>IF(SUM(G$5:G35)=0,0,M35*COUNTIF(G$5:G35,"&lt;&gt;0")/(SUM(B$5:B35))*100)</f>
        <v>-51.877213811733782</v>
      </c>
      <c r="O35" s="19"/>
      <c r="Q35" s="21"/>
    </row>
    <row r="36" spans="1:17" s="20" customFormat="1" ht="13.5" x14ac:dyDescent="0.25">
      <c r="A36" s="49">
        <v>2014</v>
      </c>
      <c r="B36" s="50">
        <v>-1329979.6399999999</v>
      </c>
      <c r="C36" s="51">
        <v>24520756.32</v>
      </c>
      <c r="D36" s="50">
        <f t="shared" si="0"/>
        <v>-1843.6941124903235</v>
      </c>
      <c r="E36" s="50"/>
      <c r="F36" s="50">
        <f t="shared" si="1"/>
        <v>0</v>
      </c>
      <c r="G36" s="50">
        <f>(E36-C36)+-1608614+-1032662</f>
        <v>-27162032.32</v>
      </c>
      <c r="H36" s="18">
        <f t="shared" si="2"/>
        <v>2042.2893330908437</v>
      </c>
      <c r="I36" s="18">
        <f t="shared" si="4"/>
        <v>-23890811.453333337</v>
      </c>
      <c r="J36" s="18">
        <f t="shared" si="5"/>
        <v>-177.70110063958805</v>
      </c>
      <c r="K36" s="18">
        <f t="shared" si="6"/>
        <v>-18219291.045999996</v>
      </c>
      <c r="L36" s="18">
        <f t="shared" si="7"/>
        <v>-102.18704259465386</v>
      </c>
      <c r="M36" s="18">
        <f>IF(SUM(G$5:G36)&lt;&gt;0,SUM(G$5:G36)/COUNTIF(G$5:G36,"&lt;&gt;0")," ")</f>
        <v>-6861743.8412903231</v>
      </c>
      <c r="N36" s="18">
        <f>IF(SUM(G$5:G36)=0,0,M36*COUNTIF(G$5:G36,"&lt;&gt;0")/(SUM(B$5:B36))*100)</f>
        <v>-59.693222633830544</v>
      </c>
      <c r="O36" s="19"/>
      <c r="Q36" s="21"/>
    </row>
    <row r="37" spans="1:17" s="20" customFormat="1" ht="13.5" x14ac:dyDescent="0.25">
      <c r="A37" s="49">
        <v>2015</v>
      </c>
      <c r="B37" s="50">
        <v>6133537.4199999999</v>
      </c>
      <c r="C37" s="51">
        <v>8588561.0400000159</v>
      </c>
      <c r="D37" s="50">
        <f t="shared" si="0"/>
        <v>140.026227149031</v>
      </c>
      <c r="E37" s="50"/>
      <c r="F37" s="50">
        <f t="shared" si="1"/>
        <v>0</v>
      </c>
      <c r="G37" s="50">
        <f>(E37-C37)+-1770362+-977501</f>
        <v>-11336424.040000016</v>
      </c>
      <c r="H37" s="18">
        <f t="shared" si="2"/>
        <v>-184.82685053872251</v>
      </c>
      <c r="I37" s="18">
        <f t="shared" si="4"/>
        <v>-21441441.803333338</v>
      </c>
      <c r="J37" s="18">
        <f t="shared" si="5"/>
        <v>-407.5367082553164</v>
      </c>
      <c r="K37" s="18">
        <f t="shared" si="6"/>
        <v>-17609563.820000004</v>
      </c>
      <c r="L37" s="18">
        <f t="shared" si="7"/>
        <v>-134.69953536699012</v>
      </c>
      <c r="M37" s="18">
        <f>IF(SUM(G$5:G37)&lt;&gt;0,SUM(G$5:G37)/COUNTIF(G$5:G37,"&lt;&gt;0")," ")</f>
        <v>-7001577.5975000011</v>
      </c>
      <c r="N37" s="18">
        <f>IF(SUM(G$5:G37)=0,0,M37*COUNTIF(G$5:G37,"&lt;&gt;0")/(SUM(B$5:B37))*100)</f>
        <v>-61.81061950393768</v>
      </c>
      <c r="O37" s="19"/>
      <c r="P37" s="22"/>
      <c r="Q37" s="21"/>
    </row>
    <row r="38" spans="1:17" s="20" customFormat="1" ht="13.5" x14ac:dyDescent="0.25">
      <c r="A38" s="49">
        <v>2016</v>
      </c>
      <c r="B38" s="50">
        <v>4305530.1399999997</v>
      </c>
      <c r="C38" s="51">
        <v>20455696.230000064</v>
      </c>
      <c r="D38" s="50">
        <f t="shared" si="0"/>
        <v>475.10284598774319</v>
      </c>
      <c r="E38" s="50"/>
      <c r="F38" s="50">
        <f t="shared" si="1"/>
        <v>0</v>
      </c>
      <c r="G38" s="50">
        <f>(E38-C38)+-1757907+-1176658</f>
        <v>-23390261.230000064</v>
      </c>
      <c r="H38" s="18">
        <f t="shared" si="2"/>
        <v>-543.26088703213827</v>
      </c>
      <c r="I38" s="18">
        <f t="shared" si="4"/>
        <v>-20629572.530000027</v>
      </c>
      <c r="J38" s="18">
        <f t="shared" si="5"/>
        <v>-679.41728231776779</v>
      </c>
      <c r="K38" s="18">
        <f t="shared" si="6"/>
        <v>-21279823.926000021</v>
      </c>
      <c r="L38" s="18">
        <f t="shared" si="7"/>
        <v>-209.56173459443272</v>
      </c>
      <c r="M38" s="18">
        <f>IF(SUM(G$5:G38)&lt;&gt;0,SUM(G$5:G38)/COUNTIF(G$5:G38,"&lt;&gt;0")," ")</f>
        <v>-7498204.3742424268</v>
      </c>
      <c r="N38" s="18">
        <f>IF(SUM(G$5:G38)=0,0,M38*COUNTIF(G$5:G38,"&lt;&gt;0")/(SUM(B$5:B38))*100)</f>
        <v>-67.462163566508508</v>
      </c>
      <c r="O38" s="19"/>
      <c r="P38" s="22"/>
      <c r="Q38" s="21"/>
    </row>
    <row r="39" spans="1:17" s="20" customFormat="1" ht="13.5" x14ac:dyDescent="0.25">
      <c r="A39" s="49">
        <v>2017</v>
      </c>
      <c r="B39" s="50">
        <v>3150738.04</v>
      </c>
      <c r="C39" s="51"/>
      <c r="D39" s="50">
        <f t="shared" si="0"/>
        <v>0</v>
      </c>
      <c r="E39" s="50"/>
      <c r="F39" s="50">
        <f t="shared" si="1"/>
        <v>0</v>
      </c>
      <c r="G39" s="50">
        <f>(E39-C39)+-1825691+-1648236</f>
        <v>-3473927</v>
      </c>
      <c r="H39" s="18">
        <f t="shared" si="2"/>
        <v>-110.25756365324489</v>
      </c>
      <c r="I39" s="18">
        <f t="shared" si="4"/>
        <v>-12733537.42333336</v>
      </c>
      <c r="J39" s="18">
        <f t="shared" si="5"/>
        <v>-281.09756235218026</v>
      </c>
      <c r="K39" s="18">
        <f t="shared" si="6"/>
        <v>-18237702.728000015</v>
      </c>
      <c r="L39" s="18">
        <f t="shared" si="7"/>
        <v>-392.37815315930254</v>
      </c>
      <c r="M39" s="18">
        <f>IF(SUM(G$5:G39)&lt;&gt;0,SUM(G$5:G39)/COUNTIF(G$5:G39,"&lt;&gt;0")," ")</f>
        <v>-7379843.2750000022</v>
      </c>
      <c r="N39" s="18">
        <f>IF(SUM(G$5:G39)=0,0,M39*COUNTIF(G$5:G39,"&lt;&gt;0")/(SUM(B$5:B39))*100)</f>
        <v>-67.826651966684537</v>
      </c>
      <c r="O39" s="19"/>
      <c r="P39" s="22"/>
      <c r="Q39" s="21"/>
    </row>
    <row r="40" spans="1:17" s="20" customFormat="1" ht="13.5" x14ac:dyDescent="0.25">
      <c r="A40" s="49">
        <v>2018</v>
      </c>
      <c r="B40" s="50">
        <v>3645227.01</v>
      </c>
      <c r="C40" s="51"/>
      <c r="D40" s="50">
        <f t="shared" si="0"/>
        <v>0</v>
      </c>
      <c r="E40" s="50"/>
      <c r="F40" s="50">
        <f t="shared" si="1"/>
        <v>0</v>
      </c>
      <c r="G40" s="50">
        <f>(E40-C40)+-1947435+-1575511</f>
        <v>-3522946</v>
      </c>
      <c r="H40" s="18">
        <f t="shared" si="2"/>
        <v>-96.645448701423959</v>
      </c>
      <c r="I40" s="18">
        <f t="shared" si="4"/>
        <v>-10129044.743333355</v>
      </c>
      <c r="J40" s="18">
        <f t="shared" si="5"/>
        <v>-273.72109531130707</v>
      </c>
      <c r="K40" s="18">
        <f t="shared" si="6"/>
        <v>-13777118.118000016</v>
      </c>
      <c r="L40" s="18">
        <f t="shared" si="7"/>
        <v>-433.10506868434578</v>
      </c>
      <c r="M40" s="18">
        <f>IF(SUM(G$5:G40)&lt;&gt;0,SUM(G$5:G40)/COUNTIF(G$5:G40,"&lt;&gt;0")," ")</f>
        <v>-7269646.2100000028</v>
      </c>
      <c r="N40" s="18">
        <f>IF(SUM(G$5:G40)=0,0,M40*COUNTIF(G$5:G40,"&lt;&gt;0")/(SUM(B$5:B40))*100)</f>
        <v>-68.107852597669805</v>
      </c>
      <c r="O40" s="19"/>
      <c r="P40" s="22"/>
      <c r="Q40" s="21"/>
    </row>
    <row r="41" spans="1:17" s="20" customFormat="1" ht="13.5" x14ac:dyDescent="0.25">
      <c r="A41" s="49">
        <v>2019</v>
      </c>
      <c r="B41" s="50">
        <v>3003763.72</v>
      </c>
      <c r="C41" s="51"/>
      <c r="D41" s="50">
        <f t="shared" si="0"/>
        <v>0</v>
      </c>
      <c r="E41" s="50"/>
      <c r="F41" s="50">
        <f t="shared" si="1"/>
        <v>0</v>
      </c>
      <c r="G41" s="50">
        <f>(E41-C41)+-1528902+-8788562</f>
        <v>-10317464</v>
      </c>
      <c r="H41" s="18">
        <f t="shared" si="2"/>
        <v>-343.48454012221703</v>
      </c>
      <c r="I41" s="18">
        <f t="shared" si="4"/>
        <v>-5771445.666666667</v>
      </c>
      <c r="J41" s="18">
        <f t="shared" si="5"/>
        <v>-176.68179810245914</v>
      </c>
      <c r="K41" s="18">
        <f t="shared" si="6"/>
        <v>-10408204.454000015</v>
      </c>
      <c r="L41" s="18">
        <f t="shared" si="7"/>
        <v>-257.13496702795305</v>
      </c>
      <c r="M41" s="18">
        <f>IF(SUM(G$5:G41)&lt;&gt;0,SUM(G$5:G41)/COUNTIF(G$5:G41,"&lt;&gt;0")," ")</f>
        <v>-7354307.8152777804</v>
      </c>
      <c r="N41" s="18">
        <f>IF(SUM(G$5:G41)=0,0,M41*COUNTIF(G$5:G41,"&lt;&gt;0")/(SUM(B$5:B41))*100)</f>
        <v>-70.304350721831725</v>
      </c>
      <c r="O41" s="19"/>
      <c r="P41" s="22"/>
      <c r="Q41" s="21"/>
    </row>
    <row r="42" spans="1:17" s="20" customFormat="1" ht="13.5" x14ac:dyDescent="0.25">
      <c r="A42" s="49">
        <v>2020</v>
      </c>
      <c r="B42" s="50">
        <v>3036881.16</v>
      </c>
      <c r="C42" s="51"/>
      <c r="D42" s="50">
        <f t="shared" si="0"/>
        <v>0</v>
      </c>
      <c r="E42" s="50"/>
      <c r="F42" s="50">
        <f t="shared" si="1"/>
        <v>0</v>
      </c>
      <c r="G42" s="50">
        <f>(E42-C42)+-20146+-7925902</f>
        <v>-7946048</v>
      </c>
      <c r="H42" s="18">
        <f t="shared" si="2"/>
        <v>-261.65159521750928</v>
      </c>
      <c r="I42" s="18">
        <f t="shared" si="4"/>
        <v>-7262152.666666667</v>
      </c>
      <c r="J42" s="18">
        <f t="shared" si="5"/>
        <v>-224.93027212648795</v>
      </c>
      <c r="K42" s="18">
        <f t="shared" si="6"/>
        <v>-9730129.2460000124</v>
      </c>
      <c r="L42" s="18">
        <f t="shared" si="7"/>
        <v>-283.80730778849636</v>
      </c>
      <c r="M42" s="18">
        <f>IF(SUM(G$5:G42)&lt;&gt;0,SUM(G$5:G42)/COUNTIF(G$5:G42,"&lt;&gt;0")," ")</f>
        <v>-7370300.7932432452</v>
      </c>
      <c r="N42" s="18">
        <f>IF(SUM(G$5:G42)=0,0,M42*COUNTIF(G$5:G42,"&lt;&gt;0")/(SUM(B$5:B42))*100)</f>
        <v>-71.835084552509045</v>
      </c>
      <c r="O42" s="19"/>
      <c r="P42" s="22"/>
      <c r="Q42" s="21"/>
    </row>
    <row r="43" spans="1:17" s="20" customFormat="1" ht="13.5" x14ac:dyDescent="0.25">
      <c r="A43" s="49">
        <v>2021</v>
      </c>
      <c r="B43" s="50">
        <v>19429111.32</v>
      </c>
      <c r="C43" s="51"/>
      <c r="D43" s="50"/>
      <c r="E43" s="50"/>
      <c r="F43" s="50"/>
      <c r="G43" s="50">
        <v>-2739701.36</v>
      </c>
      <c r="H43" s="18">
        <f t="shared" si="2"/>
        <v>-14.101012212430927</v>
      </c>
      <c r="I43" s="18">
        <f t="shared" si="4"/>
        <v>-7001071.1200000001</v>
      </c>
      <c r="J43" s="18">
        <f t="shared" si="5"/>
        <v>-82.463346704512219</v>
      </c>
      <c r="K43" s="18">
        <f t="shared" si="6"/>
        <v>-5600017.2719999999</v>
      </c>
      <c r="L43" s="18">
        <f t="shared" si="7"/>
        <v>-86.779669802050378</v>
      </c>
      <c r="M43" s="18">
        <f>IF(SUM(G$5:G43)&lt;&gt;0,SUM(G$5:G43)/COUNTIF(G$5:G43,"&lt;&gt;0")," ")</f>
        <v>-7248442.9134210553</v>
      </c>
      <c r="N43" s="18">
        <f>IF(SUM(G$5:G43)=0,0,M43*COUNTIF(G$5:G43,"&lt;&gt;0")/(SUM(B$5:B43))*100)</f>
        <v>-69.024105580132286</v>
      </c>
      <c r="O43" s="19"/>
      <c r="P43" s="22"/>
      <c r="Q43" s="21"/>
    </row>
    <row r="44" spans="1:17" s="20" customFormat="1" ht="13.5" x14ac:dyDescent="0.25">
      <c r="A44" s="23"/>
      <c r="B44" s="24"/>
      <c r="C44" s="24"/>
      <c r="D44" s="25"/>
      <c r="E44" s="50"/>
      <c r="F44" s="18"/>
      <c r="G44" s="50"/>
      <c r="H44" s="25"/>
      <c r="I44" s="18"/>
      <c r="J44" s="18"/>
      <c r="K44" s="18"/>
      <c r="L44" s="18"/>
      <c r="M44" s="18"/>
      <c r="N44" s="18"/>
      <c r="O44" s="19"/>
    </row>
    <row r="45" spans="1:17" s="32" customFormat="1" ht="30" customHeight="1" x14ac:dyDescent="0.3">
      <c r="A45" s="26" t="s">
        <v>17</v>
      </c>
      <c r="B45" s="27">
        <f>SUM(B5:B44)</f>
        <v>399050199.05000007</v>
      </c>
      <c r="C45" s="27">
        <f>SUM(C5:C44)</f>
        <v>230185069.35000008</v>
      </c>
      <c r="D45" s="28">
        <f t="shared" si="0"/>
        <v>57.683236319137485</v>
      </c>
      <c r="E45" s="29">
        <f>SUM(E5:E44)</f>
        <v>11281</v>
      </c>
      <c r="F45" s="28">
        <f>E45/B45*100</f>
        <v>2.8269626294777309E-3</v>
      </c>
      <c r="G45" s="29">
        <f>SUM(G5:G44)</f>
        <v>-275440830.7100001</v>
      </c>
      <c r="H45" s="28">
        <f t="shared" si="2"/>
        <v>-69.024105580132286</v>
      </c>
      <c r="I45" s="30"/>
      <c r="J45" s="30"/>
      <c r="K45" s="30"/>
      <c r="L45" s="30"/>
      <c r="M45" s="30"/>
      <c r="N45" s="30"/>
      <c r="O45" s="31"/>
    </row>
    <row r="47" spans="1:17" x14ac:dyDescent="0.35">
      <c r="B47" s="38"/>
    </row>
    <row r="48" spans="1:17" x14ac:dyDescent="0.35">
      <c r="B48" s="38"/>
    </row>
  </sheetData>
  <conditionalFormatting sqref="A5:XFD43">
    <cfRule type="expression" dxfId="24" priority="2">
      <formula>MOD(ROW(),2)=0</formula>
    </cfRule>
  </conditionalFormatting>
  <conditionalFormatting sqref="A44:XFD45">
    <cfRule type="expression" dxfId="23" priority="1">
      <formula>MOD(ROW(),2)=0</formula>
    </cfRule>
  </conditionalFormatting>
  <printOptions horizontalCentered="1"/>
  <pageMargins left="0.7" right="0.7" top="0.75" bottom="0.75" header="0.3" footer="0.3"/>
  <pageSetup scale="6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6F-5205-43DF-8794-009B0A2882AA}">
  <dimension ref="A1:Q21"/>
  <sheetViews>
    <sheetView tabSelected="1" view="pageBreakPreview" zoomScale="60" zoomScaleNormal="100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5.81640625" style="34" customWidth="1"/>
    <col min="3" max="3" width="13.81640625" style="34" hidden="1" customWidth="1"/>
    <col min="4" max="6" width="12.54296875" style="35" hidden="1" customWidth="1"/>
    <col min="7" max="7" width="15.36328125" style="35" customWidth="1"/>
    <col min="8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33</v>
      </c>
      <c r="B2" s="40"/>
      <c r="C2" s="40"/>
      <c r="D2" s="40"/>
      <c r="E2" s="40"/>
      <c r="F2" s="40"/>
      <c r="G2" s="47"/>
      <c r="H2" s="41"/>
      <c r="I2" s="42"/>
      <c r="J2" s="6"/>
      <c r="K2" s="6"/>
      <c r="L2" s="6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9"/>
      <c r="K3" s="9"/>
      <c r="L3" s="9"/>
      <c r="M3" s="9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2010</v>
      </c>
      <c r="B5" s="50">
        <v>1320435.6599999999</v>
      </c>
      <c r="C5" s="51">
        <v>12190996.17</v>
      </c>
      <c r="D5" s="50">
        <f t="shared" ref="D5:D18" si="0">C5/B5*100</f>
        <v>923.25559959506108</v>
      </c>
      <c r="E5" s="50"/>
      <c r="F5" s="50">
        <f t="shared" ref="F5:F15" si="1">E5/B5*100</f>
        <v>0</v>
      </c>
      <c r="G5" s="50">
        <f>(E5-C5)+-1379572+-814492</f>
        <v>-14385060.17</v>
      </c>
      <c r="H5" s="18">
        <f t="shared" ref="H5:H18" si="2">G5/B5*100</f>
        <v>-1089.4177282367548</v>
      </c>
      <c r="I5" s="18">
        <f>SUM(G5:G5)/3</f>
        <v>-4795020.0566666666</v>
      </c>
      <c r="J5" s="18">
        <f>IF(SUM(B5:B5)=0,0,I5/(SUM(B5:B5)/3)*100)</f>
        <v>-1089.4177282367548</v>
      </c>
      <c r="K5" s="18">
        <f>SUM(G5:G5)/5</f>
        <v>-2877012.034</v>
      </c>
      <c r="L5" s="18">
        <f>IF(SUM(B5:B5)=0,0,K5/(SUM(B5:B5)/5)*100)</f>
        <v>-1089.4177282367548</v>
      </c>
      <c r="M5" s="18">
        <f>IF(SUM(G$5:G5)&lt;&gt;0,SUM(G$5:G5)/COUNTIF(G$5:G5,"&lt;&gt;0")," ")</f>
        <v>-14385060.17</v>
      </c>
      <c r="N5" s="18">
        <f>IF(SUM(G$5:G5)=0,0,M5*COUNTIF(G$5:G5,"&lt;&gt;0")/(SUM(B$5:B5))*100)</f>
        <v>-1089.4177282367548</v>
      </c>
      <c r="O5" s="19"/>
      <c r="Q5" s="21"/>
    </row>
    <row r="6" spans="1:17" s="20" customFormat="1" ht="13.5" x14ac:dyDescent="0.25">
      <c r="A6" s="49">
        <v>2011</v>
      </c>
      <c r="B6" s="50">
        <v>1059434.31</v>
      </c>
      <c r="C6" s="51">
        <v>2684265.6999999997</v>
      </c>
      <c r="D6" s="50">
        <f t="shared" si="0"/>
        <v>253.36782796849383</v>
      </c>
      <c r="E6" s="50"/>
      <c r="F6" s="50">
        <f t="shared" si="1"/>
        <v>0</v>
      </c>
      <c r="G6" s="50">
        <f>(E6-C6)+-1591204+-763491</f>
        <v>-5038960.6999999993</v>
      </c>
      <c r="H6" s="18">
        <f t="shared" si="2"/>
        <v>-475.62747897035723</v>
      </c>
      <c r="I6" s="18">
        <f>SUM(G5:G6)/3</f>
        <v>-6474673.6233333321</v>
      </c>
      <c r="J6" s="18">
        <f>IF(SUM(B5:B6)=0,0,I6/(SUM(B5:B6)/3)*100)</f>
        <v>-816.17992221650672</v>
      </c>
      <c r="K6" s="18">
        <f>SUM(G5:G6)/5</f>
        <v>-3884804.1739999996</v>
      </c>
      <c r="L6" s="18">
        <f>IF(SUM(B5:B6)=0,0,K6/(SUM(B5:B6)/5)*100)</f>
        <v>-816.17992221650672</v>
      </c>
      <c r="M6" s="18">
        <f>IF(SUM(G$5:G6)&lt;&gt;0,SUM(G$5:G6)/COUNTIF(G$5:G6,"&lt;&gt;0")," ")</f>
        <v>-9712010.4349999987</v>
      </c>
      <c r="N6" s="18">
        <f>IF(SUM(G$5:G6)=0,0,M6*COUNTIF(G$5:G6,"&lt;&gt;0")/(SUM(B$5:B6))*100)</f>
        <v>-816.17992221650672</v>
      </c>
      <c r="O6" s="19"/>
      <c r="Q6" s="21"/>
    </row>
    <row r="7" spans="1:17" s="20" customFormat="1" ht="13.5" x14ac:dyDescent="0.25">
      <c r="A7" s="49">
        <v>2012</v>
      </c>
      <c r="B7" s="50">
        <v>3993752.14</v>
      </c>
      <c r="C7" s="51">
        <v>16352828.99</v>
      </c>
      <c r="D7" s="50">
        <f t="shared" si="0"/>
        <v>409.46028738778966</v>
      </c>
      <c r="E7" s="50"/>
      <c r="F7" s="50">
        <f t="shared" si="1"/>
        <v>0</v>
      </c>
      <c r="G7" s="50">
        <f>(E7-C7)+-1468221+-863483</f>
        <v>-18684532.990000002</v>
      </c>
      <c r="H7" s="18">
        <f t="shared" si="2"/>
        <v>-467.84408082971322</v>
      </c>
      <c r="I7" s="18">
        <f t="shared" ref="I7:I16" si="3">SUM(G5:G7)/3</f>
        <v>-12702851.286666667</v>
      </c>
      <c r="J7" s="18">
        <f t="shared" ref="J7:J16" si="4">IF(SUM(B5:B7)=0,0,I7/(SUM(B5:B7)/3)*100)</f>
        <v>-597.91046915393611</v>
      </c>
      <c r="K7" s="18">
        <f>SUM(G5:G7)/5</f>
        <v>-7621710.7719999999</v>
      </c>
      <c r="L7" s="18">
        <f>IF(SUM(B5:B7)=0,0,K7/(SUM(B5:B7)/5)*100)</f>
        <v>-597.91046915393611</v>
      </c>
      <c r="M7" s="18">
        <f>IF(SUM(G$5:G7)&lt;&gt;0,SUM(G$5:G7)/COUNTIF(G$5:G7,"&lt;&gt;0")," ")</f>
        <v>-12702851.286666667</v>
      </c>
      <c r="N7" s="18">
        <f>IF(SUM(G$5:G7)=0,0,M7*COUNTIF(G$5:G7,"&lt;&gt;0")/(SUM(B$5:B7))*100)</f>
        <v>-597.91046915393611</v>
      </c>
      <c r="O7" s="19"/>
      <c r="Q7" s="21"/>
    </row>
    <row r="8" spans="1:17" s="20" customFormat="1" ht="13.5" x14ac:dyDescent="0.25">
      <c r="A8" s="49">
        <v>2013</v>
      </c>
      <c r="B8" s="50">
        <v>2792085.05</v>
      </c>
      <c r="C8" s="51">
        <v>23763080.050000001</v>
      </c>
      <c r="D8" s="50">
        <f t="shared" si="0"/>
        <v>851.08725645732034</v>
      </c>
      <c r="E8" s="50"/>
      <c r="F8" s="50">
        <f t="shared" si="1"/>
        <v>0</v>
      </c>
      <c r="G8" s="50">
        <f>(E8-C8)+-1156539+-906250</f>
        <v>-25825869.050000001</v>
      </c>
      <c r="H8" s="18">
        <f t="shared" si="2"/>
        <v>-924.96713343313104</v>
      </c>
      <c r="I8" s="18">
        <f t="shared" si="3"/>
        <v>-16516454.246666668</v>
      </c>
      <c r="J8" s="18">
        <f t="shared" si="4"/>
        <v>-631.58251107052195</v>
      </c>
      <c r="K8" s="18">
        <f>SUM(G5:G8)/5</f>
        <v>-12786884.581999999</v>
      </c>
      <c r="L8" s="18">
        <f>IF(SUM(B5:B8)=0,0,K8/(SUM(B5:B8)/5)*100)</f>
        <v>-697.53944560890807</v>
      </c>
      <c r="M8" s="18">
        <f>IF(SUM(G$5:G8)&lt;&gt;0,SUM(G$5:G8)/COUNTIF(G$5:G8,"&lt;&gt;0")," ")</f>
        <v>-15983605.727499999</v>
      </c>
      <c r="N8" s="18">
        <f>IF(SUM(G$5:G8)=0,0,M8*COUNTIF(G$5:G8,"&lt;&gt;0")/(SUM(B$5:B8))*100)</f>
        <v>-697.53944560890807</v>
      </c>
      <c r="O8" s="19"/>
      <c r="Q8" s="21"/>
    </row>
    <row r="9" spans="1:17" s="20" customFormat="1" ht="13.5" x14ac:dyDescent="0.25">
      <c r="A9" s="49">
        <v>2014</v>
      </c>
      <c r="B9" s="50">
        <v>-1464971.15</v>
      </c>
      <c r="C9" s="51">
        <v>24520756.32</v>
      </c>
      <c r="D9" s="50">
        <f t="shared" si="0"/>
        <v>-1673.8047244138563</v>
      </c>
      <c r="E9" s="50"/>
      <c r="F9" s="50">
        <f t="shared" si="1"/>
        <v>0</v>
      </c>
      <c r="G9" s="50">
        <f>(E9-C9)+-1608614+-1032662</f>
        <v>-27162032.32</v>
      </c>
      <c r="H9" s="18">
        <f t="shared" si="2"/>
        <v>1854.1001520746672</v>
      </c>
      <c r="I9" s="18">
        <f t="shared" si="3"/>
        <v>-23890811.453333337</v>
      </c>
      <c r="J9" s="18">
        <f t="shared" si="4"/>
        <v>-1347.0069312250534</v>
      </c>
      <c r="K9" s="18">
        <f t="shared" ref="K9:K16" si="5">SUM(G5:G9)/5</f>
        <v>-18219291.045999996</v>
      </c>
      <c r="L9" s="18">
        <f t="shared" ref="L9:L16" si="6">IF(SUM(B5:B9)=0,0,K9/(SUM(B5:B9)/5)*100)</f>
        <v>-1182.9577732791283</v>
      </c>
      <c r="M9" s="18">
        <f>IF(SUM(G$5:G9)&lt;&gt;0,SUM(G$5:G9)/COUNTIF(G$5:G9,"&lt;&gt;0")," ")</f>
        <v>-18219291.045999996</v>
      </c>
      <c r="N9" s="18">
        <f>IF(SUM(G$5:G9)=0,0,M9*COUNTIF(G$5:G9,"&lt;&gt;0")/(SUM(B$5:B9))*100)</f>
        <v>-1182.9577732791283</v>
      </c>
      <c r="O9" s="19"/>
      <c r="Q9" s="21"/>
    </row>
    <row r="10" spans="1:17" s="20" customFormat="1" ht="13.5" x14ac:dyDescent="0.25">
      <c r="A10" s="49">
        <v>2015</v>
      </c>
      <c r="B10" s="50">
        <v>7907212.9400000004</v>
      </c>
      <c r="C10" s="51">
        <v>8588561.0400000159</v>
      </c>
      <c r="D10" s="50">
        <f t="shared" si="0"/>
        <v>108.61679210070719</v>
      </c>
      <c r="E10" s="50"/>
      <c r="F10" s="50">
        <f t="shared" si="1"/>
        <v>0</v>
      </c>
      <c r="G10" s="50">
        <f>(E10-C10)+-1770362+-977501</f>
        <v>-11336424.040000016</v>
      </c>
      <c r="H10" s="18">
        <f t="shared" si="2"/>
        <v>-143.36813901460474</v>
      </c>
      <c r="I10" s="18">
        <f t="shared" si="3"/>
        <v>-21441441.803333338</v>
      </c>
      <c r="J10" s="18">
        <f t="shared" si="4"/>
        <v>-696.57839195563952</v>
      </c>
      <c r="K10" s="18">
        <f t="shared" si="5"/>
        <v>-17609563.820000004</v>
      </c>
      <c r="L10" s="18">
        <f t="shared" si="6"/>
        <v>-616.25712825496191</v>
      </c>
      <c r="M10" s="18">
        <f>IF(SUM(G$5:G10)&lt;&gt;0,SUM(G$5:G10)/COUNTIF(G$5:G10,"&lt;&gt;0")," ")</f>
        <v>-17072146.545000002</v>
      </c>
      <c r="N10" s="18">
        <f>IF(SUM(G$5:G10)=0,0,M10*COUNTIF(G$5:G10,"&lt;&gt;0")/(SUM(B$5:B10))*100)</f>
        <v>-656.28661138079906</v>
      </c>
      <c r="O10" s="19"/>
      <c r="P10" s="22"/>
      <c r="Q10" s="21"/>
    </row>
    <row r="11" spans="1:17" s="20" customFormat="1" ht="13.5" x14ac:dyDescent="0.25">
      <c r="A11" s="49">
        <v>2016</v>
      </c>
      <c r="B11" s="50">
        <v>7509387.5999999996</v>
      </c>
      <c r="C11" s="51">
        <v>20455696.230000064</v>
      </c>
      <c r="D11" s="50">
        <f t="shared" si="0"/>
        <v>272.4016566943497</v>
      </c>
      <c r="E11" s="50"/>
      <c r="F11" s="50">
        <f t="shared" si="1"/>
        <v>0</v>
      </c>
      <c r="G11" s="50">
        <f>(E11-C11)+-1757907+-1176658</f>
        <v>-23390261.230000064</v>
      </c>
      <c r="H11" s="18">
        <f t="shared" si="2"/>
        <v>-311.48027610134369</v>
      </c>
      <c r="I11" s="18">
        <f t="shared" si="3"/>
        <v>-20629572.530000027</v>
      </c>
      <c r="J11" s="18">
        <f t="shared" si="4"/>
        <v>-443.59490823601993</v>
      </c>
      <c r="K11" s="18">
        <f t="shared" si="5"/>
        <v>-21279823.926000021</v>
      </c>
      <c r="L11" s="18">
        <f t="shared" si="6"/>
        <v>-513.07675033273097</v>
      </c>
      <c r="M11" s="18">
        <f>IF(SUM(G$5:G11)&lt;&gt;0,SUM(G$5:G11)/COUNTIF(G$5:G11,"&lt;&gt;0")," ")</f>
        <v>-17974734.357142869</v>
      </c>
      <c r="N11" s="18">
        <f>IF(SUM(G$5:G11)=0,0,M11*COUNTIF(G$5:G11,"&lt;&gt;0")/(SUM(B$5:B11))*100)</f>
        <v>-544.28043744511785</v>
      </c>
      <c r="O11" s="19"/>
      <c r="P11" s="22"/>
      <c r="Q11" s="21"/>
    </row>
    <row r="12" spans="1:17" s="20" customFormat="1" ht="13.5" x14ac:dyDescent="0.25">
      <c r="A12" s="49">
        <v>2017</v>
      </c>
      <c r="B12" s="50">
        <v>8040035.29</v>
      </c>
      <c r="C12" s="51"/>
      <c r="D12" s="50">
        <f t="shared" si="0"/>
        <v>0</v>
      </c>
      <c r="E12" s="50"/>
      <c r="F12" s="50">
        <f t="shared" si="1"/>
        <v>0</v>
      </c>
      <c r="G12" s="50">
        <f>(E12-C12)+-1825691+-1648236</f>
        <v>-3473927</v>
      </c>
      <c r="H12" s="18">
        <f t="shared" si="2"/>
        <v>-43.207857611281703</v>
      </c>
      <c r="I12" s="18">
        <f t="shared" si="3"/>
        <v>-12733537.42333336</v>
      </c>
      <c r="J12" s="18">
        <f t="shared" si="4"/>
        <v>-162.85631301460199</v>
      </c>
      <c r="K12" s="18">
        <f t="shared" si="5"/>
        <v>-18237702.728000015</v>
      </c>
      <c r="L12" s="18">
        <f t="shared" si="6"/>
        <v>-367.93671108459853</v>
      </c>
      <c r="M12" s="18">
        <f>IF(SUM(G$5:G12)&lt;&gt;0,SUM(G$5:G12)/COUNTIF(G$5:G12,"&lt;&gt;0")," ")</f>
        <v>-16162133.437500009</v>
      </c>
      <c r="N12" s="18">
        <f>IF(SUM(G$5:G12)=0,0,M12*COUNTIF(G$5:G12,"&lt;&gt;0")/(SUM(B$5:B12))*100)</f>
        <v>-414.98066064098458</v>
      </c>
      <c r="O12" s="19"/>
      <c r="P12" s="22"/>
      <c r="Q12" s="21"/>
    </row>
    <row r="13" spans="1:17" s="20" customFormat="1" ht="13.5" x14ac:dyDescent="0.25">
      <c r="A13" s="49">
        <v>2018</v>
      </c>
      <c r="B13" s="50">
        <v>8388784.4000000004</v>
      </c>
      <c r="C13" s="51"/>
      <c r="D13" s="50">
        <f t="shared" si="0"/>
        <v>0</v>
      </c>
      <c r="E13" s="50"/>
      <c r="F13" s="50">
        <f t="shared" si="1"/>
        <v>0</v>
      </c>
      <c r="G13" s="50">
        <f>(E13-C13)+-1947435+-1575511</f>
        <v>-3522946</v>
      </c>
      <c r="H13" s="18">
        <f t="shared" si="2"/>
        <v>-41.995905866885792</v>
      </c>
      <c r="I13" s="18">
        <f t="shared" si="3"/>
        <v>-10129044.743333355</v>
      </c>
      <c r="J13" s="18">
        <f t="shared" si="4"/>
        <v>-126.93989095287873</v>
      </c>
      <c r="K13" s="18">
        <f t="shared" si="5"/>
        <v>-13777118.118000016</v>
      </c>
      <c r="L13" s="18">
        <f t="shared" si="6"/>
        <v>-226.74316106587349</v>
      </c>
      <c r="M13" s="18">
        <f>IF(SUM(G$5:G13)&lt;&gt;0,SUM(G$5:G13)/COUNTIF(G$5:G13,"&lt;&gt;0")," ")</f>
        <v>-14757779.277777785</v>
      </c>
      <c r="N13" s="18">
        <f>IF(SUM(G$5:G13)=0,0,M13*COUNTIF(G$5:G13,"&lt;&gt;0")/(SUM(B$5:B13))*100)</f>
        <v>-335.86074129160448</v>
      </c>
      <c r="O13" s="19"/>
      <c r="P13" s="22"/>
      <c r="Q13" s="21"/>
    </row>
    <row r="14" spans="1:17" s="20" customFormat="1" ht="13.5" x14ac:dyDescent="0.25">
      <c r="A14" s="49">
        <v>2019</v>
      </c>
      <c r="B14" s="50">
        <v>6875255.6699999999</v>
      </c>
      <c r="C14" s="51"/>
      <c r="D14" s="50">
        <f t="shared" si="0"/>
        <v>0</v>
      </c>
      <c r="E14" s="50"/>
      <c r="F14" s="50">
        <f t="shared" si="1"/>
        <v>0</v>
      </c>
      <c r="G14" s="50">
        <f>(E14-C14)+-1528902+-8788562</f>
        <v>-10317464</v>
      </c>
      <c r="H14" s="18">
        <f t="shared" si="2"/>
        <v>-150.06662290422139</v>
      </c>
      <c r="I14" s="18">
        <f t="shared" si="3"/>
        <v>-5771445.666666667</v>
      </c>
      <c r="J14" s="18">
        <f t="shared" si="4"/>
        <v>-74.297463995155908</v>
      </c>
      <c r="K14" s="18">
        <f t="shared" si="5"/>
        <v>-10408204.454000015</v>
      </c>
      <c r="L14" s="18">
        <f t="shared" si="6"/>
        <v>-134.40112048767224</v>
      </c>
      <c r="M14" s="18">
        <f>IF(SUM(G$5:G14)&lt;&gt;0,SUM(G$5:G14)/COUNTIF(G$5:G14,"&lt;&gt;0")," ")</f>
        <v>-14313747.750000006</v>
      </c>
      <c r="N14" s="18">
        <f>IF(SUM(G$5:G14)=0,0,M14*COUNTIF(G$5:G14,"&lt;&gt;0")/(SUM(B$5:B14))*100)</f>
        <v>-308.34365352245072</v>
      </c>
      <c r="O14" s="19"/>
      <c r="P14" s="22"/>
      <c r="Q14" s="21"/>
    </row>
    <row r="15" spans="1:17" s="20" customFormat="1" ht="13.5" x14ac:dyDescent="0.25">
      <c r="A15" s="49">
        <v>2020</v>
      </c>
      <c r="B15" s="50">
        <v>7814904.2699999996</v>
      </c>
      <c r="C15" s="51"/>
      <c r="D15" s="50">
        <f t="shared" si="0"/>
        <v>0</v>
      </c>
      <c r="E15" s="50"/>
      <c r="F15" s="50">
        <f t="shared" si="1"/>
        <v>0</v>
      </c>
      <c r="G15" s="50">
        <f>(E15-C15)+-20146+-7925902</f>
        <v>-7946048</v>
      </c>
      <c r="H15" s="18">
        <f t="shared" si="2"/>
        <v>-101.67812330732492</v>
      </c>
      <c r="I15" s="18">
        <f t="shared" si="3"/>
        <v>-7262152.666666667</v>
      </c>
      <c r="J15" s="18">
        <f t="shared" si="4"/>
        <v>-94.399716378015242</v>
      </c>
      <c r="K15" s="18">
        <f t="shared" si="5"/>
        <v>-9730129.2460000124</v>
      </c>
      <c r="L15" s="18">
        <f t="shared" si="6"/>
        <v>-125.94538604317825</v>
      </c>
      <c r="M15" s="18">
        <f>IF(SUM(G$5:G15)&lt;&gt;0,SUM(G$5:G15)/COUNTIF(G$5:G15,"&lt;&gt;0")," ")</f>
        <v>-13734865.954545461</v>
      </c>
      <c r="N15" s="18">
        <f>IF(SUM(G$5:G15)=0,0,M15*COUNTIF(G$5:G15,"&lt;&gt;0")/(SUM(B$5:B15))*100)</f>
        <v>-278.56524214989571</v>
      </c>
      <c r="O15" s="19"/>
      <c r="P15" s="22"/>
      <c r="Q15" s="21"/>
    </row>
    <row r="16" spans="1:17" s="20" customFormat="1" ht="13.5" x14ac:dyDescent="0.25">
      <c r="A16" s="49">
        <v>2021</v>
      </c>
      <c r="B16" s="50">
        <v>42462353.5</v>
      </c>
      <c r="C16" s="51"/>
      <c r="D16" s="50"/>
      <c r="E16" s="50"/>
      <c r="F16" s="50"/>
      <c r="G16" s="50">
        <v>-10899614.449999999</v>
      </c>
      <c r="H16" s="18">
        <f t="shared" si="2"/>
        <v>-25.668889149067063</v>
      </c>
      <c r="I16" s="18">
        <f t="shared" si="3"/>
        <v>-9721042.1500000004</v>
      </c>
      <c r="J16" s="18">
        <f t="shared" si="4"/>
        <v>-51.026848505299974</v>
      </c>
      <c r="K16" s="18">
        <f t="shared" si="5"/>
        <v>-7231999.8900000006</v>
      </c>
      <c r="L16" s="18">
        <f t="shared" si="6"/>
        <v>-49.142897949557721</v>
      </c>
      <c r="M16" s="18">
        <f>IF(SUM(G$5:G16)&lt;&gt;0,SUM(G$5:G16)/COUNTIF(G$5:G16,"&lt;&gt;0")," ")</f>
        <v>-13498594.995833337</v>
      </c>
      <c r="N16" s="18">
        <f>IF(SUM(G$5:G16)=0,0,M16*COUNTIF(G$5:G16,"&lt;&gt;0")/(SUM(B$5:B16))*100)</f>
        <v>-167.51330756259898</v>
      </c>
      <c r="O16" s="19"/>
      <c r="P16" s="22"/>
      <c r="Q16" s="21"/>
    </row>
    <row r="17" spans="1:15" s="20" customFormat="1" ht="13.5" x14ac:dyDescent="0.25">
      <c r="A17" s="23"/>
      <c r="B17" s="24"/>
      <c r="C17" s="24"/>
      <c r="D17" s="25"/>
      <c r="E17" s="50"/>
      <c r="F17" s="18"/>
      <c r="G17" s="50"/>
      <c r="H17" s="25"/>
      <c r="I17" s="18"/>
      <c r="J17" s="18"/>
      <c r="K17" s="18"/>
      <c r="L17" s="18"/>
      <c r="M17" s="18"/>
      <c r="N17" s="18"/>
      <c r="O17" s="19"/>
    </row>
    <row r="18" spans="1:15" s="32" customFormat="1" ht="30" customHeight="1" x14ac:dyDescent="0.3">
      <c r="A18" s="26" t="s">
        <v>17</v>
      </c>
      <c r="B18" s="27">
        <f>SUM(B5:B17)</f>
        <v>96698669.679999992</v>
      </c>
      <c r="C18" s="27">
        <f>SUM(C5:C17)</f>
        <v>108556184.50000007</v>
      </c>
      <c r="D18" s="28">
        <f t="shared" si="0"/>
        <v>112.26233500340754</v>
      </c>
      <c r="E18" s="29">
        <f>SUM(E5:E17)</f>
        <v>0</v>
      </c>
      <c r="F18" s="28">
        <f>E18/B18*100</f>
        <v>0</v>
      </c>
      <c r="G18" s="29">
        <f>SUM(G5:G17)</f>
        <v>-161983139.95000005</v>
      </c>
      <c r="H18" s="28">
        <f t="shared" si="2"/>
        <v>-167.51330756259898</v>
      </c>
      <c r="I18" s="30"/>
      <c r="J18" s="30"/>
      <c r="K18" s="30"/>
      <c r="L18" s="30"/>
      <c r="M18" s="30"/>
      <c r="N18" s="30"/>
      <c r="O18" s="31"/>
    </row>
    <row r="20" spans="1:15" x14ac:dyDescent="0.35">
      <c r="B20" s="38"/>
    </row>
    <row r="21" spans="1:15" x14ac:dyDescent="0.35">
      <c r="B21" s="38"/>
    </row>
  </sheetData>
  <conditionalFormatting sqref="A5:XFD16">
    <cfRule type="expression" dxfId="22" priority="2">
      <formula>MOD(ROW(),2)=0</formula>
    </cfRule>
  </conditionalFormatting>
  <conditionalFormatting sqref="A17:XFD18">
    <cfRule type="expression" dxfId="21" priority="1">
      <formula>MOD(ROW(),2)=0</formula>
    </cfRule>
  </conditionalFormatting>
  <printOptions horizontalCentered="1"/>
  <pageMargins left="0.7" right="0.7" top="0.75" bottom="0.75" header="0.3" footer="0.3"/>
  <pageSetup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7FAD-2E8F-49DD-9ECC-64E59777C20E}">
  <dimension ref="A1:Q22"/>
  <sheetViews>
    <sheetView tabSelected="1" view="pageBreakPreview" zoomScale="60" zoomScaleNormal="100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5.81640625" style="34" customWidth="1"/>
    <col min="3" max="3" width="12.54296875" style="34" hidden="1" customWidth="1"/>
    <col min="4" max="6" width="12.54296875" style="35" hidden="1" customWidth="1"/>
    <col min="7" max="7" width="17.08984375" style="35" customWidth="1"/>
    <col min="8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34</v>
      </c>
      <c r="B2" s="40"/>
      <c r="C2" s="40"/>
      <c r="D2" s="40"/>
      <c r="E2" s="40"/>
      <c r="F2" s="40"/>
      <c r="G2" s="46"/>
      <c r="H2" s="41"/>
      <c r="I2" s="42"/>
      <c r="J2" s="42"/>
      <c r="K2" s="6"/>
      <c r="L2" s="6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45"/>
      <c r="K3" s="9"/>
      <c r="L3" s="9"/>
      <c r="M3" s="9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2010</v>
      </c>
      <c r="B5" s="50">
        <v>4360863.4400000004</v>
      </c>
      <c r="C5" s="50"/>
      <c r="D5" s="50"/>
      <c r="E5" s="50"/>
      <c r="F5" s="50"/>
      <c r="G5" s="50">
        <v>-2317753.12</v>
      </c>
      <c r="H5" s="18">
        <f t="shared" ref="H5" si="0">G5/B5*100</f>
        <v>-53.148949786879818</v>
      </c>
      <c r="I5" s="18">
        <f>SUM(G5:G5)/3</f>
        <v>-772584.37333333341</v>
      </c>
      <c r="J5" s="18">
        <f>IF(SUM(B5:B5)=0,0,I5/(SUM(B5:B5)/3)*100)</f>
        <v>-53.148949786879825</v>
      </c>
      <c r="K5" s="18">
        <f>SUM(G5:G5)/5</f>
        <v>-463550.62400000001</v>
      </c>
      <c r="L5" s="18">
        <f>IF(SUM(B5:B5)=0,0,K5/(SUM(B5:B5)/5)*100)</f>
        <v>-53.148949786879818</v>
      </c>
      <c r="M5" s="18">
        <f>IF(SUM(G$5:G5)&lt;&gt;0,SUM(G$5:G5)/COUNTIF(G$5:G5,"&lt;&gt;0")," ")</f>
        <v>-2317753.12</v>
      </c>
      <c r="N5" s="18">
        <f>IF(SUM(G$5:G5)=0,0,M5*COUNTIF(G$5:G5,"&lt;&gt;0")/(SUM(B$5:B5))*100)</f>
        <v>-53.148949786879818</v>
      </c>
      <c r="O5" s="19"/>
      <c r="Q5" s="21"/>
    </row>
    <row r="6" spans="1:17" s="20" customFormat="1" ht="13.5" x14ac:dyDescent="0.25">
      <c r="A6" s="49">
        <v>2011</v>
      </c>
      <c r="B6" s="50">
        <v>3346925.64</v>
      </c>
      <c r="C6" s="50">
        <v>1124059.8800000001</v>
      </c>
      <c r="D6" s="50">
        <f t="shared" ref="D6:D18" si="1">C6/B6*100</f>
        <v>33.584847735069488</v>
      </c>
      <c r="E6" s="50"/>
      <c r="F6" s="50">
        <f t="shared" ref="F6:F15" si="2">E6/B6*100</f>
        <v>0</v>
      </c>
      <c r="G6" s="50">
        <f>(E6-C6)+-2192677</f>
        <v>-3316736.88</v>
      </c>
      <c r="H6" s="18">
        <f t="shared" ref="H6:H18" si="3">G6/B6*100</f>
        <v>-99.09801521613727</v>
      </c>
      <c r="I6" s="18">
        <f>SUM(G5:G6)/3</f>
        <v>-1878163.3333333333</v>
      </c>
      <c r="J6" s="18">
        <f>IF(SUM(B5:B6)=0,0,I6/(SUM(B5:B6)/3)*100)</f>
        <v>-73.10124786133872</v>
      </c>
      <c r="K6" s="18">
        <f>SUM(G5:G6)/5</f>
        <v>-1126898</v>
      </c>
      <c r="L6" s="18">
        <f>IF(SUM(B5:B6)=0,0,K6/(SUM(B5:B6)/5)*100)</f>
        <v>-73.10124786133872</v>
      </c>
      <c r="M6" s="18">
        <f>IF(SUM(G$5:G6)&lt;&gt;0,SUM(G$5:G6)/COUNTIF(G$5:G6,"&lt;&gt;0")," ")</f>
        <v>-2817245</v>
      </c>
      <c r="N6" s="18">
        <f>IF(SUM(G$5:G6)=0,0,M6*COUNTIF(G$5:G6,"&lt;&gt;0")/(SUM(B$5:B6))*100)</f>
        <v>-73.10124786133872</v>
      </c>
      <c r="O6" s="19"/>
      <c r="Q6" s="21"/>
    </row>
    <row r="7" spans="1:17" s="20" customFormat="1" ht="13.5" x14ac:dyDescent="0.25">
      <c r="A7" s="49">
        <v>2012</v>
      </c>
      <c r="B7" s="50">
        <v>7182649.0300000003</v>
      </c>
      <c r="C7" s="50">
        <v>1907317.79</v>
      </c>
      <c r="D7" s="50">
        <f t="shared" si="1"/>
        <v>26.5545174493929</v>
      </c>
      <c r="E7" s="50"/>
      <c r="F7" s="50">
        <f t="shared" si="2"/>
        <v>0</v>
      </c>
      <c r="G7" s="50">
        <f>(E7-C7)+-2158213</f>
        <v>-4065530.79</v>
      </c>
      <c r="H7" s="18">
        <f t="shared" si="3"/>
        <v>-56.602108400666204</v>
      </c>
      <c r="I7" s="18">
        <f t="shared" ref="I7:I16" si="4">SUM(G5:G7)/3</f>
        <v>-3233340.2633333332</v>
      </c>
      <c r="J7" s="18">
        <f t="shared" ref="J7:J16" si="5">IF(SUM(B5:B7)=0,0,I7/(SUM(B5:B7)/3)*100)</f>
        <v>-65.142615135586496</v>
      </c>
      <c r="K7" s="18">
        <f>SUM(G5:G7)/5</f>
        <v>-1940004.1579999998</v>
      </c>
      <c r="L7" s="18">
        <f>IF(SUM(B5:B7)=0,0,K7/(SUM(B5:B7)/5)*100)</f>
        <v>-65.142615135586496</v>
      </c>
      <c r="M7" s="18">
        <f>IF(SUM(G$5:G7)&lt;&gt;0,SUM(G$5:G7)/COUNTIF(G$5:G7,"&lt;&gt;0")," ")</f>
        <v>-3233340.2633333332</v>
      </c>
      <c r="N7" s="18">
        <f>IF(SUM(G$5:G7)=0,0,M7*COUNTIF(G$5:G7,"&lt;&gt;0")/(SUM(B$5:B7))*100)</f>
        <v>-65.142615135586496</v>
      </c>
      <c r="O7" s="19"/>
      <c r="Q7" s="21"/>
    </row>
    <row r="8" spans="1:17" s="20" customFormat="1" ht="13.5" x14ac:dyDescent="0.25">
      <c r="A8" s="49">
        <v>2013</v>
      </c>
      <c r="B8" s="50">
        <v>3102447.23</v>
      </c>
      <c r="C8" s="50">
        <v>4147570.91</v>
      </c>
      <c r="D8" s="50">
        <f t="shared" si="1"/>
        <v>133.6870735429076</v>
      </c>
      <c r="E8" s="50"/>
      <c r="F8" s="50">
        <f t="shared" si="2"/>
        <v>0</v>
      </c>
      <c r="G8" s="50">
        <f>(E8-C8)+-3022387</f>
        <v>-7169957.9100000001</v>
      </c>
      <c r="H8" s="18">
        <f t="shared" si="3"/>
        <v>-231.1065226401933</v>
      </c>
      <c r="I8" s="18">
        <f t="shared" si="4"/>
        <v>-4850741.8600000003</v>
      </c>
      <c r="J8" s="18">
        <f t="shared" si="5"/>
        <v>-106.75030957806781</v>
      </c>
      <c r="K8" s="18">
        <f>SUM(G5:G8)/5</f>
        <v>-3373995.7399999998</v>
      </c>
      <c r="L8" s="18">
        <f>IF(SUM(B5:B8)=0,0,K8/(SUM(B5:B8)/5)*100)</f>
        <v>-93.759163031491866</v>
      </c>
      <c r="M8" s="18">
        <f>IF(SUM(G$5:G8)&lt;&gt;0,SUM(G$5:G8)/COUNTIF(G$5:G8,"&lt;&gt;0")," ")</f>
        <v>-4217494.6749999998</v>
      </c>
      <c r="N8" s="18">
        <f>IF(SUM(G$5:G8)=0,0,M8*COUNTIF(G$5:G8,"&lt;&gt;0")/(SUM(B$5:B8))*100)</f>
        <v>-93.759163031491866</v>
      </c>
      <c r="O8" s="19"/>
      <c r="Q8" s="21"/>
    </row>
    <row r="9" spans="1:17" s="20" customFormat="1" ht="13.5" x14ac:dyDescent="0.25">
      <c r="A9" s="49">
        <v>2014</v>
      </c>
      <c r="B9" s="50">
        <v>5287829.74</v>
      </c>
      <c r="C9" s="50">
        <v>1826648.91</v>
      </c>
      <c r="D9" s="50">
        <f t="shared" si="1"/>
        <v>34.544397225618688</v>
      </c>
      <c r="E9" s="50"/>
      <c r="F9" s="50">
        <f t="shared" si="2"/>
        <v>0</v>
      </c>
      <c r="G9" s="50">
        <f>(E9-C9)+-3454778</f>
        <v>-5281426.91</v>
      </c>
      <c r="H9" s="18">
        <f t="shared" si="3"/>
        <v>-99.878913839612395</v>
      </c>
      <c r="I9" s="18">
        <f t="shared" si="4"/>
        <v>-5505638.5366666662</v>
      </c>
      <c r="J9" s="18">
        <f t="shared" si="5"/>
        <v>-106.06173566868551</v>
      </c>
      <c r="K9" s="18">
        <f t="shared" ref="K9:K16" si="6">SUM(G5:G9)/5</f>
        <v>-4430281.1219999995</v>
      </c>
      <c r="L9" s="18">
        <f t="shared" ref="L9:L16" si="7">IF(SUM(B5:B9)=0,0,K9/(SUM(B5:B9)/5)*100)</f>
        <v>-95.149163304824043</v>
      </c>
      <c r="M9" s="18">
        <f>IF(SUM(G$5:G9)&lt;&gt;0,SUM(G$5:G9)/COUNTIF(G$5:G9,"&lt;&gt;0")," ")</f>
        <v>-4430281.1219999995</v>
      </c>
      <c r="N9" s="18">
        <f>IF(SUM(G$5:G9)=0,0,M9*COUNTIF(G$5:G9,"&lt;&gt;0")/(SUM(B$5:B9))*100)</f>
        <v>-95.149163304824057</v>
      </c>
      <c r="O9" s="19"/>
      <c r="Q9" s="21"/>
    </row>
    <row r="10" spans="1:17" s="20" customFormat="1" ht="13.5" x14ac:dyDescent="0.25">
      <c r="A10" s="49">
        <v>2015</v>
      </c>
      <c r="B10" s="50">
        <v>4572995.34</v>
      </c>
      <c r="C10" s="50">
        <v>1485259.0100000061</v>
      </c>
      <c r="D10" s="50">
        <f t="shared" si="1"/>
        <v>32.47890932685722</v>
      </c>
      <c r="E10" s="50"/>
      <c r="F10" s="50">
        <f t="shared" si="2"/>
        <v>0</v>
      </c>
      <c r="G10" s="50">
        <f>(E10-C10)+-3506803</f>
        <v>-4992062.0100000063</v>
      </c>
      <c r="H10" s="18">
        <f t="shared" si="3"/>
        <v>-109.16394264246082</v>
      </c>
      <c r="I10" s="18">
        <f t="shared" si="4"/>
        <v>-5814482.2766666682</v>
      </c>
      <c r="J10" s="18">
        <f t="shared" si="5"/>
        <v>-134.56052154781898</v>
      </c>
      <c r="K10" s="18">
        <f t="shared" si="6"/>
        <v>-4965142.9000000013</v>
      </c>
      <c r="L10" s="18">
        <f t="shared" si="7"/>
        <v>-105.67350360360628</v>
      </c>
      <c r="M10" s="18">
        <f>IF(SUM(G$5:G10)&lt;&gt;0,SUM(G$5:G10)/COUNTIF(G$5:G10,"&lt;&gt;0")," ")</f>
        <v>-4523911.2700000005</v>
      </c>
      <c r="N10" s="18">
        <f>IF(SUM(G$5:G10)=0,0,M10*COUNTIF(G$5:G10,"&lt;&gt;0")/(SUM(B$5:B10))*100)</f>
        <v>-97.450096273385483</v>
      </c>
      <c r="O10" s="19"/>
      <c r="P10" s="22"/>
      <c r="Q10" s="21"/>
    </row>
    <row r="11" spans="1:17" s="20" customFormat="1" ht="13.5" x14ac:dyDescent="0.25">
      <c r="A11" s="49">
        <v>2016</v>
      </c>
      <c r="B11" s="50">
        <v>4235834.18</v>
      </c>
      <c r="C11" s="50">
        <v>11426418.489999998</v>
      </c>
      <c r="D11" s="50">
        <f t="shared" si="1"/>
        <v>269.75603870310147</v>
      </c>
      <c r="E11" s="50"/>
      <c r="F11" s="50">
        <f t="shared" si="2"/>
        <v>0</v>
      </c>
      <c r="G11" s="50">
        <f>(E11-C11)+-2824054</f>
        <v>-14250472.489999998</v>
      </c>
      <c r="H11" s="18">
        <f t="shared" si="3"/>
        <v>-336.42659000404967</v>
      </c>
      <c r="I11" s="18">
        <f t="shared" si="4"/>
        <v>-8174653.8033333346</v>
      </c>
      <c r="J11" s="18">
        <f t="shared" si="5"/>
        <v>-173.97002337701397</v>
      </c>
      <c r="K11" s="18">
        <f t="shared" si="6"/>
        <v>-7151890.0219999999</v>
      </c>
      <c r="L11" s="18">
        <f t="shared" si="7"/>
        <v>-146.66478827034027</v>
      </c>
      <c r="M11" s="18">
        <f>IF(SUM(G$5:G11)&lt;&gt;0,SUM(G$5:G11)/COUNTIF(G$5:G11,"&lt;&gt;0")," ")</f>
        <v>-5913420.0157142859</v>
      </c>
      <c r="N11" s="18">
        <f>IF(SUM(G$5:G11)=0,0,M11*COUNTIF(G$5:G11,"&lt;&gt;0")/(SUM(B$5:B11))*100)</f>
        <v>-128.99509988683354</v>
      </c>
      <c r="O11" s="19"/>
      <c r="P11" s="22"/>
      <c r="Q11" s="21"/>
    </row>
    <row r="12" spans="1:17" s="20" customFormat="1" ht="13.5" x14ac:dyDescent="0.25">
      <c r="A12" s="49">
        <v>2017</v>
      </c>
      <c r="B12" s="50">
        <f>2089684.88+4757462</f>
        <v>6847146.8799999999</v>
      </c>
      <c r="C12" s="50"/>
      <c r="D12" s="50">
        <f t="shared" si="1"/>
        <v>0</v>
      </c>
      <c r="E12" s="50"/>
      <c r="F12" s="50">
        <f t="shared" si="2"/>
        <v>0</v>
      </c>
      <c r="G12" s="50">
        <f>(E12-C12)+-3231587</f>
        <v>-3231587</v>
      </c>
      <c r="H12" s="18">
        <f t="shared" si="3"/>
        <v>-47.196110389266252</v>
      </c>
      <c r="I12" s="18">
        <f t="shared" si="4"/>
        <v>-7491373.8333333349</v>
      </c>
      <c r="J12" s="18">
        <f t="shared" si="5"/>
        <v>-143.54979163100938</v>
      </c>
      <c r="K12" s="18">
        <f t="shared" si="6"/>
        <v>-6985101.2640000014</v>
      </c>
      <c r="L12" s="18">
        <f t="shared" si="7"/>
        <v>-145.24302718848048</v>
      </c>
      <c r="M12" s="18">
        <f>IF(SUM(G$5:G12)&lt;&gt;0,SUM(G$5:G12)/COUNTIF(G$5:G12,"&lt;&gt;0")," ")</f>
        <v>-5578190.8887499999</v>
      </c>
      <c r="N12" s="18">
        <f>IF(SUM(G$5:G12)=0,0,M12*COUNTIF(G$5:G12,"&lt;&gt;0")/(SUM(B$5:B12))*100)</f>
        <v>-114.61047514250691</v>
      </c>
      <c r="O12" s="19"/>
      <c r="P12" s="22"/>
      <c r="Q12" s="21"/>
    </row>
    <row r="13" spans="1:17" s="20" customFormat="1" ht="13.5" x14ac:dyDescent="0.25">
      <c r="A13" s="49">
        <v>2018</v>
      </c>
      <c r="B13" s="50">
        <f>5971147.24+2501389</f>
        <v>8472536.2400000002</v>
      </c>
      <c r="C13" s="50"/>
      <c r="D13" s="50">
        <f t="shared" si="1"/>
        <v>0</v>
      </c>
      <c r="E13" s="50"/>
      <c r="F13" s="50">
        <f t="shared" si="2"/>
        <v>0</v>
      </c>
      <c r="G13" s="50">
        <f>(E13-C13)+-2725547</f>
        <v>-2725547</v>
      </c>
      <c r="H13" s="18">
        <f t="shared" si="3"/>
        <v>-32.169198487842642</v>
      </c>
      <c r="I13" s="18">
        <f t="shared" si="4"/>
        <v>-6735868.8299999991</v>
      </c>
      <c r="J13" s="18">
        <f t="shared" si="5"/>
        <v>-103.33455351753851</v>
      </c>
      <c r="K13" s="18">
        <f t="shared" si="6"/>
        <v>-6096219.0820000004</v>
      </c>
      <c r="L13" s="18">
        <f t="shared" si="7"/>
        <v>-103.6195969446015</v>
      </c>
      <c r="M13" s="18">
        <f>IF(SUM(G$5:G13)&lt;&gt;0,SUM(G$5:G13)/COUNTIF(G$5:G13,"&lt;&gt;0")," ")</f>
        <v>-5261230.456666667</v>
      </c>
      <c r="N13" s="18">
        <f>IF(SUM(G$5:G13)=0,0,M13*COUNTIF(G$5:G13,"&lt;&gt;0")/(SUM(B$5:B13))*100)</f>
        <v>-99.877336938826645</v>
      </c>
      <c r="O13" s="19"/>
      <c r="P13" s="22"/>
      <c r="Q13" s="21"/>
    </row>
    <row r="14" spans="1:17" s="20" customFormat="1" ht="13.5" x14ac:dyDescent="0.25">
      <c r="A14" s="49">
        <v>2019</v>
      </c>
      <c r="B14" s="50">
        <f>34087415.74+930744</f>
        <v>35018159.740000002</v>
      </c>
      <c r="C14" s="50"/>
      <c r="D14" s="50">
        <f t="shared" si="1"/>
        <v>0</v>
      </c>
      <c r="E14" s="50"/>
      <c r="F14" s="50">
        <f t="shared" si="2"/>
        <v>0</v>
      </c>
      <c r="G14" s="50">
        <f>(E14-C14)+-13034131</f>
        <v>-13034131</v>
      </c>
      <c r="H14" s="18">
        <f t="shared" si="3"/>
        <v>-37.221062148253253</v>
      </c>
      <c r="I14" s="18">
        <f t="shared" si="4"/>
        <v>-6330421.666666667</v>
      </c>
      <c r="J14" s="18">
        <f t="shared" si="5"/>
        <v>-37.727609927224442</v>
      </c>
      <c r="K14" s="18">
        <f t="shared" si="6"/>
        <v>-7646759.9000000004</v>
      </c>
      <c r="L14" s="18">
        <f t="shared" si="7"/>
        <v>-64.64235089061151</v>
      </c>
      <c r="M14" s="18">
        <f>IF(SUM(G$5:G14)&lt;&gt;0,SUM(G$5:G14)/COUNTIF(G$5:G14,"&lt;&gt;0")," ")</f>
        <v>-6038520.5109999999</v>
      </c>
      <c r="N14" s="18">
        <f>IF(SUM(G$5:G14)=0,0,M14*COUNTIF(G$5:G14,"&lt;&gt;0")/(SUM(B$5:B14))*100)</f>
        <v>-73.258666774199853</v>
      </c>
      <c r="O14" s="19"/>
      <c r="P14" s="22"/>
      <c r="Q14" s="21"/>
    </row>
    <row r="15" spans="1:17" s="20" customFormat="1" ht="13.5" x14ac:dyDescent="0.25">
      <c r="A15" s="49">
        <v>2020</v>
      </c>
      <c r="B15" s="50">
        <f>4706416.01+1709864</f>
        <v>6416280.0099999998</v>
      </c>
      <c r="C15" s="50"/>
      <c r="D15" s="50">
        <f t="shared" si="1"/>
        <v>0</v>
      </c>
      <c r="E15" s="50"/>
      <c r="F15" s="50">
        <f t="shared" si="2"/>
        <v>0</v>
      </c>
      <c r="G15" s="50">
        <f>(E15-C15)+-9551132</f>
        <v>-9551132</v>
      </c>
      <c r="H15" s="18">
        <f t="shared" si="3"/>
        <v>-148.85778028880009</v>
      </c>
      <c r="I15" s="18">
        <f t="shared" si="4"/>
        <v>-8436936.666666666</v>
      </c>
      <c r="J15" s="18">
        <f t="shared" si="5"/>
        <v>-50.715976069300609</v>
      </c>
      <c r="K15" s="18">
        <f t="shared" si="6"/>
        <v>-8558573.8979999982</v>
      </c>
      <c r="L15" s="18">
        <f t="shared" si="7"/>
        <v>-70.163796729546959</v>
      </c>
      <c r="M15" s="18">
        <f>IF(SUM(G$5:G15)&lt;&gt;0,SUM(G$5:G15)/COUNTIF(G$5:G15,"&lt;&gt;0")," ")</f>
        <v>-6357848.8281818181</v>
      </c>
      <c r="N15" s="18">
        <f>IF(SUM(G$5:G15)=0,0,M15*COUNTIF(G$5:G15,"&lt;&gt;0")/(SUM(B$5:B15))*100)</f>
        <v>-78.718426536832823</v>
      </c>
      <c r="O15" s="19"/>
      <c r="P15" s="22"/>
      <c r="Q15" s="21"/>
    </row>
    <row r="16" spans="1:17" s="20" customFormat="1" ht="13.5" x14ac:dyDescent="0.25">
      <c r="A16" s="49">
        <v>2021</v>
      </c>
      <c r="B16" s="50">
        <v>72313113.069999993</v>
      </c>
      <c r="C16" s="50"/>
      <c r="D16" s="50"/>
      <c r="E16" s="50"/>
      <c r="F16" s="50"/>
      <c r="G16" s="50">
        <v>-15051673.67</v>
      </c>
      <c r="H16" s="18">
        <f t="shared" si="3"/>
        <v>-20.814584009721436</v>
      </c>
      <c r="I16" s="18">
        <f t="shared" si="4"/>
        <v>-12545645.556666667</v>
      </c>
      <c r="J16" s="18">
        <f t="shared" si="5"/>
        <v>-33.088128699839928</v>
      </c>
      <c r="K16" s="18">
        <f t="shared" si="6"/>
        <v>-8718814.1339999996</v>
      </c>
      <c r="L16" s="18">
        <f t="shared" si="7"/>
        <v>-33.77624875322018</v>
      </c>
      <c r="M16" s="18">
        <f>IF(SUM(G$5:G16)&lt;&gt;0,SUM(G$5:G16)/COUNTIF(G$5:G16,"&lt;&gt;0")," ")</f>
        <v>-7082334.2316666665</v>
      </c>
      <c r="N16" s="18">
        <f>IF(SUM(G$5:G16)=0,0,M16*COUNTIF(G$5:G16,"&lt;&gt;0")/(SUM(B$5:B16))*100)</f>
        <v>-52.736230207146328</v>
      </c>
      <c r="O16" s="19"/>
      <c r="P16" s="22"/>
      <c r="Q16" s="21"/>
    </row>
    <row r="17" spans="1:15" s="20" customFormat="1" ht="13.5" x14ac:dyDescent="0.25">
      <c r="A17" s="23"/>
      <c r="B17" s="24"/>
      <c r="C17" s="24"/>
      <c r="D17" s="25"/>
      <c r="E17" s="50"/>
      <c r="F17" s="18"/>
      <c r="G17" s="50"/>
      <c r="H17" s="25"/>
      <c r="I17" s="18"/>
      <c r="J17" s="18"/>
      <c r="K17" s="18"/>
      <c r="L17" s="18"/>
      <c r="M17" s="18"/>
      <c r="N17" s="18"/>
      <c r="O17" s="19"/>
    </row>
    <row r="18" spans="1:15" s="32" customFormat="1" ht="30" customHeight="1" x14ac:dyDescent="0.3">
      <c r="A18" s="26" t="s">
        <v>17</v>
      </c>
      <c r="B18" s="27">
        <f>SUM(B6:B17)</f>
        <v>156795917.10000002</v>
      </c>
      <c r="C18" s="27">
        <f>SUM(C6:C17)</f>
        <v>21917274.990000002</v>
      </c>
      <c r="D18" s="28">
        <f t="shared" si="1"/>
        <v>13.978217925165604</v>
      </c>
      <c r="E18" s="29">
        <f>SUM(E6:E17)</f>
        <v>0</v>
      </c>
      <c r="F18" s="28">
        <f>E18/B18*100</f>
        <v>0</v>
      </c>
      <c r="G18" s="29">
        <f>SUM(G6:G17)</f>
        <v>-82670257.660000011</v>
      </c>
      <c r="H18" s="28">
        <f t="shared" si="3"/>
        <v>-52.724751504387221</v>
      </c>
      <c r="I18" s="30"/>
      <c r="J18" s="30"/>
      <c r="K18" s="30"/>
      <c r="L18" s="30"/>
      <c r="M18" s="30"/>
      <c r="N18" s="30"/>
      <c r="O18" s="31"/>
    </row>
    <row r="20" spans="1:15" x14ac:dyDescent="0.35">
      <c r="B20" s="38"/>
    </row>
    <row r="21" spans="1:15" hidden="1" x14ac:dyDescent="0.35">
      <c r="B21" s="38" t="s">
        <v>35</v>
      </c>
      <c r="C21" s="39">
        <v>-41</v>
      </c>
    </row>
    <row r="22" spans="1:15" x14ac:dyDescent="0.35">
      <c r="B22" s="38"/>
    </row>
  </sheetData>
  <conditionalFormatting sqref="A6:H16 H5 I5:L16 N5:XFD16 M5:M17">
    <cfRule type="expression" dxfId="20" priority="14">
      <formula>MOD(ROW(),2)=0</formula>
    </cfRule>
  </conditionalFormatting>
  <conditionalFormatting sqref="A18:XFD18 A17:L17 N17:XFD17">
    <cfRule type="expression" dxfId="19" priority="13">
      <formula>MOD(ROW(),2)=0</formula>
    </cfRule>
  </conditionalFormatting>
  <conditionalFormatting sqref="A5:F5">
    <cfRule type="expression" dxfId="18" priority="9">
      <formula>MOD(ROW(),2)=0</formula>
    </cfRule>
  </conditionalFormatting>
  <conditionalFormatting sqref="G5">
    <cfRule type="expression" dxfId="17" priority="8">
      <formula>MOD(ROW(),2)=0</formula>
    </cfRule>
  </conditionalFormatting>
  <printOptions horizontalCentered="1"/>
  <pageMargins left="0.7" right="0.7" top="0.75" bottom="0.75" header="0.3" footer="0.3"/>
  <pageSetup scale="8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7CBEA-2EE1-4149-B8C7-3311672E1DC2}">
  <dimension ref="A1:BA21"/>
  <sheetViews>
    <sheetView tabSelected="1" view="pageBreakPreview" zoomScale="60" zoomScaleNormal="100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6.1796875" style="34" bestFit="1" customWidth="1"/>
    <col min="3" max="3" width="12.54296875" style="34" hidden="1" customWidth="1"/>
    <col min="4" max="6" width="12.54296875" style="35" hidden="1" customWidth="1"/>
    <col min="7" max="7" width="15.54296875" style="35" customWidth="1"/>
    <col min="8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53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53" s="8" customFormat="1" ht="17.5" x14ac:dyDescent="0.35">
      <c r="A2" s="40" t="s">
        <v>36</v>
      </c>
      <c r="B2" s="40"/>
      <c r="C2" s="40"/>
      <c r="D2" s="40"/>
      <c r="E2" s="40"/>
      <c r="F2" s="40"/>
      <c r="G2" s="47"/>
      <c r="H2" s="41"/>
      <c r="I2" s="6"/>
      <c r="J2" s="6"/>
      <c r="K2" s="6"/>
      <c r="L2" s="6"/>
      <c r="M2" s="6"/>
      <c r="N2" s="6"/>
      <c r="O2" s="7"/>
    </row>
    <row r="3" spans="1:53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9"/>
      <c r="J3" s="9"/>
      <c r="K3" s="9"/>
      <c r="L3" s="9"/>
      <c r="M3" s="9"/>
      <c r="N3" s="9"/>
      <c r="O3" s="10"/>
    </row>
    <row r="4" spans="1:53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53" s="16" customFormat="1" ht="13.5" x14ac:dyDescent="0.25">
      <c r="A5" s="49">
        <v>2010</v>
      </c>
      <c r="B5" s="50">
        <v>1600042.21</v>
      </c>
      <c r="C5" s="50"/>
      <c r="D5" s="50"/>
      <c r="E5" s="50"/>
      <c r="F5" s="50"/>
      <c r="G5" s="50">
        <v>-253759</v>
      </c>
      <c r="H5" s="18"/>
      <c r="I5" s="18"/>
      <c r="J5" s="18"/>
      <c r="K5" s="18"/>
      <c r="L5" s="18"/>
      <c r="M5" s="18">
        <f>IF(SUM(G5:G$5)&lt;&gt;0,SUM(G5:G$5)/COUNTIF(G5:G$5,"&lt;&gt;0")," ")</f>
        <v>-253759</v>
      </c>
      <c r="N5" s="18">
        <f>IF(SUM(G5:G$5)=0,0,M5*COUNTIF(G5:G$5,"&lt;&gt;0")/(SUM(B5:B$5))*100)</f>
        <v>-15.859519106061585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</row>
    <row r="6" spans="1:53" s="20" customFormat="1" ht="13.5" x14ac:dyDescent="0.25">
      <c r="A6" s="49">
        <v>2011</v>
      </c>
      <c r="B6" s="50">
        <v>1091769.58</v>
      </c>
      <c r="C6" s="50">
        <v>564318.1</v>
      </c>
      <c r="D6" s="50">
        <f t="shared" ref="D6:D18" si="0">C6/B6*100</f>
        <v>51.688388313585357</v>
      </c>
      <c r="E6" s="50"/>
      <c r="F6" s="50">
        <f t="shared" ref="F6:F15" si="1">E6/B6*100</f>
        <v>0</v>
      </c>
      <c r="G6" s="50">
        <f>(E6-C6)+-171901</f>
        <v>-736219.1</v>
      </c>
      <c r="H6" s="18">
        <f t="shared" ref="H6:H18" si="2">G6/B6*100</f>
        <v>-67.433560477110916</v>
      </c>
      <c r="I6" s="18"/>
      <c r="J6" s="18"/>
      <c r="K6" s="18"/>
      <c r="L6" s="18"/>
      <c r="M6" s="18">
        <f>IF(SUM(G$6:G6)&lt;&gt;0,SUM(G$6:G6)/COUNTIF(G$6:G6,"&lt;&gt;0")," ")</f>
        <v>-736219.1</v>
      </c>
      <c r="N6" s="18">
        <f>IF(SUM(G$6:G6)=0,0,M6*COUNTIF(G$6:G6,"&lt;&gt;0")/(SUM(B$6:B6))*100)</f>
        <v>-67.433560477110916</v>
      </c>
      <c r="O6" s="19"/>
      <c r="Q6" s="21"/>
    </row>
    <row r="7" spans="1:53" s="20" customFormat="1" ht="13.5" x14ac:dyDescent="0.25">
      <c r="A7" s="49">
        <v>2012</v>
      </c>
      <c r="B7" s="50">
        <v>3518233.27</v>
      </c>
      <c r="C7" s="50">
        <v>607040.16</v>
      </c>
      <c r="D7" s="50">
        <f t="shared" si="0"/>
        <v>17.254119139178055</v>
      </c>
      <c r="E7" s="50"/>
      <c r="F7" s="50">
        <f t="shared" si="1"/>
        <v>0</v>
      </c>
      <c r="G7" s="50">
        <f>(E7-C7)+-170603</f>
        <v>-777643.16</v>
      </c>
      <c r="H7" s="18">
        <f t="shared" si="2"/>
        <v>-22.103229101690577</v>
      </c>
      <c r="I7" s="18">
        <f t="shared" ref="I7" si="3">SUM(G5:G7)/3</f>
        <v>-589207.08666666667</v>
      </c>
      <c r="J7" s="18">
        <f t="shared" ref="J7" si="4">IF(SUM(B5:B7)=0,0,I7/(SUM(B5:B7)/3)*100)</f>
        <v>-28.463903931801742</v>
      </c>
      <c r="K7" s="18"/>
      <c r="L7" s="18"/>
      <c r="M7" s="18">
        <f>IF(SUM(G$6:G7)&lt;&gt;0,SUM(G$6:G7)/COUNTIF(G$6:G7,"&lt;&gt;0")," ")</f>
        <v>-756931.13</v>
      </c>
      <c r="N7" s="18">
        <f>IF(SUM(G$6:G7)=0,0,M7*COUNTIF(G$6:G7,"&lt;&gt;0")/(SUM(B$6:B7))*100)</f>
        <v>-32.838640435981517</v>
      </c>
      <c r="O7" s="19"/>
      <c r="Q7" s="21"/>
    </row>
    <row r="8" spans="1:53" s="20" customFormat="1" ht="13.5" x14ac:dyDescent="0.25">
      <c r="A8" s="49">
        <v>2013</v>
      </c>
      <c r="B8" s="50">
        <v>1730742.42</v>
      </c>
      <c r="C8" s="50">
        <v>2975875.98</v>
      </c>
      <c r="D8" s="50">
        <f t="shared" si="0"/>
        <v>171.94216456542389</v>
      </c>
      <c r="E8" s="50">
        <v>101889.19</v>
      </c>
      <c r="F8" s="50">
        <f t="shared" si="1"/>
        <v>5.8870221716758984</v>
      </c>
      <c r="G8" s="50">
        <f>(E8-C8)+-163829</f>
        <v>-3037815.79</v>
      </c>
      <c r="H8" s="18">
        <f t="shared" si="2"/>
        <v>-175.52096458119979</v>
      </c>
      <c r="I8" s="18">
        <f t="shared" ref="I8:I16" si="5">SUM(G6:G8)/3</f>
        <v>-1517226.0166666666</v>
      </c>
      <c r="J8" s="18">
        <f t="shared" ref="J8:J16" si="6">IF(SUM(B6:B8)=0,0,I8/(SUM(B6:B8)/3)*100)</f>
        <v>-71.784590867186822</v>
      </c>
      <c r="K8" s="18"/>
      <c r="L8" s="18"/>
      <c r="M8" s="18">
        <f>IF(SUM(G$6:G8)&lt;&gt;0,SUM(G$6:G8)/COUNTIF(G$6:G8,"&lt;&gt;0")," ")</f>
        <v>-1517226.0166666666</v>
      </c>
      <c r="N8" s="18">
        <f>IF(SUM(G$6:G8)=0,0,M8*COUNTIF(G$6:G8,"&lt;&gt;0")/(SUM(B$6:B8))*100)</f>
        <v>-71.784590867186822</v>
      </c>
      <c r="O8" s="19"/>
      <c r="Q8" s="21"/>
    </row>
    <row r="9" spans="1:53" s="20" customFormat="1" ht="13.5" x14ac:dyDescent="0.25">
      <c r="A9" s="49">
        <v>2014</v>
      </c>
      <c r="B9" s="50">
        <v>1690218.97</v>
      </c>
      <c r="C9" s="50">
        <v>2169261.79</v>
      </c>
      <c r="D9" s="50">
        <f t="shared" si="0"/>
        <v>128.34205676912975</v>
      </c>
      <c r="E9" s="50">
        <v>69549.59</v>
      </c>
      <c r="F9" s="50">
        <f t="shared" si="1"/>
        <v>4.1148272049035155</v>
      </c>
      <c r="G9" s="50">
        <f>(E9-C9)+-291327</f>
        <v>-2391039.2000000002</v>
      </c>
      <c r="H9" s="18">
        <f t="shared" si="2"/>
        <v>-141.46328034645123</v>
      </c>
      <c r="I9" s="18">
        <f t="shared" si="5"/>
        <v>-2068832.7166666668</v>
      </c>
      <c r="J9" s="18">
        <f t="shared" si="6"/>
        <v>-89.441188121965752</v>
      </c>
      <c r="K9" s="18">
        <f t="shared" ref="K9" si="7">SUM(G5:G9)/5</f>
        <v>-1439295.25</v>
      </c>
      <c r="L9" s="18">
        <f t="shared" ref="L9" si="8">IF(SUM(B5:B9)=0,0,K9/(SUM(B5:B9)/5)*100)</f>
        <v>-74.721954422530771</v>
      </c>
      <c r="M9" s="18">
        <f>IF(SUM(G$6:G9)&lt;&gt;0,SUM(G$6:G9)/COUNTIF(G$6:G9,"&lt;&gt;0")," ")</f>
        <v>-1735679.3125</v>
      </c>
      <c r="N9" s="18">
        <f>IF(SUM(G$6:G9)=0,0,M9*COUNTIF(G$6:G9,"&lt;&gt;0")/(SUM(B$6:B9))*100)</f>
        <v>-86.449360780617795</v>
      </c>
      <c r="O9" s="19"/>
      <c r="Q9" s="21"/>
    </row>
    <row r="10" spans="1:53" s="20" customFormat="1" ht="13.5" x14ac:dyDescent="0.25">
      <c r="A10" s="49">
        <v>2015</v>
      </c>
      <c r="B10" s="50">
        <v>1384802.06</v>
      </c>
      <c r="C10" s="50">
        <v>2991430.4299999997</v>
      </c>
      <c r="D10" s="50">
        <f t="shared" si="0"/>
        <v>216.01862940614049</v>
      </c>
      <c r="E10" s="50"/>
      <c r="F10" s="50">
        <f t="shared" si="1"/>
        <v>0</v>
      </c>
      <c r="G10" s="50">
        <f>(E10-C10)+-302036</f>
        <v>-3293466.4299999997</v>
      </c>
      <c r="H10" s="18">
        <f t="shared" si="2"/>
        <v>-237.8293999649307</v>
      </c>
      <c r="I10" s="18">
        <f t="shared" si="5"/>
        <v>-2907440.4733333332</v>
      </c>
      <c r="J10" s="18">
        <f t="shared" si="6"/>
        <v>-181.49710260915987</v>
      </c>
      <c r="K10" s="18">
        <f t="shared" ref="K10:K16" si="9">SUM(G6:G10)/5</f>
        <v>-2047236.736</v>
      </c>
      <c r="L10" s="18">
        <f t="shared" ref="L10:L16" si="10">IF(SUM(B6:B10)=0,0,K10/(SUM(B6:B10)/5)*100)</f>
        <v>-108.71323006391951</v>
      </c>
      <c r="M10" s="18">
        <f>IF(SUM(G$6:G10)&lt;&gt;0,SUM(G$6:G10)/COUNTIF(G$6:G10,"&lt;&gt;0")," ")</f>
        <v>-2047236.736</v>
      </c>
      <c r="N10" s="18">
        <f>IF(SUM(G$6:G10)=0,0,M10*COUNTIF(G$6:G10,"&lt;&gt;0")/(SUM(B$6:B10))*100)</f>
        <v>-108.71323006391951</v>
      </c>
      <c r="O10" s="19"/>
      <c r="P10" s="22"/>
      <c r="Q10" s="21"/>
    </row>
    <row r="11" spans="1:53" s="20" customFormat="1" ht="13.5" x14ac:dyDescent="0.25">
      <c r="A11" s="49">
        <v>2016</v>
      </c>
      <c r="B11" s="50">
        <v>1607231.93</v>
      </c>
      <c r="C11" s="50">
        <v>9539755.8300000001</v>
      </c>
      <c r="D11" s="50">
        <f t="shared" si="0"/>
        <v>593.55191070650278</v>
      </c>
      <c r="E11" s="50"/>
      <c r="F11" s="50">
        <f t="shared" si="1"/>
        <v>0</v>
      </c>
      <c r="G11" s="50">
        <f>(E11-C11)+-410798</f>
        <v>-9950553.8300000001</v>
      </c>
      <c r="H11" s="18">
        <f t="shared" si="2"/>
        <v>-619.1112585723705</v>
      </c>
      <c r="I11" s="18">
        <f t="shared" si="5"/>
        <v>-5211686.4866666673</v>
      </c>
      <c r="J11" s="18">
        <f t="shared" si="6"/>
        <v>-333.92171660883531</v>
      </c>
      <c r="K11" s="18">
        <f t="shared" si="9"/>
        <v>-3890103.682</v>
      </c>
      <c r="L11" s="18">
        <f t="shared" si="10"/>
        <v>-195.85208533085182</v>
      </c>
      <c r="M11" s="18">
        <f>IF(SUM(G$6:G11)&lt;&gt;0,SUM(G$6:G11)/COUNTIF(G$6:G11,"&lt;&gt;0")," ")</f>
        <v>-3364456.2516666665</v>
      </c>
      <c r="N11" s="18">
        <f>IF(SUM(G$6:G11)=0,0,M11*COUNTIF(G$6:G11,"&lt;&gt;0")/(SUM(B$6:B11))*100)</f>
        <v>-183.13291074528277</v>
      </c>
      <c r="O11" s="19"/>
      <c r="P11" s="22"/>
      <c r="Q11" s="21"/>
    </row>
    <row r="12" spans="1:53" s="20" customFormat="1" ht="13.5" x14ac:dyDescent="0.25">
      <c r="A12" s="49">
        <v>2017</v>
      </c>
      <c r="B12" s="50">
        <f>835110.16+284230</f>
        <v>1119340.1600000001</v>
      </c>
      <c r="C12" s="50"/>
      <c r="D12" s="50">
        <f t="shared" si="0"/>
        <v>0</v>
      </c>
      <c r="E12" s="50"/>
      <c r="F12" s="50">
        <f t="shared" si="1"/>
        <v>0</v>
      </c>
      <c r="G12" s="50">
        <f>(E12-C12)+-319190</f>
        <v>-319190</v>
      </c>
      <c r="H12" s="18">
        <f t="shared" si="2"/>
        <v>-28.515907085831703</v>
      </c>
      <c r="I12" s="18">
        <f t="shared" si="5"/>
        <v>-4521070.0866666669</v>
      </c>
      <c r="J12" s="18">
        <f t="shared" si="6"/>
        <v>-329.89481777035542</v>
      </c>
      <c r="K12" s="18">
        <f t="shared" si="9"/>
        <v>-3798413.05</v>
      </c>
      <c r="L12" s="18">
        <f t="shared" si="10"/>
        <v>-252.14045695579836</v>
      </c>
      <c r="M12" s="18">
        <f>IF(SUM(G$6:G12)&lt;&gt;0,SUM(G$6:G12)/COUNTIF(G$6:G12,"&lt;&gt;0")," ")</f>
        <v>-2929418.2157142856</v>
      </c>
      <c r="N12" s="18">
        <f>IF(SUM(G$6:G12)=0,0,M12*COUNTIF(G$6:G12,"&lt;&gt;0")/(SUM(B$6:B12))*100)</f>
        <v>-168.87955887383237</v>
      </c>
      <c r="O12" s="19"/>
      <c r="P12" s="22"/>
      <c r="Q12" s="21"/>
    </row>
    <row r="13" spans="1:53" s="20" customFormat="1" ht="13.5" x14ac:dyDescent="0.25">
      <c r="A13" s="49">
        <v>2018</v>
      </c>
      <c r="B13" s="50">
        <f>660802.2+684537</f>
        <v>1345339.2</v>
      </c>
      <c r="C13" s="50"/>
      <c r="D13" s="50">
        <f t="shared" si="0"/>
        <v>0</v>
      </c>
      <c r="E13" s="50"/>
      <c r="F13" s="50">
        <f t="shared" si="1"/>
        <v>0</v>
      </c>
      <c r="G13" s="50">
        <f>(E13-C13)+-313743</f>
        <v>-313743</v>
      </c>
      <c r="H13" s="18">
        <f t="shared" si="2"/>
        <v>-23.320735766860878</v>
      </c>
      <c r="I13" s="18">
        <f t="shared" si="5"/>
        <v>-3527828.9433333334</v>
      </c>
      <c r="J13" s="18">
        <f t="shared" si="6"/>
        <v>-259.91447446292477</v>
      </c>
      <c r="K13" s="18">
        <f t="shared" si="9"/>
        <v>-3253598.4920000001</v>
      </c>
      <c r="L13" s="18">
        <f t="shared" si="10"/>
        <v>-227.62203042661525</v>
      </c>
      <c r="M13" s="18">
        <f>IF(SUM(G$6:G13)&lt;&gt;0,SUM(G$6:G13)/COUNTIF(G$6:G13,"&lt;&gt;0")," ")</f>
        <v>-2602458.8137499997</v>
      </c>
      <c r="N13" s="18">
        <f>IF(SUM(G$6:G13)=0,0,M13*COUNTIF(G$6:G13,"&lt;&gt;0")/(SUM(B$6:B13))*100)</f>
        <v>-154.3606775226898</v>
      </c>
      <c r="O13" s="19"/>
      <c r="P13" s="22"/>
      <c r="Q13" s="21"/>
    </row>
    <row r="14" spans="1:53" s="20" customFormat="1" ht="13.5" x14ac:dyDescent="0.25">
      <c r="A14" s="49">
        <v>2019</v>
      </c>
      <c r="B14" s="50">
        <f>18802224.35+713776</f>
        <v>19516000.350000001</v>
      </c>
      <c r="C14" s="50"/>
      <c r="D14" s="50">
        <f t="shared" si="0"/>
        <v>0</v>
      </c>
      <c r="E14" s="50"/>
      <c r="F14" s="50">
        <f t="shared" si="1"/>
        <v>0</v>
      </c>
      <c r="G14" s="50">
        <f>(E14-C14)+-6077664</f>
        <v>-6077664</v>
      </c>
      <c r="H14" s="18">
        <f t="shared" si="2"/>
        <v>-31.141954760212943</v>
      </c>
      <c r="I14" s="18">
        <f t="shared" si="5"/>
        <v>-2236865.6666666665</v>
      </c>
      <c r="J14" s="18">
        <f t="shared" si="6"/>
        <v>-30.529524512142576</v>
      </c>
      <c r="K14" s="18">
        <f t="shared" si="9"/>
        <v>-3990923.4519999996</v>
      </c>
      <c r="L14" s="18">
        <f t="shared" si="10"/>
        <v>-79.905682256710435</v>
      </c>
      <c r="M14" s="18">
        <f>IF(SUM(G$6:G14)&lt;&gt;0,SUM(G$6:G14)/COUNTIF(G$6:G14,"&lt;&gt;0")," ")</f>
        <v>-2988592.7233333332</v>
      </c>
      <c r="N14" s="18">
        <f>IF(SUM(G$6:G14)=0,0,M14*COUNTIF(G$6:G14,"&lt;&gt;0")/(SUM(B$6:B14))*100)</f>
        <v>-81.497991099351992</v>
      </c>
      <c r="O14" s="19"/>
      <c r="P14" s="22"/>
      <c r="Q14" s="21"/>
    </row>
    <row r="15" spans="1:53" s="20" customFormat="1" ht="13.5" x14ac:dyDescent="0.25">
      <c r="A15" s="49">
        <v>2020</v>
      </c>
      <c r="B15" s="50">
        <v>827810.49</v>
      </c>
      <c r="C15" s="50"/>
      <c r="D15" s="50">
        <f t="shared" si="0"/>
        <v>0</v>
      </c>
      <c r="E15" s="50"/>
      <c r="F15" s="50">
        <f t="shared" si="1"/>
        <v>0</v>
      </c>
      <c r="G15" s="50">
        <f>(E15-C15)+-5819891</f>
        <v>-5819891</v>
      </c>
      <c r="H15" s="18">
        <f t="shared" si="2"/>
        <v>-703.0462974683976</v>
      </c>
      <c r="I15" s="18">
        <f t="shared" si="5"/>
        <v>-4070432.6666666665</v>
      </c>
      <c r="J15" s="18">
        <f t="shared" si="6"/>
        <v>-56.301413275667485</v>
      </c>
      <c r="K15" s="18">
        <f t="shared" si="9"/>
        <v>-4496208.3659999995</v>
      </c>
      <c r="L15" s="18">
        <f t="shared" si="10"/>
        <v>-92.07608814640453</v>
      </c>
      <c r="M15" s="18">
        <f>IF(SUM(G$6:G15)&lt;&gt;0,SUM(G$6:G15)/COUNTIF(G$6:G15,"&lt;&gt;0")," ")</f>
        <v>-3271722.551</v>
      </c>
      <c r="N15" s="18">
        <f>IF(SUM(G$6:G15)=0,0,M15*COUNTIF(G$6:G15,"&lt;&gt;0")/(SUM(B$6:B15))*100)</f>
        <v>-96.706432463633689</v>
      </c>
      <c r="O15" s="19"/>
      <c r="P15" s="22"/>
      <c r="Q15" s="21"/>
    </row>
    <row r="16" spans="1:53" s="20" customFormat="1" ht="13.5" x14ac:dyDescent="0.25">
      <c r="A16" s="49">
        <v>2021</v>
      </c>
      <c r="B16" s="50">
        <v>137226723.97</v>
      </c>
      <c r="C16" s="50"/>
      <c r="D16" s="50"/>
      <c r="E16" s="50"/>
      <c r="F16" s="50"/>
      <c r="G16" s="50">
        <v>-6724317.0099999998</v>
      </c>
      <c r="H16" s="18">
        <f t="shared" si="2"/>
        <v>-4.9001512354620118</v>
      </c>
      <c r="I16" s="18">
        <f t="shared" si="5"/>
        <v>-6207290.669999999</v>
      </c>
      <c r="J16" s="18">
        <f t="shared" si="6"/>
        <v>-11.818118173206953</v>
      </c>
      <c r="K16" s="18">
        <f t="shared" si="9"/>
        <v>-3850961.0019999994</v>
      </c>
      <c r="L16" s="18">
        <f t="shared" si="10"/>
        <v>-12.031605112576205</v>
      </c>
      <c r="M16" s="18">
        <f>IF(SUM(G$6:G16)&lt;&gt;0,SUM(G$6:G16)/COUNTIF(G$6:G16,"&lt;&gt;0")," ")</f>
        <v>-3585594.774545454</v>
      </c>
      <c r="N16" s="18">
        <f>IF(SUM(G$6:G16)=0,0,M16*COUNTIF(G$6:G16,"&lt;&gt;0")/(SUM(B$6:B16))*100)</f>
        <v>-23.057380272261042</v>
      </c>
      <c r="O16" s="19"/>
      <c r="P16" s="22"/>
      <c r="Q16" s="21"/>
    </row>
    <row r="17" spans="1:15" s="20" customFormat="1" ht="13.5" x14ac:dyDescent="0.25">
      <c r="A17" s="23"/>
      <c r="B17" s="24"/>
      <c r="C17" s="24"/>
      <c r="D17" s="25"/>
      <c r="E17" s="50"/>
      <c r="F17" s="18"/>
      <c r="G17" s="50"/>
      <c r="H17" s="25"/>
      <c r="I17" s="18"/>
      <c r="J17" s="18"/>
      <c r="K17" s="18"/>
      <c r="L17" s="18"/>
      <c r="M17" s="18"/>
      <c r="N17" s="18"/>
      <c r="O17" s="19"/>
    </row>
    <row r="18" spans="1:15" s="32" customFormat="1" ht="30" customHeight="1" x14ac:dyDescent="0.3">
      <c r="A18" s="26" t="s">
        <v>17</v>
      </c>
      <c r="B18" s="27">
        <f>SUM(B6:B17)</f>
        <v>171058212.40000001</v>
      </c>
      <c r="C18" s="27">
        <f>SUM(C6:C17)</f>
        <v>18847682.289999999</v>
      </c>
      <c r="D18" s="28">
        <f t="shared" si="0"/>
        <v>11.018285544763472</v>
      </c>
      <c r="E18" s="29">
        <f>SUM(E6:E17)</f>
        <v>171438.78</v>
      </c>
      <c r="F18" s="28">
        <f>E18/B18*100</f>
        <v>0.10022247841519007</v>
      </c>
      <c r="G18" s="29">
        <f>SUM(G6:G17)</f>
        <v>-39441542.519999996</v>
      </c>
      <c r="H18" s="28">
        <f t="shared" si="2"/>
        <v>-23.057380272261042</v>
      </c>
      <c r="I18" s="30"/>
      <c r="J18" s="30"/>
      <c r="K18" s="30"/>
      <c r="L18" s="30"/>
      <c r="M18" s="30"/>
      <c r="N18" s="30"/>
      <c r="O18" s="31"/>
    </row>
    <row r="20" spans="1:15" x14ac:dyDescent="0.35">
      <c r="B20" s="38"/>
    </row>
    <row r="21" spans="1:15" x14ac:dyDescent="0.35">
      <c r="B21" s="38"/>
    </row>
  </sheetData>
  <conditionalFormatting sqref="H5 A15:A16 C15:F16 A7:F14 A6:XFD6 A17:XFD18 G7:XFD16 M5:XFD5">
    <cfRule type="expression" dxfId="16" priority="4">
      <formula>MOD(ROW(),2)=0</formula>
    </cfRule>
  </conditionalFormatting>
  <conditionalFormatting sqref="A5:G5 I5:L5">
    <cfRule type="expression" dxfId="15" priority="2">
      <formula>MOD(ROW(),2)=0</formula>
    </cfRule>
  </conditionalFormatting>
  <conditionalFormatting sqref="B15:B16">
    <cfRule type="expression" dxfId="14" priority="1">
      <formula>MOD(ROW(),2)=0</formula>
    </cfRule>
  </conditionalFormatting>
  <printOptions horizontalCentered="1"/>
  <pageMargins left="0.7" right="0.7" top="0.75" bottom="0.75" header="0.3" footer="0.3"/>
  <pageSetup scale="8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4ADA-E6EC-43D7-8385-FA79CF180D53}">
  <dimension ref="A1:Q48"/>
  <sheetViews>
    <sheetView tabSelected="1" view="pageBreakPreview" zoomScale="60" zoomScaleNormal="100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6.1796875" style="34" bestFit="1" customWidth="1"/>
    <col min="3" max="3" width="13.81640625" style="34" hidden="1" customWidth="1"/>
    <col min="4" max="6" width="12.54296875" style="35" hidden="1" customWidth="1"/>
    <col min="7" max="7" width="14.36328125" style="35" customWidth="1"/>
    <col min="8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37</v>
      </c>
      <c r="B2" s="40"/>
      <c r="C2" s="40"/>
      <c r="D2" s="40"/>
      <c r="E2" s="40"/>
      <c r="F2" s="40"/>
      <c r="G2" s="47"/>
      <c r="H2" s="41"/>
      <c r="I2" s="42"/>
      <c r="J2" s="6"/>
      <c r="K2" s="6"/>
      <c r="L2" s="6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9"/>
      <c r="K3" s="9"/>
      <c r="L3" s="9"/>
      <c r="M3" s="9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1983</v>
      </c>
      <c r="B5" s="50">
        <v>314469</v>
      </c>
      <c r="C5" s="51">
        <v>6278.47</v>
      </c>
      <c r="D5" s="50">
        <f t="shared" ref="D5:D45" si="0">C5/B5*100</f>
        <v>1.9965306596198673</v>
      </c>
      <c r="E5" s="50"/>
      <c r="F5" s="50">
        <f t="shared" ref="F5:F42" si="1">E5/B5*100</f>
        <v>0</v>
      </c>
      <c r="G5" s="50">
        <f>(E5-C5)</f>
        <v>-6278.47</v>
      </c>
      <c r="H5" s="18">
        <f t="shared" ref="H5:H45" si="2">G5/B5*100</f>
        <v>-1.9965306596198673</v>
      </c>
      <c r="I5" s="18"/>
      <c r="J5" s="18"/>
      <c r="K5" s="18"/>
      <c r="L5" s="18"/>
      <c r="M5" s="18">
        <f>IF(SUM(G$5:G5)&lt;&gt;0,SUM(G$5:G5)/COUNTIF(G$5:G5,"&lt;&gt;0")," ")</f>
        <v>-6278.47</v>
      </c>
      <c r="N5" s="18">
        <f>IF(SUM(G$5:G5)=0,0,M5*COUNTIF(G$5:G5,"&lt;&gt;0")/(SUM(B$5:B5))*100)</f>
        <v>-1.9965306596198673</v>
      </c>
      <c r="O5" s="19"/>
      <c r="Q5" s="21"/>
    </row>
    <row r="6" spans="1:17" s="20" customFormat="1" ht="13.5" x14ac:dyDescent="0.25">
      <c r="A6" s="49">
        <v>1984</v>
      </c>
      <c r="B6" s="50">
        <v>468427</v>
      </c>
      <c r="C6" s="51">
        <v>4583.49</v>
      </c>
      <c r="D6" s="50">
        <f t="shared" si="0"/>
        <v>0.97848544170169516</v>
      </c>
      <c r="E6" s="50"/>
      <c r="F6" s="50">
        <f t="shared" si="1"/>
        <v>0</v>
      </c>
      <c r="G6" s="50">
        <f t="shared" ref="G6:G31" si="3">(E6-C6)</f>
        <v>-4583.49</v>
      </c>
      <c r="H6" s="18">
        <f t="shared" si="2"/>
        <v>-0.97848544170169516</v>
      </c>
      <c r="I6" s="18"/>
      <c r="J6" s="18"/>
      <c r="K6" s="18"/>
      <c r="L6" s="18"/>
      <c r="M6" s="18">
        <f>IF(SUM(G$5:G6)&lt;&gt;0,SUM(G$5:G6)/COUNTIF(G$5:G6,"&lt;&gt;0")," ")</f>
        <v>-5430.98</v>
      </c>
      <c r="N6" s="18">
        <f>IF(SUM(G$5:G6)=0,0,M6*COUNTIF(G$5:G6,"&lt;&gt;0")/(SUM(B$5:B6))*100)</f>
        <v>-1.3874077783000549</v>
      </c>
      <c r="O6" s="19"/>
      <c r="Q6" s="21"/>
    </row>
    <row r="7" spans="1:17" s="20" customFormat="1" ht="13.5" x14ac:dyDescent="0.25">
      <c r="A7" s="49">
        <v>1985</v>
      </c>
      <c r="B7" s="50">
        <v>1156467</v>
      </c>
      <c r="C7" s="51">
        <v>19968.150000000001</v>
      </c>
      <c r="D7" s="50">
        <f t="shared" si="0"/>
        <v>1.7266510847261531</v>
      </c>
      <c r="E7" s="50">
        <v>1753.62</v>
      </c>
      <c r="F7" s="50">
        <f t="shared" si="1"/>
        <v>0.15163597404854612</v>
      </c>
      <c r="G7" s="50">
        <f t="shared" si="3"/>
        <v>-18214.530000000002</v>
      </c>
      <c r="H7" s="18">
        <f t="shared" si="2"/>
        <v>-1.5750151106776071</v>
      </c>
      <c r="I7" s="18">
        <f>SUM(G5:G7)/3</f>
        <v>-9692.1633333333339</v>
      </c>
      <c r="J7" s="18">
        <f>IF(SUM(B5:B7)=0,0,I7/(SUM(B5:B7)/3)*100)</f>
        <v>-1.4992804338331711</v>
      </c>
      <c r="K7" s="18"/>
      <c r="L7" s="18"/>
      <c r="M7" s="18">
        <f>IF(SUM(G$5:G7)&lt;&gt;0,SUM(G$5:G7)/COUNTIF(G$5:G7,"&lt;&gt;0")," ")</f>
        <v>-9692.1633333333339</v>
      </c>
      <c r="N7" s="18">
        <f>IF(SUM(G$5:G7)=0,0,M7*COUNTIF(G$5:G7,"&lt;&gt;0")/(SUM(B$5:B7))*100)</f>
        <v>-1.4992804338331711</v>
      </c>
      <c r="O7" s="19"/>
      <c r="Q7" s="21"/>
    </row>
    <row r="8" spans="1:17" s="20" customFormat="1" ht="13.5" x14ac:dyDescent="0.25">
      <c r="A8" s="49">
        <v>1986</v>
      </c>
      <c r="B8" s="50">
        <v>457050</v>
      </c>
      <c r="C8" s="51"/>
      <c r="D8" s="50">
        <f t="shared" si="0"/>
        <v>0</v>
      </c>
      <c r="E8" s="50"/>
      <c r="F8" s="50">
        <f t="shared" si="1"/>
        <v>0</v>
      </c>
      <c r="G8" s="50">
        <f t="shared" si="3"/>
        <v>0</v>
      </c>
      <c r="H8" s="18">
        <f t="shared" si="2"/>
        <v>0</v>
      </c>
      <c r="I8" s="18">
        <f t="shared" ref="I8:I43" si="4">SUM(G6:G8)/3</f>
        <v>-7599.3400000000011</v>
      </c>
      <c r="J8" s="18">
        <f t="shared" ref="J8:J43" si="5">IF(SUM(B6:B8)=0,0,I8/(SUM(B6:B8)/3)*100)</f>
        <v>-1.0950352170855702</v>
      </c>
      <c r="K8" s="18"/>
      <c r="L8" s="18"/>
      <c r="M8" s="18">
        <f>IF(SUM(G$5:G8)&lt;&gt;0,SUM(G$5:G8)/COUNTIF(G$5:G8,"&lt;&gt;0")," ")</f>
        <v>-9692.1633333333339</v>
      </c>
      <c r="N8" s="18">
        <f>IF(SUM(G$5:G8)=0,0,M8*COUNTIF(G$5:G8,"&lt;&gt;0")/(SUM(B$5:B8))*100)</f>
        <v>-1.213333845209486</v>
      </c>
      <c r="O8" s="19"/>
      <c r="Q8" s="21"/>
    </row>
    <row r="9" spans="1:17" s="20" customFormat="1" ht="13.5" x14ac:dyDescent="0.25">
      <c r="A9" s="49">
        <v>1987</v>
      </c>
      <c r="B9" s="50">
        <v>406322</v>
      </c>
      <c r="C9" s="51">
        <v>45924.72</v>
      </c>
      <c r="D9" s="50">
        <f t="shared" si="0"/>
        <v>11.302543303094591</v>
      </c>
      <c r="E9" s="50">
        <v>51276.39</v>
      </c>
      <c r="F9" s="50">
        <f t="shared" si="1"/>
        <v>12.619644026166441</v>
      </c>
      <c r="G9" s="50">
        <f t="shared" si="3"/>
        <v>5351.6699999999983</v>
      </c>
      <c r="H9" s="18">
        <f t="shared" si="2"/>
        <v>1.317100723071849</v>
      </c>
      <c r="I9" s="18">
        <f t="shared" si="4"/>
        <v>-4287.6200000000017</v>
      </c>
      <c r="J9" s="18">
        <f t="shared" si="5"/>
        <v>-0.63682600444886972</v>
      </c>
      <c r="K9" s="18">
        <f>SUM(G5:G9)/5</f>
        <v>-4744.9640000000009</v>
      </c>
      <c r="L9" s="18">
        <f>IF(SUM(B5:B9)=0,0,K9/(SUM(B5:B9)/5)*100)</f>
        <v>-0.84648816245560154</v>
      </c>
      <c r="M9" s="18">
        <f>IF(SUM(G$5:G9)&lt;&gt;0,SUM(G$5:G9)/COUNTIF(G$5:G9,"&lt;&gt;0")," ")</f>
        <v>-5931.2050000000008</v>
      </c>
      <c r="N9" s="18">
        <f>IF(SUM(G$5:G9)=0,0,M9*COUNTIF(G$5:G9,"&lt;&gt;0")/(SUM(B$5:B9))*100)</f>
        <v>-0.84648816245560154</v>
      </c>
      <c r="O9" s="19"/>
      <c r="Q9" s="21"/>
    </row>
    <row r="10" spans="1:17" s="20" customFormat="1" ht="13.5" x14ac:dyDescent="0.25">
      <c r="A10" s="49">
        <v>1988</v>
      </c>
      <c r="B10" s="50">
        <v>523769</v>
      </c>
      <c r="C10" s="51">
        <v>21902.06</v>
      </c>
      <c r="D10" s="50">
        <f t="shared" si="0"/>
        <v>4.1816258694195341</v>
      </c>
      <c r="E10" s="50">
        <v>28249.18</v>
      </c>
      <c r="F10" s="50">
        <f t="shared" si="1"/>
        <v>5.3934425290538384</v>
      </c>
      <c r="G10" s="50">
        <f t="shared" si="3"/>
        <v>6347.119999999999</v>
      </c>
      <c r="H10" s="18">
        <f t="shared" si="2"/>
        <v>1.2118166596343043</v>
      </c>
      <c r="I10" s="18">
        <f t="shared" si="4"/>
        <v>3899.5966666666659</v>
      </c>
      <c r="J10" s="18">
        <f t="shared" si="5"/>
        <v>0.84337424962566876</v>
      </c>
      <c r="K10" s="18">
        <f t="shared" ref="K10:K43" si="6">SUM(G6:G10)/5</f>
        <v>-2219.8460000000014</v>
      </c>
      <c r="L10" s="18">
        <f t="shared" ref="L10:L43" si="7">IF(SUM(B6:B10)=0,0,K10/(SUM(B6:B10)/5)*100)</f>
        <v>-0.36849605001269931</v>
      </c>
      <c r="M10" s="18">
        <f>IF(SUM(G$5:G10)&lt;&gt;0,SUM(G$5:G10)/COUNTIF(G$5:G10,"&lt;&gt;0")," ")</f>
        <v>-3475.5400000000009</v>
      </c>
      <c r="N10" s="18">
        <f>IF(SUM(G$5:G10)=0,0,M10*COUNTIF(G$5:G10,"&lt;&gt;0")/(SUM(B$5:B10))*100)</f>
        <v>-0.52240129577478356</v>
      </c>
      <c r="O10" s="19"/>
      <c r="Q10" s="21"/>
    </row>
    <row r="11" spans="1:17" s="20" customFormat="1" ht="13.5" x14ac:dyDescent="0.25">
      <c r="A11" s="49">
        <v>1989</v>
      </c>
      <c r="B11" s="50">
        <v>700673</v>
      </c>
      <c r="C11" s="51">
        <v>41740.94</v>
      </c>
      <c r="D11" s="50">
        <f t="shared" si="0"/>
        <v>5.9572639448073499</v>
      </c>
      <c r="E11" s="50">
        <v>191740.87</v>
      </c>
      <c r="F11" s="50">
        <f t="shared" si="1"/>
        <v>27.365243130533074</v>
      </c>
      <c r="G11" s="50">
        <f t="shared" si="3"/>
        <v>149999.93</v>
      </c>
      <c r="H11" s="18">
        <f t="shared" si="2"/>
        <v>21.407979185725722</v>
      </c>
      <c r="I11" s="18">
        <f t="shared" si="4"/>
        <v>53899.573333333334</v>
      </c>
      <c r="J11" s="18">
        <f t="shared" si="5"/>
        <v>9.9155193516658446</v>
      </c>
      <c r="K11" s="18">
        <f t="shared" si="6"/>
        <v>28696.838</v>
      </c>
      <c r="L11" s="18">
        <f t="shared" si="7"/>
        <v>4.4226807110728084</v>
      </c>
      <c r="M11" s="18">
        <f>IF(SUM(G$5:G11)&lt;&gt;0,SUM(G$5:G11)/COUNTIF(G$5:G11,"&lt;&gt;0")," ")</f>
        <v>22103.704999999998</v>
      </c>
      <c r="N11" s="18">
        <f>IF(SUM(G$5:G11)=0,0,M11*COUNTIF(G$5:G11,"&lt;&gt;0")/(SUM(B$5:B11))*100)</f>
        <v>3.2931810546196498</v>
      </c>
      <c r="O11" s="19"/>
      <c r="Q11" s="21"/>
    </row>
    <row r="12" spans="1:17" s="20" customFormat="1" ht="13.5" x14ac:dyDescent="0.25">
      <c r="A12" s="49">
        <v>1990</v>
      </c>
      <c r="B12" s="50">
        <v>810141</v>
      </c>
      <c r="C12" s="51">
        <v>57351.360000000001</v>
      </c>
      <c r="D12" s="50">
        <f t="shared" si="0"/>
        <v>7.0791825126737189</v>
      </c>
      <c r="E12" s="50">
        <v>99452.59</v>
      </c>
      <c r="F12" s="50">
        <f t="shared" si="1"/>
        <v>12.275960604388619</v>
      </c>
      <c r="G12" s="50">
        <f t="shared" si="3"/>
        <v>42101.229999999996</v>
      </c>
      <c r="H12" s="18">
        <f t="shared" si="2"/>
        <v>5.1967780917148989</v>
      </c>
      <c r="I12" s="18">
        <f t="shared" si="4"/>
        <v>66149.426666666652</v>
      </c>
      <c r="J12" s="18">
        <f t="shared" si="5"/>
        <v>9.7537569123500951</v>
      </c>
      <c r="K12" s="18">
        <f t="shared" si="6"/>
        <v>40759.990000000005</v>
      </c>
      <c r="L12" s="18">
        <f t="shared" si="7"/>
        <v>7.0325436385313109</v>
      </c>
      <c r="M12" s="18">
        <f>IF(SUM(G$5:G12)&lt;&gt;0,SUM(G$5:G12)/COUNTIF(G$5:G12,"&lt;&gt;0")," ")</f>
        <v>24960.494285714281</v>
      </c>
      <c r="N12" s="18">
        <f>IF(SUM(G$5:G12)=0,0,M12*COUNTIF(G$5:G12,"&lt;&gt;0")/(SUM(B$5:B12))*100)</f>
        <v>3.6119903632550097</v>
      </c>
      <c r="O12" s="19"/>
      <c r="Q12" s="21"/>
    </row>
    <row r="13" spans="1:17" s="20" customFormat="1" ht="13.5" x14ac:dyDescent="0.25">
      <c r="A13" s="49">
        <v>1991</v>
      </c>
      <c r="B13" s="50">
        <v>765922</v>
      </c>
      <c r="C13" s="51">
        <v>76912.38</v>
      </c>
      <c r="D13" s="50">
        <f t="shared" si="0"/>
        <v>10.04180321233755</v>
      </c>
      <c r="E13" s="50">
        <v>174017.68</v>
      </c>
      <c r="F13" s="50">
        <f t="shared" si="1"/>
        <v>22.720026321218086</v>
      </c>
      <c r="G13" s="50">
        <f t="shared" si="3"/>
        <v>97105.299999999988</v>
      </c>
      <c r="H13" s="18">
        <f t="shared" si="2"/>
        <v>12.678223108880537</v>
      </c>
      <c r="I13" s="18">
        <f t="shared" si="4"/>
        <v>96402.153333333321</v>
      </c>
      <c r="J13" s="18">
        <f t="shared" si="5"/>
        <v>12.702678747118682</v>
      </c>
      <c r="K13" s="18">
        <f t="shared" si="6"/>
        <v>60181.05</v>
      </c>
      <c r="L13" s="18">
        <f t="shared" si="7"/>
        <v>9.3832704414675305</v>
      </c>
      <c r="M13" s="18">
        <f>IF(SUM(G$5:G13)&lt;&gt;0,SUM(G$5:G13)/COUNTIF(G$5:G13,"&lt;&gt;0")," ")</f>
        <v>33978.594999999994</v>
      </c>
      <c r="N13" s="18">
        <f>IF(SUM(G$5:G13)=0,0,M13*COUNTIF(G$5:G13,"&lt;&gt;0")/(SUM(B$5:B13))*100)</f>
        <v>4.8512781890477639</v>
      </c>
      <c r="O13" s="19"/>
      <c r="Q13" s="21"/>
    </row>
    <row r="14" spans="1:17" s="20" customFormat="1" ht="13.5" x14ac:dyDescent="0.25">
      <c r="A14" s="49">
        <v>1992</v>
      </c>
      <c r="B14" s="50">
        <v>1353850</v>
      </c>
      <c r="C14" s="51">
        <v>143500.70000000001</v>
      </c>
      <c r="D14" s="50">
        <f t="shared" si="0"/>
        <v>10.59945341064372</v>
      </c>
      <c r="E14" s="50">
        <v>91731.24</v>
      </c>
      <c r="F14" s="50">
        <f t="shared" si="1"/>
        <v>6.7755837057281099</v>
      </c>
      <c r="G14" s="50">
        <f t="shared" si="3"/>
        <v>-51769.460000000006</v>
      </c>
      <c r="H14" s="18">
        <f t="shared" si="2"/>
        <v>-3.8238697049156114</v>
      </c>
      <c r="I14" s="18">
        <f t="shared" si="4"/>
        <v>29145.689999999988</v>
      </c>
      <c r="J14" s="18">
        <f t="shared" si="5"/>
        <v>2.9842889532897385</v>
      </c>
      <c r="K14" s="18">
        <f t="shared" si="6"/>
        <v>48756.823999999986</v>
      </c>
      <c r="L14" s="18">
        <f t="shared" si="7"/>
        <v>5.8681581135940455</v>
      </c>
      <c r="M14" s="18">
        <f>IF(SUM(G$5:G14)&lt;&gt;0,SUM(G$5:G14)/COUNTIF(G$5:G14,"&lt;&gt;0")," ")</f>
        <v>24451.033333333326</v>
      </c>
      <c r="N14" s="18">
        <f>IF(SUM(G$5:G14)=0,0,M14*COUNTIF(G$5:G14,"&lt;&gt;0")/(SUM(B$5:B14))*100)</f>
        <v>3.1630940522546052</v>
      </c>
      <c r="O14" s="19"/>
      <c r="Q14" s="21"/>
    </row>
    <row r="15" spans="1:17" s="20" customFormat="1" ht="13.5" x14ac:dyDescent="0.25">
      <c r="A15" s="49">
        <v>1993</v>
      </c>
      <c r="B15" s="50">
        <v>1421708</v>
      </c>
      <c r="C15" s="51">
        <v>242346.82</v>
      </c>
      <c r="D15" s="50">
        <f t="shared" si="0"/>
        <v>17.046174038550816</v>
      </c>
      <c r="E15" s="50">
        <v>137746.70000000001</v>
      </c>
      <c r="F15" s="50">
        <f t="shared" si="1"/>
        <v>9.6888179569925761</v>
      </c>
      <c r="G15" s="50">
        <f t="shared" si="3"/>
        <v>-104600.12</v>
      </c>
      <c r="H15" s="18">
        <f t="shared" si="2"/>
        <v>-7.3573560815582377</v>
      </c>
      <c r="I15" s="18">
        <f t="shared" si="4"/>
        <v>-19754.760000000006</v>
      </c>
      <c r="J15" s="18">
        <f t="shared" si="5"/>
        <v>-1.6734325762110762</v>
      </c>
      <c r="K15" s="18">
        <f t="shared" si="6"/>
        <v>26567.375999999989</v>
      </c>
      <c r="L15" s="18">
        <f t="shared" si="7"/>
        <v>2.6292389160250758</v>
      </c>
      <c r="M15" s="18">
        <f>IF(SUM(G$5:G15)&lt;&gt;0,SUM(G$5:G15)/COUNTIF(G$5:G15,"&lt;&gt;0")," ")</f>
        <v>11545.917999999994</v>
      </c>
      <c r="N15" s="18">
        <f>IF(SUM(G$5:G15)=0,0,M15*COUNTIF(G$5:G15,"&lt;&gt;0")/(SUM(B$5:B15))*100)</f>
        <v>1.3779921654633509</v>
      </c>
      <c r="O15" s="19"/>
      <c r="Q15" s="21"/>
    </row>
    <row r="16" spans="1:17" s="20" customFormat="1" ht="13.5" x14ac:dyDescent="0.25">
      <c r="A16" s="49">
        <v>1994</v>
      </c>
      <c r="B16" s="50">
        <v>1194077</v>
      </c>
      <c r="C16" s="51">
        <v>331999.18</v>
      </c>
      <c r="D16" s="50">
        <f t="shared" si="0"/>
        <v>27.803833421127784</v>
      </c>
      <c r="E16" s="50">
        <v>133841.06</v>
      </c>
      <c r="F16" s="50">
        <f t="shared" si="1"/>
        <v>11.208746169635626</v>
      </c>
      <c r="G16" s="50">
        <f t="shared" si="3"/>
        <v>-198158.12</v>
      </c>
      <c r="H16" s="18">
        <f t="shared" si="2"/>
        <v>-16.595087251492156</v>
      </c>
      <c r="I16" s="18">
        <f t="shared" si="4"/>
        <v>-118175.90000000001</v>
      </c>
      <c r="J16" s="18">
        <f t="shared" si="5"/>
        <v>-8.9309898769030411</v>
      </c>
      <c r="K16" s="18">
        <f t="shared" si="6"/>
        <v>-43064.234000000011</v>
      </c>
      <c r="L16" s="18">
        <f t="shared" si="7"/>
        <v>-3.8826703148999462</v>
      </c>
      <c r="M16" s="18">
        <f>IF(SUM(G$5:G16)&lt;&gt;0,SUM(G$5:G16)/COUNTIF(G$5:G16,"&lt;&gt;0")," ")</f>
        <v>-7518.0854545454604</v>
      </c>
      <c r="N16" s="18">
        <f>IF(SUM(G$5:G16)=0,0,M16*COUNTIF(G$5:G16,"&lt;&gt;0")/(SUM(B$5:B16))*100)</f>
        <v>-0.86388822584646785</v>
      </c>
      <c r="O16" s="19"/>
      <c r="Q16" s="21"/>
    </row>
    <row r="17" spans="1:17" s="20" customFormat="1" ht="13.5" x14ac:dyDescent="0.25">
      <c r="A17" s="49">
        <v>1995</v>
      </c>
      <c r="B17" s="50">
        <v>2231130</v>
      </c>
      <c r="C17" s="51">
        <v>190752.96</v>
      </c>
      <c r="D17" s="50">
        <f t="shared" si="0"/>
        <v>8.5496120799774111</v>
      </c>
      <c r="E17" s="50">
        <v>117482.42</v>
      </c>
      <c r="F17" s="50">
        <f t="shared" si="1"/>
        <v>5.2656017354434743</v>
      </c>
      <c r="G17" s="50">
        <f t="shared" si="3"/>
        <v>-73270.539999999994</v>
      </c>
      <c r="H17" s="18">
        <f t="shared" si="2"/>
        <v>-3.284010344533935</v>
      </c>
      <c r="I17" s="18">
        <f t="shared" si="4"/>
        <v>-125342.92666666665</v>
      </c>
      <c r="J17" s="18">
        <f t="shared" si="5"/>
        <v>-7.7581055166017974</v>
      </c>
      <c r="K17" s="18">
        <f t="shared" si="6"/>
        <v>-66138.588000000003</v>
      </c>
      <c r="L17" s="18">
        <f t="shared" si="7"/>
        <v>-4.7467747582172137</v>
      </c>
      <c r="M17" s="18">
        <f>IF(SUM(G$5:G17)&lt;&gt;0,SUM(G$5:G17)/COUNTIF(G$5:G17,"&lt;&gt;0")," ")</f>
        <v>-12997.456666666671</v>
      </c>
      <c r="N17" s="18">
        <f>IF(SUM(G$5:G17)=0,0,M17*COUNTIF(G$5:G17,"&lt;&gt;0")/(SUM(B$5:B17))*100)</f>
        <v>-1.3213267869676439</v>
      </c>
      <c r="O17" s="19"/>
      <c r="Q17" s="21"/>
    </row>
    <row r="18" spans="1:17" s="20" customFormat="1" ht="13.5" x14ac:dyDescent="0.25">
      <c r="A18" s="49">
        <v>1996</v>
      </c>
      <c r="B18" s="50">
        <v>1952020</v>
      </c>
      <c r="C18" s="51">
        <v>425091.96</v>
      </c>
      <c r="D18" s="50">
        <f t="shared" si="0"/>
        <v>21.777028923883979</v>
      </c>
      <c r="E18" s="50">
        <v>22334.81</v>
      </c>
      <c r="F18" s="50">
        <f t="shared" si="1"/>
        <v>1.1441896087130257</v>
      </c>
      <c r="G18" s="50">
        <f t="shared" si="3"/>
        <v>-402757.15</v>
      </c>
      <c r="H18" s="18">
        <f t="shared" si="2"/>
        <v>-20.632839315170955</v>
      </c>
      <c r="I18" s="18">
        <f t="shared" si="4"/>
        <v>-224728.60333333336</v>
      </c>
      <c r="J18" s="18">
        <f t="shared" si="5"/>
        <v>-12.537797083887291</v>
      </c>
      <c r="K18" s="18">
        <f t="shared" si="6"/>
        <v>-166111.07800000001</v>
      </c>
      <c r="L18" s="18">
        <f t="shared" si="7"/>
        <v>-10.187382471143296</v>
      </c>
      <c r="M18" s="18">
        <f>IF(SUM(G$5:G18)&lt;&gt;0,SUM(G$5:G18)/COUNTIF(G$5:G18,"&lt;&gt;0")," ")</f>
        <v>-42978.971538461548</v>
      </c>
      <c r="N18" s="18">
        <f>IF(SUM(G$5:G18)=0,0,M18*COUNTIF(G$5:G18,"&lt;&gt;0")/(SUM(B$5:B18))*100)</f>
        <v>-4.0616866427619902</v>
      </c>
      <c r="O18" s="19"/>
      <c r="Q18" s="21"/>
    </row>
    <row r="19" spans="1:17" s="20" customFormat="1" ht="13.5" x14ac:dyDescent="0.25">
      <c r="A19" s="49">
        <v>1997</v>
      </c>
      <c r="B19" s="50">
        <v>3191208</v>
      </c>
      <c r="C19" s="51">
        <v>461412.13</v>
      </c>
      <c r="D19" s="50">
        <f t="shared" si="0"/>
        <v>14.4588547659695</v>
      </c>
      <c r="E19" s="50">
        <v>62426.71</v>
      </c>
      <c r="F19" s="50">
        <f t="shared" si="1"/>
        <v>1.9562093727516352</v>
      </c>
      <c r="G19" s="50">
        <f t="shared" si="3"/>
        <v>-398985.42</v>
      </c>
      <c r="H19" s="18">
        <f t="shared" si="2"/>
        <v>-12.502645393217865</v>
      </c>
      <c r="I19" s="18">
        <f t="shared" si="4"/>
        <v>-291671.03666666668</v>
      </c>
      <c r="J19" s="18">
        <f t="shared" si="5"/>
        <v>-11.865617454427897</v>
      </c>
      <c r="K19" s="18">
        <f t="shared" si="6"/>
        <v>-235554.26999999996</v>
      </c>
      <c r="L19" s="18">
        <f t="shared" si="7"/>
        <v>-11.789334246767035</v>
      </c>
      <c r="M19" s="18">
        <f>IF(SUM(G$5:G19)&lt;&gt;0,SUM(G$5:G19)/COUNTIF(G$5:G19,"&lt;&gt;0")," ")</f>
        <v>-68408.003571428577</v>
      </c>
      <c r="N19" s="18">
        <f>IF(SUM(G$5:G19)=0,0,M19*COUNTIF(G$5:G19,"&lt;&gt;0")/(SUM(B$5:B19))*100)</f>
        <v>-5.6511411036834156</v>
      </c>
      <c r="O19" s="19"/>
      <c r="Q19" s="21"/>
    </row>
    <row r="20" spans="1:17" s="20" customFormat="1" ht="13.5" x14ac:dyDescent="0.25">
      <c r="A20" s="49">
        <v>1998</v>
      </c>
      <c r="B20" s="50">
        <v>69261</v>
      </c>
      <c r="C20" s="51">
        <v>975113.73</v>
      </c>
      <c r="D20" s="50">
        <f t="shared" si="0"/>
        <v>1407.8828344956034</v>
      </c>
      <c r="E20" s="50">
        <v>22640.65</v>
      </c>
      <c r="F20" s="50">
        <f t="shared" si="1"/>
        <v>32.68888696380359</v>
      </c>
      <c r="G20" s="50">
        <f t="shared" si="3"/>
        <v>-952473.08</v>
      </c>
      <c r="H20" s="18">
        <f t="shared" si="2"/>
        <v>-1375.1939475317999</v>
      </c>
      <c r="I20" s="18">
        <f t="shared" si="4"/>
        <v>-584738.54999999993</v>
      </c>
      <c r="J20" s="18">
        <f t="shared" si="5"/>
        <v>-33.65408828680502</v>
      </c>
      <c r="K20" s="18">
        <f t="shared" si="6"/>
        <v>-405128.86200000002</v>
      </c>
      <c r="L20" s="18">
        <f t="shared" si="7"/>
        <v>-23.451210947919446</v>
      </c>
      <c r="M20" s="18">
        <f>IF(SUM(G$5:G20)&lt;&gt;0,SUM(G$5:G20)/COUNTIF(G$5:G20,"&lt;&gt;0")," ")</f>
        <v>-127345.67533333333</v>
      </c>
      <c r="N20" s="18">
        <f>IF(SUM(G$5:G20)=0,0,M20*COUNTIF(G$5:G20,"&lt;&gt;0")/(SUM(B$5:B20))*100)</f>
        <v>-11.225491749358005</v>
      </c>
      <c r="O20" s="19"/>
      <c r="Q20" s="21"/>
    </row>
    <row r="21" spans="1:17" s="20" customFormat="1" ht="13.5" x14ac:dyDescent="0.25">
      <c r="A21" s="49">
        <v>1999</v>
      </c>
      <c r="B21" s="50">
        <v>1342147</v>
      </c>
      <c r="C21" s="51">
        <v>1008644</v>
      </c>
      <c r="D21" s="50">
        <f t="shared" si="0"/>
        <v>75.151529601452012</v>
      </c>
      <c r="E21" s="50">
        <v>176.96</v>
      </c>
      <c r="F21" s="50">
        <f t="shared" si="1"/>
        <v>1.318484487913768E-2</v>
      </c>
      <c r="G21" s="50">
        <f t="shared" si="3"/>
        <v>-1008467.04</v>
      </c>
      <c r="H21" s="18">
        <f t="shared" si="2"/>
        <v>-75.138344756572877</v>
      </c>
      <c r="I21" s="18">
        <f t="shared" si="4"/>
        <v>-786641.84666666668</v>
      </c>
      <c r="J21" s="18">
        <f t="shared" si="5"/>
        <v>-51.273570074062235</v>
      </c>
      <c r="K21" s="18">
        <f t="shared" si="6"/>
        <v>-567190.64599999995</v>
      </c>
      <c r="L21" s="18">
        <f t="shared" si="7"/>
        <v>-32.278952455596929</v>
      </c>
      <c r="M21" s="18">
        <f>IF(SUM(G$5:G21)&lt;&gt;0,SUM(G$5:G21)/COUNTIF(G$5:G21,"&lt;&gt;0")," ")</f>
        <v>-182415.760625</v>
      </c>
      <c r="N21" s="18">
        <f>IF(SUM(G$5:G21)=0,0,M21*COUNTIF(G$5:G21,"&lt;&gt;0")/(SUM(B$5:B21))*100)</f>
        <v>-15.897975073427276</v>
      </c>
      <c r="O21" s="19"/>
      <c r="Q21" s="21"/>
    </row>
    <row r="22" spans="1:17" s="20" customFormat="1" ht="13.5" x14ac:dyDescent="0.25">
      <c r="A22" s="49">
        <v>2000</v>
      </c>
      <c r="B22" s="50">
        <v>990198</v>
      </c>
      <c r="C22" s="51">
        <v>778096.82</v>
      </c>
      <c r="D22" s="50">
        <f t="shared" si="0"/>
        <v>78.579922399358509</v>
      </c>
      <c r="E22" s="50">
        <v>520</v>
      </c>
      <c r="F22" s="50">
        <f t="shared" si="1"/>
        <v>5.2514749575337458E-2</v>
      </c>
      <c r="G22" s="50">
        <f t="shared" si="3"/>
        <v>-777576.82</v>
      </c>
      <c r="H22" s="18">
        <f t="shared" si="2"/>
        <v>-78.527407649783171</v>
      </c>
      <c r="I22" s="18">
        <f t="shared" si="4"/>
        <v>-912838.98</v>
      </c>
      <c r="J22" s="18">
        <f t="shared" si="5"/>
        <v>-114.02856838299039</v>
      </c>
      <c r="K22" s="18">
        <f t="shared" si="6"/>
        <v>-708051.902</v>
      </c>
      <c r="L22" s="18">
        <f t="shared" si="7"/>
        <v>-46.922960929292813</v>
      </c>
      <c r="M22" s="18">
        <f>IF(SUM(G$5:G22)&lt;&gt;0,SUM(G$5:G22)/COUNTIF(G$5:G22,"&lt;&gt;0")," ")</f>
        <v>-217425.23470588235</v>
      </c>
      <c r="N22" s="18">
        <f>IF(SUM(G$5:G22)=0,0,M22*COUNTIF(G$5:G22,"&lt;&gt;0")/(SUM(B$5:B22))*100)</f>
        <v>-19.10310479093862</v>
      </c>
      <c r="O22" s="19"/>
      <c r="Q22" s="21"/>
    </row>
    <row r="23" spans="1:17" s="20" customFormat="1" ht="13.5" x14ac:dyDescent="0.25">
      <c r="A23" s="49">
        <v>2001</v>
      </c>
      <c r="B23" s="50">
        <v>1682625</v>
      </c>
      <c r="C23" s="51">
        <v>810091.69</v>
      </c>
      <c r="D23" s="50">
        <f t="shared" si="0"/>
        <v>48.144517643562885</v>
      </c>
      <c r="E23" s="50">
        <v>1000</v>
      </c>
      <c r="F23" s="50">
        <f t="shared" si="1"/>
        <v>5.9430948666518095E-2</v>
      </c>
      <c r="G23" s="50">
        <f t="shared" si="3"/>
        <v>-809091.69</v>
      </c>
      <c r="H23" s="18">
        <f t="shared" si="2"/>
        <v>-48.085086694896361</v>
      </c>
      <c r="I23" s="18">
        <f t="shared" si="4"/>
        <v>-865045.18333333323</v>
      </c>
      <c r="J23" s="18">
        <f t="shared" si="5"/>
        <v>-64.636486698530746</v>
      </c>
      <c r="K23" s="18">
        <f t="shared" si="6"/>
        <v>-789318.80999999994</v>
      </c>
      <c r="L23" s="18">
        <f t="shared" si="7"/>
        <v>-54.245442096346338</v>
      </c>
      <c r="M23" s="18">
        <f>IF(SUM(G$5:G23)&lt;&gt;0,SUM(G$5:G23)/COUNTIF(G$5:G23,"&lt;&gt;0")," ")</f>
        <v>-250295.59333333332</v>
      </c>
      <c r="N23" s="18">
        <f>IF(SUM(G$5:G23)=0,0,M23*COUNTIF(G$5:G23,"&lt;&gt;0")/(SUM(B$5:B23))*100)</f>
        <v>-21.421812005098644</v>
      </c>
      <c r="O23" s="19"/>
      <c r="Q23" s="21"/>
    </row>
    <row r="24" spans="1:17" s="20" customFormat="1" ht="13.5" x14ac:dyDescent="0.25">
      <c r="A24" s="49">
        <v>2002</v>
      </c>
      <c r="B24" s="50">
        <v>992861</v>
      </c>
      <c r="C24" s="51">
        <v>251366.74</v>
      </c>
      <c r="D24" s="50">
        <f t="shared" si="0"/>
        <v>25.317415025869682</v>
      </c>
      <c r="E24" s="50">
        <v>-7760.94</v>
      </c>
      <c r="F24" s="50">
        <f t="shared" si="1"/>
        <v>-0.78167437335135526</v>
      </c>
      <c r="G24" s="50">
        <f t="shared" si="3"/>
        <v>-259127.67999999999</v>
      </c>
      <c r="H24" s="18">
        <f t="shared" si="2"/>
        <v>-26.099089399221036</v>
      </c>
      <c r="I24" s="18">
        <f t="shared" si="4"/>
        <v>-615265.39666666661</v>
      </c>
      <c r="J24" s="18">
        <f t="shared" si="5"/>
        <v>-50.353390799643385</v>
      </c>
      <c r="K24" s="18">
        <f t="shared" si="6"/>
        <v>-761347.26199999999</v>
      </c>
      <c r="L24" s="18">
        <f t="shared" si="7"/>
        <v>-74.978674997419787</v>
      </c>
      <c r="M24" s="18">
        <f>IF(SUM(G$5:G24)&lt;&gt;0,SUM(G$5:G24)/COUNTIF(G$5:G24,"&lt;&gt;0")," ")</f>
        <v>-250760.43999999997</v>
      </c>
      <c r="N24" s="18">
        <f>IF(SUM(G$5:G24)=0,0,M24*COUNTIF(G$5:G24,"&lt;&gt;0")/(SUM(B$5:B24))*100)</f>
        <v>-21.632664610606678</v>
      </c>
      <c r="O24" s="19"/>
      <c r="Q24" s="21"/>
    </row>
    <row r="25" spans="1:17" s="20" customFormat="1" ht="13.5" x14ac:dyDescent="0.25">
      <c r="A25" s="49">
        <v>2003</v>
      </c>
      <c r="B25" s="50">
        <v>848264</v>
      </c>
      <c r="C25" s="51">
        <v>1860</v>
      </c>
      <c r="D25" s="50">
        <f t="shared" si="0"/>
        <v>0.21927135891656371</v>
      </c>
      <c r="E25" s="50">
        <v>123724.45</v>
      </c>
      <c r="F25" s="50">
        <f t="shared" si="1"/>
        <v>14.585606603604537</v>
      </c>
      <c r="G25" s="50">
        <f t="shared" si="3"/>
        <v>121864.45</v>
      </c>
      <c r="H25" s="18">
        <f t="shared" si="2"/>
        <v>14.366335244687974</v>
      </c>
      <c r="I25" s="18">
        <f t="shared" si="4"/>
        <v>-315451.63999999996</v>
      </c>
      <c r="J25" s="18">
        <f t="shared" si="5"/>
        <v>-26.85647165661582</v>
      </c>
      <c r="K25" s="18">
        <f t="shared" si="6"/>
        <v>-546479.75599999994</v>
      </c>
      <c r="L25" s="18">
        <f t="shared" si="7"/>
        <v>-46.65905829738076</v>
      </c>
      <c r="M25" s="18">
        <f>IF(SUM(G$5:G25)&lt;&gt;0,SUM(G$5:G25)/COUNTIF(G$5:G25,"&lt;&gt;0")," ")</f>
        <v>-232129.19549999997</v>
      </c>
      <c r="N25" s="18">
        <f>IF(SUM(G$5:G25)=0,0,M25*COUNTIF(G$5:G25,"&lt;&gt;0")/(SUM(B$5:B25))*100)</f>
        <v>-20.297588130491039</v>
      </c>
      <c r="O25" s="19"/>
      <c r="Q25" s="21"/>
    </row>
    <row r="26" spans="1:17" s="20" customFormat="1" ht="13.5" x14ac:dyDescent="0.25">
      <c r="A26" s="49">
        <v>2004</v>
      </c>
      <c r="B26" s="50">
        <v>6269144</v>
      </c>
      <c r="C26" s="51">
        <v>186235.45</v>
      </c>
      <c r="D26" s="50">
        <f t="shared" si="0"/>
        <v>2.9706679253180339</v>
      </c>
      <c r="E26" s="50"/>
      <c r="F26" s="50">
        <f t="shared" si="1"/>
        <v>0</v>
      </c>
      <c r="G26" s="50">
        <f t="shared" si="3"/>
        <v>-186235.45</v>
      </c>
      <c r="H26" s="18">
        <f t="shared" si="2"/>
        <v>-2.9706679253180339</v>
      </c>
      <c r="I26" s="18">
        <f t="shared" si="4"/>
        <v>-107832.89333333333</v>
      </c>
      <c r="J26" s="18">
        <f t="shared" si="5"/>
        <v>-3.9887540105019945</v>
      </c>
      <c r="K26" s="18">
        <f t="shared" si="6"/>
        <v>-382033.43799999997</v>
      </c>
      <c r="L26" s="18">
        <f t="shared" si="7"/>
        <v>-17.714466221747898</v>
      </c>
      <c r="M26" s="18">
        <f>IF(SUM(G$5:G26)&lt;&gt;0,SUM(G$5:G26)/COUNTIF(G$5:G26,"&lt;&gt;0")," ")</f>
        <v>-229943.77904761903</v>
      </c>
      <c r="N26" s="18">
        <f>IF(SUM(G$5:G26)=0,0,M26*COUNTIF(G$5:G26,"&lt;&gt;0")/(SUM(B$5:B26))*100)</f>
        <v>-16.570117363987926</v>
      </c>
      <c r="O26" s="19"/>
      <c r="Q26" s="21"/>
    </row>
    <row r="27" spans="1:17" s="20" customFormat="1" ht="13.5" x14ac:dyDescent="0.25">
      <c r="A27" s="49">
        <v>2005</v>
      </c>
      <c r="B27" s="50">
        <v>1475555</v>
      </c>
      <c r="C27" s="51"/>
      <c r="D27" s="50">
        <f t="shared" si="0"/>
        <v>0</v>
      </c>
      <c r="E27" s="50"/>
      <c r="F27" s="50">
        <f t="shared" si="1"/>
        <v>0</v>
      </c>
      <c r="G27" s="50">
        <f t="shared" si="3"/>
        <v>0</v>
      </c>
      <c r="H27" s="18">
        <f t="shared" si="2"/>
        <v>0</v>
      </c>
      <c r="I27" s="18">
        <f t="shared" si="4"/>
        <v>-21457.000000000004</v>
      </c>
      <c r="J27" s="18">
        <f t="shared" si="5"/>
        <v>-0.74911296603977007</v>
      </c>
      <c r="K27" s="18">
        <f t="shared" si="6"/>
        <v>-226518.07399999996</v>
      </c>
      <c r="L27" s="18">
        <f t="shared" si="7"/>
        <v>-10.050987229919574</v>
      </c>
      <c r="M27" s="18">
        <f>IF(SUM(G$5:G27)&lt;&gt;0,SUM(G$5:G27)/COUNTIF(G$5:G27,"&lt;&gt;0")," ")</f>
        <v>-229943.77904761903</v>
      </c>
      <c r="N27" s="18">
        <f>IF(SUM(G$5:G27)=0,0,M27*COUNTIF(G$5:G27,"&lt;&gt;0")/(SUM(B$5:B27))*100)</f>
        <v>-15.771545017311785</v>
      </c>
      <c r="O27" s="19"/>
      <c r="Q27" s="21"/>
    </row>
    <row r="28" spans="1:17" s="20" customFormat="1" ht="13.5" x14ac:dyDescent="0.25">
      <c r="A28" s="49">
        <v>2006</v>
      </c>
      <c r="B28" s="50">
        <v>1296683</v>
      </c>
      <c r="C28" s="51"/>
      <c r="D28" s="50">
        <f t="shared" si="0"/>
        <v>0</v>
      </c>
      <c r="E28" s="50"/>
      <c r="F28" s="50">
        <f t="shared" si="1"/>
        <v>0</v>
      </c>
      <c r="G28" s="50">
        <f t="shared" si="3"/>
        <v>0</v>
      </c>
      <c r="H28" s="18">
        <f t="shared" si="2"/>
        <v>0</v>
      </c>
      <c r="I28" s="18">
        <f t="shared" si="4"/>
        <v>-62078.483333333337</v>
      </c>
      <c r="J28" s="18">
        <f t="shared" si="5"/>
        <v>-2.0598117632901696</v>
      </c>
      <c r="K28" s="18">
        <f t="shared" si="6"/>
        <v>-64699.735999999997</v>
      </c>
      <c r="L28" s="18">
        <f t="shared" si="7"/>
        <v>-2.9726484899113781</v>
      </c>
      <c r="M28" s="18">
        <f>IF(SUM(G$5:G28)&lt;&gt;0,SUM(G$5:G28)/COUNTIF(G$5:G28,"&lt;&gt;0")," ")</f>
        <v>-229943.77904761903</v>
      </c>
      <c r="N28" s="18">
        <f>IF(SUM(G$5:G28)=0,0,M28*COUNTIF(G$5:G28,"&lt;&gt;0")/(SUM(B$5:B28))*100)</f>
        <v>-15.130738070796641</v>
      </c>
      <c r="O28" s="19"/>
      <c r="Q28" s="21"/>
    </row>
    <row r="29" spans="1:17" s="20" customFormat="1" ht="13.5" x14ac:dyDescent="0.25">
      <c r="A29" s="49">
        <v>2007</v>
      </c>
      <c r="B29" s="50">
        <v>89461</v>
      </c>
      <c r="C29" s="51"/>
      <c r="D29" s="50">
        <f t="shared" si="0"/>
        <v>0</v>
      </c>
      <c r="E29" s="50"/>
      <c r="F29" s="50">
        <f t="shared" si="1"/>
        <v>0</v>
      </c>
      <c r="G29" s="50">
        <f t="shared" si="3"/>
        <v>0</v>
      </c>
      <c r="H29" s="18">
        <f t="shared" si="2"/>
        <v>0</v>
      </c>
      <c r="I29" s="18">
        <f t="shared" si="4"/>
        <v>0</v>
      </c>
      <c r="J29" s="18">
        <f t="shared" si="5"/>
        <v>0</v>
      </c>
      <c r="K29" s="18">
        <f t="shared" si="6"/>
        <v>-12874.200000000003</v>
      </c>
      <c r="L29" s="18">
        <f t="shared" si="7"/>
        <v>-0.64505771909250009</v>
      </c>
      <c r="M29" s="18">
        <f>IF(SUM(G$5:G29)&lt;&gt;0,SUM(G$5:G29)/COUNTIF(G$5:G29,"&lt;&gt;0")," ")</f>
        <v>-229943.77904761903</v>
      </c>
      <c r="N29" s="18">
        <f>IF(SUM(G$5:G29)=0,0,M29*COUNTIF(G$5:G29,"&lt;&gt;0")/(SUM(B$5:B29))*100)</f>
        <v>-15.088442264567123</v>
      </c>
      <c r="O29" s="19"/>
      <c r="Q29" s="21"/>
    </row>
    <row r="30" spans="1:17" s="20" customFormat="1" ht="13.5" x14ac:dyDescent="0.25">
      <c r="A30" s="49">
        <v>2008</v>
      </c>
      <c r="B30" s="50">
        <v>261348</v>
      </c>
      <c r="C30" s="51"/>
      <c r="D30" s="50">
        <f t="shared" si="0"/>
        <v>0</v>
      </c>
      <c r="E30" s="50"/>
      <c r="F30" s="50">
        <f t="shared" si="1"/>
        <v>0</v>
      </c>
      <c r="G30" s="50">
        <f t="shared" si="3"/>
        <v>0</v>
      </c>
      <c r="H30" s="18">
        <f t="shared" si="2"/>
        <v>0</v>
      </c>
      <c r="I30" s="18">
        <f t="shared" si="4"/>
        <v>0</v>
      </c>
      <c r="J30" s="18">
        <f t="shared" si="5"/>
        <v>0</v>
      </c>
      <c r="K30" s="18">
        <f t="shared" si="6"/>
        <v>-37247.090000000004</v>
      </c>
      <c r="L30" s="18">
        <f t="shared" si="7"/>
        <v>-1.982875454726166</v>
      </c>
      <c r="M30" s="18">
        <f>IF(SUM(G$5:G30)&lt;&gt;0,SUM(G$5:G30)/COUNTIF(G$5:G30,"&lt;&gt;0")," ")</f>
        <v>-229943.77904761903</v>
      </c>
      <c r="N30" s="18">
        <f>IF(SUM(G$5:G30)=0,0,M30*COUNTIF(G$5:G30,"&lt;&gt;0")/(SUM(B$5:B30))*100)</f>
        <v>-14.966224347415352</v>
      </c>
      <c r="O30" s="19"/>
      <c r="Q30" s="21"/>
    </row>
    <row r="31" spans="1:17" s="20" customFormat="1" ht="13.5" x14ac:dyDescent="0.25">
      <c r="A31" s="49">
        <v>2009</v>
      </c>
      <c r="B31" s="50">
        <v>5194456</v>
      </c>
      <c r="C31" s="51"/>
      <c r="D31" s="50">
        <f t="shared" si="0"/>
        <v>0</v>
      </c>
      <c r="E31" s="50"/>
      <c r="F31" s="50">
        <f t="shared" si="1"/>
        <v>0</v>
      </c>
      <c r="G31" s="50">
        <f t="shared" si="3"/>
        <v>0</v>
      </c>
      <c r="H31" s="18">
        <f t="shared" si="2"/>
        <v>0</v>
      </c>
      <c r="I31" s="18">
        <f t="shared" si="4"/>
        <v>0</v>
      </c>
      <c r="J31" s="18">
        <f t="shared" si="5"/>
        <v>0</v>
      </c>
      <c r="K31" s="18">
        <f t="shared" si="6"/>
        <v>0</v>
      </c>
      <c r="L31" s="18">
        <f t="shared" si="7"/>
        <v>0</v>
      </c>
      <c r="M31" s="18">
        <f>IF(SUM(G$5:G31)&lt;&gt;0,SUM(G$5:G31)/COUNTIF(G$5:G31,"&lt;&gt;0")," ")</f>
        <v>-229943.77904761903</v>
      </c>
      <c r="N31" s="18">
        <f>IF(SUM(G$5:G31)=0,0,M31*COUNTIF(G$5:G31,"&lt;&gt;0")/(SUM(B$5:B31))*100)</f>
        <v>-12.890864512025818</v>
      </c>
      <c r="O31" s="19"/>
      <c r="Q31" s="21"/>
    </row>
    <row r="32" spans="1:17" s="20" customFormat="1" ht="13.5" x14ac:dyDescent="0.25">
      <c r="A32" s="49">
        <v>2010</v>
      </c>
      <c r="B32" s="50">
        <v>2060712.67</v>
      </c>
      <c r="C32" s="51"/>
      <c r="D32" s="50">
        <f t="shared" si="0"/>
        <v>0</v>
      </c>
      <c r="E32" s="50"/>
      <c r="F32" s="50">
        <f t="shared" si="1"/>
        <v>0</v>
      </c>
      <c r="G32" s="50">
        <v>-228959.63</v>
      </c>
      <c r="H32" s="18">
        <f t="shared" si="2"/>
        <v>-11.110701328390435</v>
      </c>
      <c r="I32" s="18">
        <f t="shared" si="4"/>
        <v>-76319.876666666663</v>
      </c>
      <c r="J32" s="18">
        <f t="shared" si="5"/>
        <v>-3.0460869050397514</v>
      </c>
      <c r="K32" s="18">
        <f t="shared" si="6"/>
        <v>-45791.925999999999</v>
      </c>
      <c r="L32" s="18">
        <f t="shared" si="7"/>
        <v>-2.5718112650473515</v>
      </c>
      <c r="M32" s="18">
        <f>IF(SUM(G$5:G32)&lt;&gt;0,SUM(G$5:G32)/COUNTIF(G$5:G32,"&lt;&gt;0")," ")</f>
        <v>-229899.04499999995</v>
      </c>
      <c r="N32" s="18">
        <f>IF(SUM(G$5:G32)=0,0,M32*COUNTIF(G$5:G32,"&lt;&gt;0")/(SUM(B$5:B32))*100)</f>
        <v>-12.798040382677447</v>
      </c>
      <c r="O32" s="19"/>
      <c r="Q32" s="21"/>
    </row>
    <row r="33" spans="1:17" s="20" customFormat="1" ht="13.5" x14ac:dyDescent="0.25">
      <c r="A33" s="49">
        <v>2011</v>
      </c>
      <c r="B33" s="50">
        <v>1029157.36</v>
      </c>
      <c r="C33" s="51"/>
      <c r="D33" s="50">
        <f t="shared" si="0"/>
        <v>0</v>
      </c>
      <c r="E33" s="50"/>
      <c r="F33" s="50">
        <f t="shared" si="1"/>
        <v>0</v>
      </c>
      <c r="G33" s="50">
        <v>-383141.58</v>
      </c>
      <c r="H33" s="18">
        <f t="shared" si="2"/>
        <v>-37.228668315601418</v>
      </c>
      <c r="I33" s="18">
        <f t="shared" si="4"/>
        <v>-204033.73666666666</v>
      </c>
      <c r="J33" s="18">
        <f t="shared" si="5"/>
        <v>-7.3886663535862791</v>
      </c>
      <c r="K33" s="18">
        <f t="shared" si="6"/>
        <v>-122420.242</v>
      </c>
      <c r="L33" s="18">
        <f t="shared" si="7"/>
        <v>-7.0884961019538339</v>
      </c>
      <c r="M33" s="18">
        <f>IF(SUM(G$5:G33)&lt;&gt;0,SUM(G$5:G33)/COUNTIF(G$5:G33,"&lt;&gt;0")," ")</f>
        <v>-236561.76391304345</v>
      </c>
      <c r="N33" s="18">
        <f>IF(SUM(G$5:G33)=0,0,M33*COUNTIF(G$5:G33,"&lt;&gt;0")/(SUM(B$5:B33))*100)</f>
        <v>-13.418102401504409</v>
      </c>
      <c r="O33" s="19"/>
      <c r="Q33" s="21"/>
    </row>
    <row r="34" spans="1:17" s="20" customFormat="1" ht="13.5" x14ac:dyDescent="0.25">
      <c r="A34" s="49">
        <v>2012</v>
      </c>
      <c r="B34" s="50">
        <v>649982.59</v>
      </c>
      <c r="C34" s="51">
        <v>406294.38</v>
      </c>
      <c r="D34" s="50">
        <f t="shared" si="0"/>
        <v>62.508501958490925</v>
      </c>
      <c r="E34" s="50"/>
      <c r="F34" s="50">
        <f t="shared" si="1"/>
        <v>0</v>
      </c>
      <c r="G34" s="50">
        <f>(E34-C34)+-272497</f>
        <v>-678791.38</v>
      </c>
      <c r="H34" s="18">
        <f t="shared" si="2"/>
        <v>-104.43224025431206</v>
      </c>
      <c r="I34" s="18">
        <f t="shared" si="4"/>
        <v>-430297.52999999997</v>
      </c>
      <c r="J34" s="18">
        <f t="shared" si="5"/>
        <v>-34.517204851778359</v>
      </c>
      <c r="K34" s="18">
        <f t="shared" si="6"/>
        <v>-258178.51799999998</v>
      </c>
      <c r="L34" s="18">
        <f t="shared" si="7"/>
        <v>-14.03806865941891</v>
      </c>
      <c r="M34" s="18">
        <f>IF(SUM(G$5:G34)&lt;&gt;0,SUM(G$5:G34)/COUNTIF(G$5:G34,"&lt;&gt;0")," ")</f>
        <v>-254987.99791666665</v>
      </c>
      <c r="N34" s="18">
        <f>IF(SUM(G$5:G34)=0,0,M34*COUNTIF(G$5:G34,"&lt;&gt;0")/(SUM(B$5:B34))*100)</f>
        <v>-14.853998364976452</v>
      </c>
      <c r="O34" s="19"/>
      <c r="Q34" s="21"/>
    </row>
    <row r="35" spans="1:17" s="20" customFormat="1" ht="13.5" x14ac:dyDescent="0.25">
      <c r="A35" s="49">
        <v>2013</v>
      </c>
      <c r="B35" s="50">
        <v>4688355.5</v>
      </c>
      <c r="C35" s="51">
        <v>365356.88</v>
      </c>
      <c r="D35" s="50">
        <f t="shared" si="0"/>
        <v>7.792857858155168</v>
      </c>
      <c r="E35" s="50"/>
      <c r="F35" s="50">
        <f t="shared" si="1"/>
        <v>0</v>
      </c>
      <c r="G35" s="50">
        <f>(E35-C35)+-350542</f>
        <v>-715898.88</v>
      </c>
      <c r="H35" s="18">
        <f t="shared" si="2"/>
        <v>-15.269722613824827</v>
      </c>
      <c r="I35" s="18">
        <f t="shared" si="4"/>
        <v>-592610.61333333328</v>
      </c>
      <c r="J35" s="18">
        <f t="shared" si="5"/>
        <v>-27.920425761749069</v>
      </c>
      <c r="K35" s="18">
        <f t="shared" si="6"/>
        <v>-401358.29399999994</v>
      </c>
      <c r="L35" s="18">
        <f t="shared" si="7"/>
        <v>-14.731270273732623</v>
      </c>
      <c r="M35" s="18">
        <f>IF(SUM(G$5:G35)&lt;&gt;0,SUM(G$5:G35)/COUNTIF(G$5:G35,"&lt;&gt;0")," ")</f>
        <v>-273424.43319999997</v>
      </c>
      <c r="N35" s="18">
        <f>IF(SUM(G$5:G35)=0,0,M35*COUNTIF(G$5:G35,"&lt;&gt;0")/(SUM(B$5:B35))*100)</f>
        <v>-14.896473231597362</v>
      </c>
      <c r="O35" s="19"/>
      <c r="Q35" s="21"/>
    </row>
    <row r="36" spans="1:17" s="20" customFormat="1" ht="13.5" x14ac:dyDescent="0.25">
      <c r="A36" s="49">
        <v>2014</v>
      </c>
      <c r="B36" s="50">
        <v>2062984.69</v>
      </c>
      <c r="C36" s="51">
        <v>816717.66</v>
      </c>
      <c r="D36" s="50">
        <f t="shared" si="0"/>
        <v>39.589128506814077</v>
      </c>
      <c r="E36" s="50"/>
      <c r="F36" s="50">
        <f t="shared" si="1"/>
        <v>0</v>
      </c>
      <c r="G36" s="50">
        <f>(E36-C36)+-612984</f>
        <v>-1429701.6600000001</v>
      </c>
      <c r="H36" s="18">
        <f t="shared" si="2"/>
        <v>-69.302582172822625</v>
      </c>
      <c r="I36" s="18">
        <f t="shared" si="4"/>
        <v>-941463.97333333327</v>
      </c>
      <c r="J36" s="18">
        <f t="shared" si="5"/>
        <v>-38.160637009807594</v>
      </c>
      <c r="K36" s="18">
        <f t="shared" si="6"/>
        <v>-687298.62599999993</v>
      </c>
      <c r="L36" s="18">
        <f t="shared" si="7"/>
        <v>-32.755981061795012</v>
      </c>
      <c r="M36" s="18">
        <f>IF(SUM(G$5:G36)&lt;&gt;0,SUM(G$5:G36)/COUNTIF(G$5:G36,"&lt;&gt;0")," ")</f>
        <v>-317896.63423076918</v>
      </c>
      <c r="N36" s="18">
        <f>IF(SUM(G$5:G36)=0,0,M36*COUNTIF(G$5:G36,"&lt;&gt;0")/(SUM(B$5:B36))*100)</f>
        <v>-17.237202450786587</v>
      </c>
      <c r="O36" s="19"/>
      <c r="Q36" s="21"/>
    </row>
    <row r="37" spans="1:17" s="20" customFormat="1" ht="13.5" x14ac:dyDescent="0.25">
      <c r="A37" s="49">
        <v>2015</v>
      </c>
      <c r="B37" s="50">
        <v>2038582</v>
      </c>
      <c r="C37" s="51">
        <v>1025363.8999999997</v>
      </c>
      <c r="D37" s="50">
        <f t="shared" si="0"/>
        <v>50.297898244956528</v>
      </c>
      <c r="E37" s="50"/>
      <c r="F37" s="50">
        <f t="shared" si="1"/>
        <v>0</v>
      </c>
      <c r="G37" s="50">
        <f>(E37-C37)+-217080</f>
        <v>-1242443.8999999997</v>
      </c>
      <c r="H37" s="18">
        <f t="shared" si="2"/>
        <v>-60.946476521425176</v>
      </c>
      <c r="I37" s="18">
        <f t="shared" si="4"/>
        <v>-1129348.1466666665</v>
      </c>
      <c r="J37" s="18">
        <f t="shared" si="5"/>
        <v>-38.544646548230702</v>
      </c>
      <c r="K37" s="18">
        <f t="shared" si="6"/>
        <v>-889995.47999999986</v>
      </c>
      <c r="L37" s="18">
        <f t="shared" si="7"/>
        <v>-42.505979432461359</v>
      </c>
      <c r="M37" s="18">
        <f>IF(SUM(G$5:G37)&lt;&gt;0,SUM(G$5:G37)/COUNTIF(G$5:G37,"&lt;&gt;0")," ")</f>
        <v>-352139.12555555551</v>
      </c>
      <c r="N37" s="18">
        <f>IF(SUM(G$5:G37)=0,0,M37*COUNTIF(G$5:G37,"&lt;&gt;0")/(SUM(B$5:B37))*100)</f>
        <v>-19.019693000402459</v>
      </c>
      <c r="O37" s="19"/>
      <c r="P37" s="22"/>
      <c r="Q37" s="21"/>
    </row>
    <row r="38" spans="1:17" s="20" customFormat="1" ht="13.5" x14ac:dyDescent="0.25">
      <c r="A38" s="49">
        <v>2016</v>
      </c>
      <c r="B38" s="50">
        <v>265070.09000000003</v>
      </c>
      <c r="C38" s="51">
        <v>2333793.77</v>
      </c>
      <c r="D38" s="50">
        <f t="shared" si="0"/>
        <v>880.44402520103267</v>
      </c>
      <c r="E38" s="50"/>
      <c r="F38" s="50">
        <f t="shared" si="1"/>
        <v>0</v>
      </c>
      <c r="G38" s="50">
        <f>(E38-C38)+-115401</f>
        <v>-2449194.77</v>
      </c>
      <c r="H38" s="18">
        <f t="shared" si="2"/>
        <v>-923.98005750101788</v>
      </c>
      <c r="I38" s="18">
        <f t="shared" si="4"/>
        <v>-1707113.4433333334</v>
      </c>
      <c r="J38" s="18">
        <f t="shared" si="5"/>
        <v>-117.28340569695837</v>
      </c>
      <c r="K38" s="18">
        <f t="shared" si="6"/>
        <v>-1303206.118</v>
      </c>
      <c r="L38" s="18">
        <f t="shared" si="7"/>
        <v>-67.141138202658738</v>
      </c>
      <c r="M38" s="18">
        <f>IF(SUM(G$5:G38)&lt;&gt;0,SUM(G$5:G38)/COUNTIF(G$5:G38,"&lt;&gt;0")," ")</f>
        <v>-427033.96999999991</v>
      </c>
      <c r="N38" s="18">
        <f>IF(SUM(G$5:G38)=0,0,M38*COUNTIF(G$5:G38,"&lt;&gt;0")/(SUM(B$5:B38))*100)</f>
        <v>-23.792995406269576</v>
      </c>
      <c r="O38" s="19"/>
      <c r="P38" s="22"/>
      <c r="Q38" s="21"/>
    </row>
    <row r="39" spans="1:17" s="20" customFormat="1" ht="13.5" x14ac:dyDescent="0.25">
      <c r="A39" s="49">
        <v>2017</v>
      </c>
      <c r="B39" s="50">
        <v>2471147.6800000002</v>
      </c>
      <c r="C39" s="51"/>
      <c r="D39" s="50">
        <f t="shared" si="0"/>
        <v>0</v>
      </c>
      <c r="E39" s="50"/>
      <c r="F39" s="50">
        <f t="shared" si="1"/>
        <v>0</v>
      </c>
      <c r="G39" s="50">
        <v>-247538.44</v>
      </c>
      <c r="H39" s="18">
        <f t="shared" si="2"/>
        <v>-10.017144746282423</v>
      </c>
      <c r="I39" s="18">
        <f t="shared" si="4"/>
        <v>-1313059.0366666666</v>
      </c>
      <c r="J39" s="18">
        <f t="shared" si="5"/>
        <v>-82.499315149292656</v>
      </c>
      <c r="K39" s="18">
        <f t="shared" si="6"/>
        <v>-1216955.5299999998</v>
      </c>
      <c r="L39" s="18">
        <f t="shared" si="7"/>
        <v>-52.791113686945025</v>
      </c>
      <c r="M39" s="18">
        <f>IF(SUM(G$5:G39)&lt;&gt;0,SUM(G$5:G39)/COUNTIF(G$5:G39,"&lt;&gt;0")," ")</f>
        <v>-420844.46896551718</v>
      </c>
      <c r="N39" s="18">
        <f>IF(SUM(G$5:G39)=0,0,M39*COUNTIF(G$5:G39,"&lt;&gt;0")/(SUM(B$5:B39))*100)</f>
        <v>-23.147343176487368</v>
      </c>
      <c r="O39" s="19"/>
      <c r="P39" s="22"/>
      <c r="Q39" s="21"/>
    </row>
    <row r="40" spans="1:17" s="20" customFormat="1" ht="13.5" x14ac:dyDescent="0.25">
      <c r="A40" s="49">
        <v>2018</v>
      </c>
      <c r="B40" s="50">
        <f>1117765.95+1505072</f>
        <v>2622837.9500000002</v>
      </c>
      <c r="C40" s="51"/>
      <c r="D40" s="50">
        <f t="shared" si="0"/>
        <v>0</v>
      </c>
      <c r="E40" s="50"/>
      <c r="F40" s="50">
        <f t="shared" si="1"/>
        <v>0</v>
      </c>
      <c r="G40" s="50">
        <v>-82004.62</v>
      </c>
      <c r="H40" s="18">
        <f t="shared" si="2"/>
        <v>-3.1265606782912374</v>
      </c>
      <c r="I40" s="18">
        <f t="shared" si="4"/>
        <v>-926245.94333333336</v>
      </c>
      <c r="J40" s="18">
        <f t="shared" si="5"/>
        <v>-51.851258415353804</v>
      </c>
      <c r="K40" s="18">
        <f t="shared" si="6"/>
        <v>-1090176.6780000001</v>
      </c>
      <c r="L40" s="18">
        <f t="shared" si="7"/>
        <v>-57.616541003035337</v>
      </c>
      <c r="M40" s="18">
        <f>IF(SUM(G$5:G40)&lt;&gt;0,SUM(G$5:G40)/COUNTIF(G$5:G40,"&lt;&gt;0")," ")</f>
        <v>-409549.80733333324</v>
      </c>
      <c r="N40" s="18">
        <f>IF(SUM(G$5:G40)=0,0,M40*COUNTIF(G$5:G40,"&lt;&gt;0")/(SUM(B$5:B40))*100)</f>
        <v>-22.19859697057424</v>
      </c>
      <c r="O40" s="19"/>
      <c r="P40" s="22"/>
      <c r="Q40" s="21"/>
    </row>
    <row r="41" spans="1:17" s="20" customFormat="1" ht="13.5" x14ac:dyDescent="0.25">
      <c r="A41" s="49">
        <v>2019</v>
      </c>
      <c r="B41" s="50">
        <f>1110205.8+634119</f>
        <v>1744324.8</v>
      </c>
      <c r="C41" s="51"/>
      <c r="D41" s="50">
        <f t="shared" si="0"/>
        <v>0</v>
      </c>
      <c r="E41" s="50"/>
      <c r="F41" s="50">
        <f t="shared" si="1"/>
        <v>0</v>
      </c>
      <c r="G41" s="50">
        <v>-2369433.3699999996</v>
      </c>
      <c r="H41" s="18">
        <f t="shared" si="2"/>
        <v>-135.83670713160757</v>
      </c>
      <c r="I41" s="18">
        <f t="shared" si="4"/>
        <v>-899658.80999999994</v>
      </c>
      <c r="J41" s="18">
        <f t="shared" si="5"/>
        <v>-39.468468967999158</v>
      </c>
      <c r="K41" s="18">
        <f t="shared" si="6"/>
        <v>-1278123.02</v>
      </c>
      <c r="L41" s="18">
        <f t="shared" si="7"/>
        <v>-69.904192737819287</v>
      </c>
      <c r="M41" s="18">
        <f>IF(SUM(G$5:G41)&lt;&gt;0,SUM(G$5:G41)/COUNTIF(G$5:G41,"&lt;&gt;0")," ")</f>
        <v>-472771.85774193535</v>
      </c>
      <c r="N41" s="18">
        <f>IF(SUM(G$5:G41)=0,0,M41*COUNTIF(G$5:G41,"&lt;&gt;0")/(SUM(B$5:B41))*100)</f>
        <v>-25.670544267951922</v>
      </c>
      <c r="O41" s="19"/>
      <c r="P41" s="22"/>
      <c r="Q41" s="21"/>
    </row>
    <row r="42" spans="1:17" s="20" customFormat="1" ht="13.5" x14ac:dyDescent="0.25">
      <c r="A42" s="49">
        <v>2020</v>
      </c>
      <c r="B42" s="50">
        <v>3203911.6</v>
      </c>
      <c r="C42" s="51"/>
      <c r="D42" s="50">
        <f t="shared" si="0"/>
        <v>0</v>
      </c>
      <c r="E42" s="50"/>
      <c r="F42" s="50">
        <f t="shared" si="1"/>
        <v>0</v>
      </c>
      <c r="G42" s="50">
        <v>-2112085.9699999997</v>
      </c>
      <c r="H42" s="18">
        <f t="shared" si="2"/>
        <v>-65.922105029364715</v>
      </c>
      <c r="I42" s="18">
        <f t="shared" si="4"/>
        <v>-1521174.6533333331</v>
      </c>
      <c r="J42" s="18">
        <f t="shared" si="5"/>
        <v>-60.275777901982948</v>
      </c>
      <c r="K42" s="18">
        <f t="shared" si="6"/>
        <v>-1452051.4339999999</v>
      </c>
      <c r="L42" s="18">
        <f t="shared" si="7"/>
        <v>-70.438065453800277</v>
      </c>
      <c r="M42" s="18">
        <f>IF(SUM(G$5:G42)&lt;&gt;0,SUM(G$5:G42)/COUNTIF(G$5:G42,"&lt;&gt;0")," ")</f>
        <v>-524000.42374999984</v>
      </c>
      <c r="N42" s="18">
        <f>IF(SUM(G$5:G42)=0,0,M42*COUNTIF(G$5:G42,"&lt;&gt;0")/(SUM(B$5:B42))*100)</f>
        <v>-27.809356038738464</v>
      </c>
      <c r="O42" s="19"/>
      <c r="P42" s="22"/>
      <c r="Q42" s="21"/>
    </row>
    <row r="43" spans="1:17" s="20" customFormat="1" ht="13.5" x14ac:dyDescent="0.25">
      <c r="A43" s="49">
        <v>2021</v>
      </c>
      <c r="B43" s="50">
        <v>18566277.920000002</v>
      </c>
      <c r="C43" s="51"/>
      <c r="D43" s="50"/>
      <c r="E43" s="50"/>
      <c r="F43" s="50"/>
      <c r="G43" s="50">
        <v>-2795000.52</v>
      </c>
      <c r="H43" s="18">
        <f t="shared" si="2"/>
        <v>-15.054177967405971</v>
      </c>
      <c r="I43" s="18">
        <f t="shared" si="4"/>
        <v>-2425506.6199999996</v>
      </c>
      <c r="J43" s="18">
        <f t="shared" si="5"/>
        <v>-30.944801840159798</v>
      </c>
      <c r="K43" s="18">
        <f t="shared" si="6"/>
        <v>-1521212.584</v>
      </c>
      <c r="L43" s="18">
        <f t="shared" si="7"/>
        <v>-26.586723992146954</v>
      </c>
      <c r="M43" s="18">
        <f>IF(SUM(G$5:G43)&lt;&gt;0,SUM(G$5:G43)/COUNTIF(G$5:G43,"&lt;&gt;0")," ")</f>
        <v>-592818.60848484829</v>
      </c>
      <c r="N43" s="18">
        <f>IF(SUM(G$5:G43)=0,0,M43*COUNTIF(G$5:G43,"&lt;&gt;0")/(SUM(B$5:B43))*100)</f>
        <v>-24.806459374198873</v>
      </c>
      <c r="O43" s="19"/>
      <c r="P43" s="22"/>
      <c r="Q43" s="21"/>
    </row>
    <row r="44" spans="1:17" s="20" customFormat="1" ht="13.5" x14ac:dyDescent="0.25">
      <c r="A44" s="23"/>
      <c r="B44" s="24"/>
      <c r="C44" s="24"/>
      <c r="D44" s="25"/>
      <c r="E44" s="50"/>
      <c r="F44" s="18"/>
      <c r="G44" s="50"/>
      <c r="H44" s="18"/>
      <c r="I44" s="18"/>
      <c r="J44" s="18"/>
      <c r="K44" s="18"/>
      <c r="L44" s="18"/>
      <c r="M44" s="18"/>
      <c r="N44" s="18"/>
      <c r="O44" s="19"/>
    </row>
    <row r="45" spans="1:17" s="32" customFormat="1" ht="30" customHeight="1" x14ac:dyDescent="0.3">
      <c r="A45" s="26" t="s">
        <v>17</v>
      </c>
      <c r="B45" s="27">
        <f>SUM(B5:B44)</f>
        <v>78862580.850000009</v>
      </c>
      <c r="C45" s="27">
        <f>SUM(C5:C44)</f>
        <v>11028700.34</v>
      </c>
      <c r="D45" s="28">
        <f t="shared" si="0"/>
        <v>13.984706334905598</v>
      </c>
      <c r="E45" s="29">
        <f>SUM(E5:E44)</f>
        <v>1252354.3899999999</v>
      </c>
      <c r="F45" s="28">
        <f>E45/B45*100</f>
        <v>1.5880210570105882</v>
      </c>
      <c r="G45" s="29">
        <f>SUM(G5:G44)</f>
        <v>-19563014.079999994</v>
      </c>
      <c r="H45" s="28">
        <f t="shared" si="2"/>
        <v>-24.806459374198873</v>
      </c>
      <c r="I45" s="30"/>
      <c r="J45" s="30"/>
      <c r="K45" s="30"/>
      <c r="L45" s="30"/>
      <c r="M45" s="30"/>
      <c r="N45" s="30"/>
      <c r="O45" s="31"/>
    </row>
    <row r="47" spans="1:17" x14ac:dyDescent="0.35">
      <c r="B47" s="38"/>
    </row>
    <row r="48" spans="1:17" x14ac:dyDescent="0.35">
      <c r="B48" s="38"/>
    </row>
  </sheetData>
  <conditionalFormatting sqref="A5:XFD31 A39:F43 A38 C38:XFD38 A34:XFD37 A32:F33 H32:XFD33 H39:XFD42 H43:H44 I43:XFD43">
    <cfRule type="expression" dxfId="13" priority="5">
      <formula>MOD(ROW(),2)=0</formula>
    </cfRule>
  </conditionalFormatting>
  <conditionalFormatting sqref="A45:XFD45 A44:G44 I44:XFD44">
    <cfRule type="expression" dxfId="12" priority="4">
      <formula>MOD(ROW(),2)=0</formula>
    </cfRule>
  </conditionalFormatting>
  <conditionalFormatting sqref="B38">
    <cfRule type="expression" dxfId="11" priority="3">
      <formula>MOD(ROW(),2)=0</formula>
    </cfRule>
  </conditionalFormatting>
  <conditionalFormatting sqref="G32:G33">
    <cfRule type="expression" dxfId="10" priority="2">
      <formula>MOD(ROW(),2)=0</formula>
    </cfRule>
  </conditionalFormatting>
  <conditionalFormatting sqref="G39:G43">
    <cfRule type="expression" dxfId="9" priority="1">
      <formula>MOD(ROW(),2)=0</formula>
    </cfRule>
  </conditionalFormatting>
  <printOptions horizontalCentered="1"/>
  <pageMargins left="0.7" right="0.7" top="0.75" bottom="0.7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16879-B683-49C8-90E8-06C15EFE1C08}">
  <dimension ref="A1:Q20"/>
  <sheetViews>
    <sheetView tabSelected="1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5.7265625" style="34" customWidth="1"/>
    <col min="3" max="3" width="13.81640625" style="34" hidden="1" customWidth="1"/>
    <col min="4" max="6" width="12.54296875" style="35" hidden="1" customWidth="1"/>
    <col min="7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18</v>
      </c>
      <c r="B2" s="40"/>
      <c r="C2" s="40"/>
      <c r="D2" s="40"/>
      <c r="E2" s="40"/>
      <c r="F2" s="40"/>
      <c r="G2" s="47"/>
      <c r="H2" s="41"/>
      <c r="I2" s="42"/>
      <c r="J2" s="42"/>
      <c r="K2" s="42"/>
      <c r="L2" s="42"/>
      <c r="M2" s="42"/>
      <c r="N2" s="42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2011</v>
      </c>
      <c r="B5" s="50">
        <v>67929.179999999993</v>
      </c>
      <c r="C5" s="51"/>
      <c r="D5" s="50">
        <f t="shared" ref="D5:D17" si="0">C5/B5*100</f>
        <v>0</v>
      </c>
      <c r="E5" s="50"/>
      <c r="F5" s="50">
        <f t="shared" ref="F5:F14" si="1">E5/B5*100</f>
        <v>0</v>
      </c>
      <c r="G5" s="50">
        <v>-59600</v>
      </c>
      <c r="H5" s="18"/>
      <c r="I5" s="18"/>
      <c r="J5" s="18"/>
      <c r="K5" s="18"/>
      <c r="L5" s="18"/>
      <c r="M5" s="18">
        <f>IF(SUM(G$5:G5)&lt;&gt;0,SUM(G$5:G5)/COUNTIF(G$5:G5,"&lt;&gt;0")," ")</f>
        <v>-59600</v>
      </c>
      <c r="N5" s="18">
        <f>IF(SUM(G$5:G5)=0,0,M5*COUNTIF(G$5:G5,"&lt;&gt;0")/(SUM(B$5:B5))*100)</f>
        <v>-87.738435823897774</v>
      </c>
      <c r="O5" s="19"/>
      <c r="Q5" s="21"/>
    </row>
    <row r="6" spans="1:17" s="20" customFormat="1" ht="13.5" x14ac:dyDescent="0.25">
      <c r="A6" s="49">
        <v>2012</v>
      </c>
      <c r="B6" s="50"/>
      <c r="C6" s="51"/>
      <c r="D6" s="50" t="e">
        <f t="shared" si="0"/>
        <v>#DIV/0!</v>
      </c>
      <c r="E6" s="50"/>
      <c r="F6" s="50" t="e">
        <f t="shared" si="1"/>
        <v>#DIV/0!</v>
      </c>
      <c r="G6" s="50">
        <v>59600</v>
      </c>
      <c r="H6" s="18"/>
      <c r="I6" s="18"/>
      <c r="J6" s="18"/>
      <c r="K6" s="18"/>
      <c r="L6" s="18"/>
      <c r="M6" s="18" t="str">
        <f>IF(SUM(G$5:G6)&lt;&gt;0,SUM(G$5:G6)/COUNTIF(G$5:G6,"&lt;&gt;0")," ")</f>
        <v xml:space="preserve"> </v>
      </c>
      <c r="N6" s="18">
        <f>IF(SUM(G$5:G6)=0,0,M6*COUNTIF(G$5:G6,"&lt;&gt;0")/(SUM(B$5:B6))*100)</f>
        <v>0</v>
      </c>
      <c r="O6" s="19"/>
      <c r="Q6" s="21"/>
    </row>
    <row r="7" spans="1:17" s="20" customFormat="1" ht="13.5" x14ac:dyDescent="0.25">
      <c r="A7" s="49">
        <v>2013</v>
      </c>
      <c r="B7" s="50">
        <v>28833</v>
      </c>
      <c r="C7" s="51"/>
      <c r="D7" s="50">
        <f t="shared" si="0"/>
        <v>0</v>
      </c>
      <c r="E7" s="50"/>
      <c r="F7" s="50">
        <f t="shared" si="1"/>
        <v>0</v>
      </c>
      <c r="G7" s="50">
        <v>0</v>
      </c>
      <c r="H7" s="18"/>
      <c r="I7" s="18">
        <f t="shared" ref="I7:I15" si="2">SUM(G5:G7)/3</f>
        <v>0</v>
      </c>
      <c r="J7" s="18">
        <f t="shared" ref="J7:J15" si="3">IF(SUM(B5:B7)=0,0,I7/(SUM(B5:B7)/3)*100)</f>
        <v>0</v>
      </c>
      <c r="K7" s="18"/>
      <c r="L7" s="18"/>
      <c r="M7" s="18" t="str">
        <f>IF(SUM(G$5:G7)&lt;&gt;0,SUM(G$5:G7)/COUNTIF(G$5:G7,"&lt;&gt;0")," ")</f>
        <v xml:space="preserve"> </v>
      </c>
      <c r="N7" s="18">
        <f>IF(SUM(G$5:G7)=0,0,M7*COUNTIF(G$5:G7,"&lt;&gt;0")/(SUM(B$5:B7))*100)</f>
        <v>0</v>
      </c>
      <c r="O7" s="19"/>
      <c r="Q7" s="21"/>
    </row>
    <row r="8" spans="1:17" s="20" customFormat="1" ht="13.5" x14ac:dyDescent="0.25">
      <c r="A8" s="49">
        <v>2014</v>
      </c>
      <c r="B8" s="50">
        <v>96117.66</v>
      </c>
      <c r="C8" s="51"/>
      <c r="D8" s="50">
        <f t="shared" si="0"/>
        <v>0</v>
      </c>
      <c r="E8" s="50"/>
      <c r="F8" s="50">
        <f t="shared" si="1"/>
        <v>0</v>
      </c>
      <c r="G8" s="50">
        <v>-36063</v>
      </c>
      <c r="H8" s="18"/>
      <c r="I8" s="18">
        <f t="shared" si="2"/>
        <v>7845.666666666667</v>
      </c>
      <c r="J8" s="18">
        <f t="shared" si="3"/>
        <v>18.837035354595166</v>
      </c>
      <c r="K8" s="18"/>
      <c r="L8" s="18"/>
      <c r="M8" s="18">
        <f>IF(SUM(G$5:G8)&lt;&gt;0,SUM(G$5:G8)/COUNTIF(G$5:G8,"&lt;&gt;0")," ")</f>
        <v>-12021</v>
      </c>
      <c r="N8" s="18">
        <f>IF(SUM(G$5:G8)=0,0,M8*COUNTIF(G$5:G8,"&lt;&gt;0")/(SUM(B$5:B8))*100)</f>
        <v>-18.697132888538274</v>
      </c>
      <c r="O8" s="19"/>
      <c r="Q8" s="21"/>
    </row>
    <row r="9" spans="1:17" s="20" customFormat="1" ht="13.5" x14ac:dyDescent="0.25">
      <c r="A9" s="49">
        <v>2015</v>
      </c>
      <c r="B9" s="50">
        <v>2661992.71</v>
      </c>
      <c r="C9" s="51"/>
      <c r="D9" s="50">
        <f t="shared" si="0"/>
        <v>0</v>
      </c>
      <c r="E9" s="50"/>
      <c r="F9" s="50">
        <f t="shared" si="1"/>
        <v>0</v>
      </c>
      <c r="G9" s="50">
        <v>0</v>
      </c>
      <c r="H9" s="18"/>
      <c r="I9" s="18">
        <f t="shared" si="2"/>
        <v>-12021</v>
      </c>
      <c r="J9" s="18">
        <f t="shared" si="3"/>
        <v>-1.2939983061083871</v>
      </c>
      <c r="K9" s="18">
        <f t="shared" ref="K9:K15" si="4">SUM(G5:G9)/5</f>
        <v>-7212.6</v>
      </c>
      <c r="L9" s="18">
        <f t="shared" ref="L9:L15" si="5">IF(SUM(B5:B9)=0,0,K9/(SUM(B5:B9)/5)*100)</f>
        <v>-1.2632087551509086</v>
      </c>
      <c r="M9" s="18">
        <f>IF(SUM(G$5:G9)&lt;&gt;0,SUM(G$5:G9)/COUNTIF(G$5:G9,"&lt;&gt;0")," ")</f>
        <v>-12021</v>
      </c>
      <c r="N9" s="18">
        <f>IF(SUM(G$5:G9)=0,0,M9*COUNTIF(G$5:G9,"&lt;&gt;0")/(SUM(B$5:B9))*100)</f>
        <v>-1.2632087551509086</v>
      </c>
      <c r="O9" s="19"/>
      <c r="P9" s="22"/>
      <c r="Q9" s="21"/>
    </row>
    <row r="10" spans="1:17" s="20" customFormat="1" ht="13.5" x14ac:dyDescent="0.25">
      <c r="A10" s="49">
        <v>2016</v>
      </c>
      <c r="B10" s="50">
        <v>745160.76</v>
      </c>
      <c r="C10" s="51"/>
      <c r="D10" s="50">
        <f t="shared" si="0"/>
        <v>0</v>
      </c>
      <c r="E10" s="50"/>
      <c r="F10" s="50">
        <f t="shared" si="1"/>
        <v>0</v>
      </c>
      <c r="G10" s="50">
        <v>0</v>
      </c>
      <c r="H10" s="18"/>
      <c r="I10" s="18">
        <f t="shared" si="2"/>
        <v>-12021</v>
      </c>
      <c r="J10" s="18">
        <f t="shared" si="3"/>
        <v>-1.0294093337845649</v>
      </c>
      <c r="K10" s="18">
        <f t="shared" si="4"/>
        <v>4707.3999999999996</v>
      </c>
      <c r="L10" s="18">
        <f t="shared" si="5"/>
        <v>0.66637333254385112</v>
      </c>
      <c r="M10" s="18">
        <f>IF(SUM(G$5:G10)&lt;&gt;0,SUM(G$5:G10)/COUNTIF(G$5:G10,"&lt;&gt;0")," ")</f>
        <v>-12021</v>
      </c>
      <c r="N10" s="18">
        <f>IF(SUM(G$5:G10)=0,0,M10*COUNTIF(G$5:G10,"&lt;&gt;0")/(SUM(B$5:B10))*100)</f>
        <v>-1.0017407311156241</v>
      </c>
      <c r="O10" s="19"/>
      <c r="P10" s="22"/>
      <c r="Q10" s="21"/>
    </row>
    <row r="11" spans="1:17" s="20" customFormat="1" ht="13.5" x14ac:dyDescent="0.25">
      <c r="A11" s="49">
        <v>2017</v>
      </c>
      <c r="B11" s="50">
        <v>503030.24</v>
      </c>
      <c r="C11" s="51"/>
      <c r="D11" s="50">
        <f t="shared" si="0"/>
        <v>0</v>
      </c>
      <c r="E11" s="50"/>
      <c r="F11" s="50">
        <f t="shared" si="1"/>
        <v>0</v>
      </c>
      <c r="G11" s="50">
        <v>-47314.9</v>
      </c>
      <c r="H11" s="18">
        <f t="shared" ref="H11:H17" si="6">G11/B11*100</f>
        <v>-9.4059752749655772</v>
      </c>
      <c r="I11" s="18">
        <f t="shared" si="2"/>
        <v>-15771.633333333333</v>
      </c>
      <c r="J11" s="18">
        <f t="shared" si="3"/>
        <v>-1.2100428907980898</v>
      </c>
      <c r="K11" s="18">
        <f t="shared" si="4"/>
        <v>-16675.579999999998</v>
      </c>
      <c r="L11" s="18">
        <f t="shared" si="5"/>
        <v>-2.0662979805552295</v>
      </c>
      <c r="M11" s="18">
        <f>IF(SUM(G$5:G11)&lt;&gt;0,SUM(G$5:G11)/COUNTIF(G$5:G11,"&lt;&gt;0")," ")</f>
        <v>-20844.474999999999</v>
      </c>
      <c r="N11" s="18">
        <f>IF(SUM(G$5:G11)=0,0,M11*COUNTIF(G$5:G11,"&lt;&gt;0")/(SUM(B$5:B11))*100)</f>
        <v>-2.0320889253591989</v>
      </c>
      <c r="O11" s="19"/>
      <c r="P11" s="22"/>
      <c r="Q11" s="21"/>
    </row>
    <row r="12" spans="1:17" s="20" customFormat="1" ht="13.5" x14ac:dyDescent="0.25">
      <c r="A12" s="49">
        <v>2018</v>
      </c>
      <c r="B12" s="50">
        <v>1249056.0900000001</v>
      </c>
      <c r="C12" s="51"/>
      <c r="D12" s="50">
        <f t="shared" si="0"/>
        <v>0</v>
      </c>
      <c r="E12" s="50"/>
      <c r="F12" s="50">
        <f t="shared" si="1"/>
        <v>0</v>
      </c>
      <c r="G12" s="50">
        <v>7318.86</v>
      </c>
      <c r="H12" s="18">
        <f t="shared" si="6"/>
        <v>0.58595126820926025</v>
      </c>
      <c r="I12" s="18">
        <f t="shared" si="2"/>
        <v>-13332.013333333334</v>
      </c>
      <c r="J12" s="18">
        <f t="shared" si="3"/>
        <v>-1.6016052300215116</v>
      </c>
      <c r="K12" s="18">
        <f t="shared" si="4"/>
        <v>-15211.807999999999</v>
      </c>
      <c r="L12" s="18">
        <f t="shared" si="5"/>
        <v>-1.4472667288363672</v>
      </c>
      <c r="M12" s="18">
        <f>IF(SUM(G$5:G12)&lt;&gt;0,SUM(G$5:G12)/COUNTIF(G$5:G12,"&lt;&gt;0")," ")</f>
        <v>-15211.807999999999</v>
      </c>
      <c r="N12" s="18">
        <f>IF(SUM(G$5:G12)=0,0,M12*COUNTIF(G$5:G12,"&lt;&gt;0")/(SUM(B$5:B12))*100)</f>
        <v>-1.4211012667123413</v>
      </c>
      <c r="O12" s="19"/>
      <c r="P12" s="22"/>
      <c r="Q12" s="21"/>
    </row>
    <row r="13" spans="1:17" s="20" customFormat="1" ht="13.5" x14ac:dyDescent="0.25">
      <c r="A13" s="49">
        <v>2019</v>
      </c>
      <c r="B13" s="50">
        <v>827600.83</v>
      </c>
      <c r="C13" s="51"/>
      <c r="D13" s="50">
        <f t="shared" si="0"/>
        <v>0</v>
      </c>
      <c r="E13" s="50"/>
      <c r="F13" s="50">
        <f t="shared" si="1"/>
        <v>0</v>
      </c>
      <c r="G13" s="50">
        <v>-164696.32999999999</v>
      </c>
      <c r="H13" s="18">
        <f t="shared" si="6"/>
        <v>-19.900454908920281</v>
      </c>
      <c r="I13" s="18">
        <f t="shared" si="2"/>
        <v>-68230.789999999994</v>
      </c>
      <c r="J13" s="18">
        <f t="shared" si="3"/>
        <v>-7.9347749282901407</v>
      </c>
      <c r="K13" s="18">
        <f t="shared" si="4"/>
        <v>-40938.474000000002</v>
      </c>
      <c r="L13" s="18">
        <f t="shared" si="5"/>
        <v>-3.4190382315221242</v>
      </c>
      <c r="M13" s="18">
        <f>IF(SUM(G$5:G13)&lt;&gt;0,SUM(G$5:G13)/COUNTIF(G$5:G13,"&lt;&gt;0")," ")</f>
        <v>-40125.894999999997</v>
      </c>
      <c r="N13" s="18">
        <f>IF(SUM(G$5:G13)=0,0,M13*COUNTIF(G$5:G13,"&lt;&gt;0")/(SUM(B$5:B13))*100)</f>
        <v>-3.8958941778801854</v>
      </c>
      <c r="O13" s="19"/>
      <c r="P13" s="22"/>
      <c r="Q13" s="21"/>
    </row>
    <row r="14" spans="1:17" s="20" customFormat="1" ht="13.5" x14ac:dyDescent="0.25">
      <c r="A14" s="49">
        <v>2020</v>
      </c>
      <c r="B14" s="50">
        <v>33594.379999999997</v>
      </c>
      <c r="C14" s="51"/>
      <c r="D14" s="50">
        <f t="shared" si="0"/>
        <v>0</v>
      </c>
      <c r="E14" s="50"/>
      <c r="F14" s="50">
        <f t="shared" si="1"/>
        <v>0</v>
      </c>
      <c r="G14" s="50">
        <v>-165351.21</v>
      </c>
      <c r="H14" s="18">
        <f t="shared" si="6"/>
        <v>-492.19902257460922</v>
      </c>
      <c r="I14" s="18">
        <f t="shared" si="2"/>
        <v>-107576.22666666667</v>
      </c>
      <c r="J14" s="18">
        <f t="shared" si="3"/>
        <v>-15.293376670352011</v>
      </c>
      <c r="K14" s="18">
        <f t="shared" si="4"/>
        <v>-74008.715999999986</v>
      </c>
      <c r="L14" s="18">
        <f t="shared" si="5"/>
        <v>-11.01830988729507</v>
      </c>
      <c r="M14" s="18">
        <f>IF(SUM(G$5:G14)&lt;&gt;0,SUM(G$5:G14)/COUNTIF(G$5:G14,"&lt;&gt;0")," ")</f>
        <v>-58015.225714285705</v>
      </c>
      <c r="N14" s="18">
        <f>IF(SUM(G$5:G14)=0,0,M14*COUNTIF(G$5:G14,"&lt;&gt;0")/(SUM(B$5:B14))*100)</f>
        <v>-6.5360695507004598</v>
      </c>
      <c r="O14" s="19"/>
      <c r="P14" s="22"/>
      <c r="Q14" s="21"/>
    </row>
    <row r="15" spans="1:17" s="20" customFormat="1" ht="13.5" x14ac:dyDescent="0.25">
      <c r="A15" s="49">
        <v>2021</v>
      </c>
      <c r="B15" s="50">
        <v>4055912.81</v>
      </c>
      <c r="C15" s="51"/>
      <c r="D15" s="50"/>
      <c r="E15" s="50"/>
      <c r="F15" s="50"/>
      <c r="G15" s="50">
        <v>-166678.1</v>
      </c>
      <c r="H15" s="18">
        <f t="shared" si="6"/>
        <v>-4.1095089516976078</v>
      </c>
      <c r="I15" s="18">
        <f t="shared" si="2"/>
        <v>-165575.21333333335</v>
      </c>
      <c r="J15" s="18">
        <f t="shared" si="3"/>
        <v>-10.101987549990818</v>
      </c>
      <c r="K15" s="18">
        <f t="shared" si="4"/>
        <v>-107344.33599999998</v>
      </c>
      <c r="L15" s="18">
        <f t="shared" si="5"/>
        <v>-8.0477738664191119</v>
      </c>
      <c r="M15" s="18">
        <f>IF(SUM(G$5:G15)&lt;&gt;0,SUM(G$5:G15)/COUNTIF(G$5:G15,"&lt;&gt;0")," ")</f>
        <v>-71598.084999999992</v>
      </c>
      <c r="N15" s="18">
        <f>IF(SUM(G$5:G15)=0,0,M15*COUNTIF(G$5:G15,"&lt;&gt;0")/(SUM(B$5:B15))*100)</f>
        <v>-5.5776802205980109</v>
      </c>
      <c r="O15" s="19"/>
      <c r="P15" s="22"/>
      <c r="Q15" s="21"/>
    </row>
    <row r="16" spans="1:17" s="20" customFormat="1" ht="13.5" x14ac:dyDescent="0.25">
      <c r="A16" s="23"/>
      <c r="B16" s="24"/>
      <c r="C16" s="24"/>
      <c r="D16" s="25"/>
      <c r="E16" s="50"/>
      <c r="F16" s="18"/>
      <c r="G16" s="50"/>
      <c r="H16" s="25"/>
      <c r="I16" s="18"/>
      <c r="J16" s="18"/>
      <c r="K16" s="18"/>
      <c r="L16" s="18"/>
      <c r="M16" s="18"/>
      <c r="N16" s="18"/>
      <c r="O16" s="19"/>
    </row>
    <row r="17" spans="1:15" s="32" customFormat="1" ht="30" customHeight="1" x14ac:dyDescent="0.3">
      <c r="A17" s="26" t="s">
        <v>17</v>
      </c>
      <c r="B17" s="27">
        <f>SUM(B5:B16)</f>
        <v>10269227.66</v>
      </c>
      <c r="C17" s="27">
        <f>SUM(C5:C16)</f>
        <v>0</v>
      </c>
      <c r="D17" s="28">
        <f t="shared" si="0"/>
        <v>0</v>
      </c>
      <c r="E17" s="29">
        <f>SUM(E5:E16)</f>
        <v>0</v>
      </c>
      <c r="F17" s="28">
        <f>E17/B17*100</f>
        <v>0</v>
      </c>
      <c r="G17" s="29">
        <f>SUM(G5:G16)</f>
        <v>-572784.67999999993</v>
      </c>
      <c r="H17" s="28">
        <f t="shared" si="6"/>
        <v>-5.5776802205980109</v>
      </c>
      <c r="I17" s="30"/>
      <c r="J17" s="30"/>
      <c r="K17" s="30"/>
      <c r="L17" s="30"/>
      <c r="M17" s="30"/>
      <c r="N17" s="30"/>
      <c r="O17" s="31"/>
    </row>
    <row r="19" spans="1:15" x14ac:dyDescent="0.35">
      <c r="B19" s="38"/>
    </row>
    <row r="20" spans="1:15" x14ac:dyDescent="0.35">
      <c r="B20" s="38"/>
    </row>
  </sheetData>
  <conditionalFormatting sqref="A14:F15 A11:A13 C11:F13 A5:F10 H5:XFD14 H15:M15 O15:XFD15 N15:N16">
    <cfRule type="expression" dxfId="69" priority="4">
      <formula>MOD(ROW(),2)=0</formula>
    </cfRule>
  </conditionalFormatting>
  <conditionalFormatting sqref="A17:XFD17 A16:M16 O16:XFD16">
    <cfRule type="expression" dxfId="68" priority="3">
      <formula>MOD(ROW(),2)=0</formula>
    </cfRule>
  </conditionalFormatting>
  <conditionalFormatting sqref="B11:B13">
    <cfRule type="expression" dxfId="67" priority="2">
      <formula>MOD(ROW(),2)=0</formula>
    </cfRule>
  </conditionalFormatting>
  <conditionalFormatting sqref="G5:G15">
    <cfRule type="expression" dxfId="66" priority="1">
      <formula>MOD(ROW(),2)=0</formula>
    </cfRule>
  </conditionalFormatting>
  <printOptions horizontalCentered="1"/>
  <pageMargins left="0.7" right="0.7" top="0.75" bottom="0.75" header="0.3" footer="0.3"/>
  <pageSetup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89DB-76CA-45D9-85C5-13657B77844F}">
  <dimension ref="A1:Q52"/>
  <sheetViews>
    <sheetView tabSelected="1" view="pageBreakPreview" zoomScale="60" zoomScaleNormal="100" workbookViewId="0">
      <selection activeCell="B5" sqref="B5"/>
    </sheetView>
  </sheetViews>
  <sheetFormatPr defaultColWidth="9" defaultRowHeight="16" x14ac:dyDescent="0.35"/>
  <cols>
    <col min="1" max="1" width="7.26953125" style="33" customWidth="1"/>
    <col min="2" max="2" width="24.7265625" style="34" customWidth="1"/>
    <col min="3" max="3" width="13.81640625" style="34" hidden="1" customWidth="1"/>
    <col min="4" max="5" width="12.54296875" style="35" hidden="1" customWidth="1"/>
    <col min="6" max="6" width="0.1796875" style="35" customWidth="1"/>
    <col min="7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38</v>
      </c>
      <c r="B2" s="40"/>
      <c r="C2" s="40"/>
      <c r="D2" s="40"/>
      <c r="E2" s="40"/>
      <c r="F2" s="40"/>
      <c r="G2" s="47"/>
      <c r="H2" s="41"/>
      <c r="I2" s="6"/>
      <c r="J2" s="6"/>
      <c r="K2" s="6"/>
      <c r="L2" s="6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9"/>
      <c r="J3" s="9"/>
      <c r="K3" s="9"/>
      <c r="L3" s="9"/>
      <c r="M3" s="9"/>
      <c r="N3" s="9"/>
      <c r="O3" s="10"/>
    </row>
    <row r="4" spans="1:17" s="16" customFormat="1" ht="41.25" customHeigh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1983</v>
      </c>
      <c r="B5" s="50">
        <v>670210</v>
      </c>
      <c r="C5" s="51"/>
      <c r="D5" s="50">
        <f t="shared" ref="D5:D45" si="0">C5/B5*100</f>
        <v>0</v>
      </c>
      <c r="E5" s="50">
        <v>34920.199999999997</v>
      </c>
      <c r="F5" s="50">
        <f t="shared" ref="F5:F42" si="1">E5/B5*100</f>
        <v>5.2103370585338915</v>
      </c>
      <c r="G5" s="50">
        <f>(E5-C5)</f>
        <v>34920.199999999997</v>
      </c>
      <c r="H5" s="18">
        <f t="shared" ref="H5:H45" si="2">G5/B5*100</f>
        <v>5.2103370585338915</v>
      </c>
      <c r="I5" s="18"/>
      <c r="J5" s="18"/>
      <c r="K5" s="18"/>
      <c r="L5" s="18"/>
      <c r="M5" s="18">
        <f>IF(SUM(G$5:G5)&lt;&gt;0,SUM(G$5:G5)/COUNTIF(G$5:G5,"&lt;&gt;0")," ")</f>
        <v>34920.199999999997</v>
      </c>
      <c r="N5" s="18">
        <f>IF(SUM(G$5:G5)=0,0,M5*COUNTIF(G$5:G5,"&lt;&gt;0")/(SUM(B$5:B5))*100)</f>
        <v>5.2103370585338915</v>
      </c>
      <c r="O5" s="19"/>
      <c r="Q5" s="21"/>
    </row>
    <row r="6" spans="1:17" s="20" customFormat="1" ht="13.5" x14ac:dyDescent="0.25">
      <c r="A6" s="49">
        <v>1984</v>
      </c>
      <c r="B6" s="50">
        <v>765326</v>
      </c>
      <c r="C6" s="51"/>
      <c r="D6" s="50">
        <f t="shared" si="0"/>
        <v>0</v>
      </c>
      <c r="E6" s="50">
        <v>39369</v>
      </c>
      <c r="F6" s="50">
        <f t="shared" si="1"/>
        <v>5.144082391033364</v>
      </c>
      <c r="G6" s="50">
        <f t="shared" ref="G6:G31" si="3">(E6-C6)</f>
        <v>39369</v>
      </c>
      <c r="H6" s="18">
        <f t="shared" si="2"/>
        <v>5.144082391033364</v>
      </c>
      <c r="I6" s="18"/>
      <c r="J6" s="18"/>
      <c r="K6" s="18"/>
      <c r="L6" s="18"/>
      <c r="M6" s="18">
        <f>IF(SUM(G$5:G6)&lt;&gt;0,SUM(G$5:G6)/COUNTIF(G$5:G6,"&lt;&gt;0")," ")</f>
        <v>37144.6</v>
      </c>
      <c r="N6" s="18">
        <f>IF(SUM(G$5:G6)=0,0,M6*COUNTIF(G$5:G6,"&lt;&gt;0")/(SUM(B$5:B6))*100)</f>
        <v>5.175014768003031</v>
      </c>
      <c r="O6" s="19"/>
      <c r="Q6" s="21"/>
    </row>
    <row r="7" spans="1:17" s="20" customFormat="1" ht="13.5" x14ac:dyDescent="0.25">
      <c r="A7" s="49">
        <v>1985</v>
      </c>
      <c r="B7" s="50">
        <v>853325</v>
      </c>
      <c r="C7" s="51">
        <v>270</v>
      </c>
      <c r="D7" s="50">
        <f t="shared" si="0"/>
        <v>3.1640933993496032E-2</v>
      </c>
      <c r="E7" s="50">
        <v>33390.050000000003</v>
      </c>
      <c r="F7" s="50">
        <f t="shared" si="1"/>
        <v>3.9129346966278971</v>
      </c>
      <c r="G7" s="50">
        <f t="shared" si="3"/>
        <v>33120.050000000003</v>
      </c>
      <c r="H7" s="18">
        <f t="shared" si="2"/>
        <v>3.8812937626344008</v>
      </c>
      <c r="I7" s="18">
        <f>SUM(G5:G7)/3</f>
        <v>35803.083333333336</v>
      </c>
      <c r="J7" s="18">
        <f>IF(SUM(B5:B7)=0,0,I7/(SUM(B5:B7)/3)*100)</f>
        <v>4.6926943138967374</v>
      </c>
      <c r="K7" s="18"/>
      <c r="L7" s="18"/>
      <c r="M7" s="18">
        <f>IF(SUM(G$5:G7)&lt;&gt;0,SUM(G$5:G7)/COUNTIF(G$5:G7,"&lt;&gt;0")," ")</f>
        <v>35803.083333333336</v>
      </c>
      <c r="N7" s="18">
        <f>IF(SUM(G$5:G7)=0,0,M7*COUNTIF(G$5:G7,"&lt;&gt;0")/(SUM(B$5:B7))*100)</f>
        <v>4.6926943138967374</v>
      </c>
      <c r="O7" s="19"/>
      <c r="Q7" s="21"/>
    </row>
    <row r="8" spans="1:17" s="20" customFormat="1" ht="13.5" x14ac:dyDescent="0.25">
      <c r="A8" s="49">
        <v>1986</v>
      </c>
      <c r="B8" s="50">
        <v>1177249</v>
      </c>
      <c r="C8" s="51"/>
      <c r="D8" s="50">
        <f t="shared" si="0"/>
        <v>0</v>
      </c>
      <c r="E8" s="50"/>
      <c r="F8" s="50">
        <f t="shared" si="1"/>
        <v>0</v>
      </c>
      <c r="G8" s="50">
        <f t="shared" si="3"/>
        <v>0</v>
      </c>
      <c r="H8" s="18">
        <f t="shared" si="2"/>
        <v>0</v>
      </c>
      <c r="I8" s="18">
        <f t="shared" ref="I8:I43" si="4">SUM(G6:G8)/3</f>
        <v>24163.016666666666</v>
      </c>
      <c r="J8" s="18">
        <f t="shared" ref="J8:J43" si="5">IF(SUM(B6:B8)=0,0,I8/(SUM(B6:B8)/3)*100)</f>
        <v>2.5926910833720807</v>
      </c>
      <c r="K8" s="18"/>
      <c r="L8" s="18"/>
      <c r="M8" s="18">
        <f>IF(SUM(G$5:G8)&lt;&gt;0,SUM(G$5:G8)/COUNTIF(G$5:G8,"&lt;&gt;0")," ")</f>
        <v>35803.083333333336</v>
      </c>
      <c r="N8" s="18">
        <f>IF(SUM(G$5:G8)=0,0,M8*COUNTIF(G$5:G8,"&lt;&gt;0")/(SUM(B$5:B8))*100)</f>
        <v>3.0988413524094738</v>
      </c>
      <c r="O8" s="19"/>
      <c r="Q8" s="21"/>
    </row>
    <row r="9" spans="1:17" s="20" customFormat="1" ht="13.5" x14ac:dyDescent="0.25">
      <c r="A9" s="49">
        <v>1987</v>
      </c>
      <c r="B9" s="50">
        <v>955593</v>
      </c>
      <c r="C9" s="51">
        <v>121.92</v>
      </c>
      <c r="D9" s="50">
        <f t="shared" si="0"/>
        <v>1.2758569809531882E-2</v>
      </c>
      <c r="E9" s="50">
        <v>27811.89</v>
      </c>
      <c r="F9" s="50">
        <f t="shared" si="1"/>
        <v>2.910432579560545</v>
      </c>
      <c r="G9" s="50">
        <f t="shared" si="3"/>
        <v>27689.97</v>
      </c>
      <c r="H9" s="18">
        <f t="shared" si="2"/>
        <v>2.8976740097510132</v>
      </c>
      <c r="I9" s="18">
        <f t="shared" si="4"/>
        <v>20270.006666666668</v>
      </c>
      <c r="J9" s="18">
        <f t="shared" si="5"/>
        <v>2.0363904630919838</v>
      </c>
      <c r="K9" s="18">
        <f>SUM(G5:G9)/5</f>
        <v>27019.844000000001</v>
      </c>
      <c r="L9" s="18">
        <f>IF(SUM(B5:B9)=0,0,K9/(SUM(B5:B9)/5)*100)</f>
        <v>3.0553662242805544</v>
      </c>
      <c r="M9" s="18">
        <f>IF(SUM(G$5:G9)&lt;&gt;0,SUM(G$5:G9)/COUNTIF(G$5:G9,"&lt;&gt;0")," ")</f>
        <v>33774.805</v>
      </c>
      <c r="N9" s="18">
        <f>IF(SUM(G$5:G9)=0,0,M9*COUNTIF(G$5:G9,"&lt;&gt;0")/(SUM(B$5:B9))*100)</f>
        <v>3.0553662242805544</v>
      </c>
      <c r="O9" s="19"/>
      <c r="Q9" s="21"/>
    </row>
    <row r="10" spans="1:17" s="20" customFormat="1" ht="13.5" x14ac:dyDescent="0.25">
      <c r="A10" s="49">
        <v>1988</v>
      </c>
      <c r="B10" s="50">
        <v>1067020</v>
      </c>
      <c r="C10" s="51">
        <v>6422.76</v>
      </c>
      <c r="D10" s="50">
        <f t="shared" si="0"/>
        <v>0.60193435924350058</v>
      </c>
      <c r="E10" s="50">
        <v>22940.240000000002</v>
      </c>
      <c r="F10" s="50">
        <f t="shared" si="1"/>
        <v>2.1499353339206393</v>
      </c>
      <c r="G10" s="50">
        <f t="shared" si="3"/>
        <v>16517.480000000003</v>
      </c>
      <c r="H10" s="18">
        <f t="shared" si="2"/>
        <v>1.5480009746771386</v>
      </c>
      <c r="I10" s="18">
        <f t="shared" si="4"/>
        <v>14735.816666666668</v>
      </c>
      <c r="J10" s="18">
        <f t="shared" si="5"/>
        <v>1.3815423915156342</v>
      </c>
      <c r="K10" s="18">
        <f t="shared" ref="K10:K43" si="6">SUM(G6:G10)/5</f>
        <v>23339.3</v>
      </c>
      <c r="L10" s="18">
        <f t="shared" ref="L10:L43" si="7">IF(SUM(B6:B10)=0,0,K10/(SUM(B6:B10)/5)*100)</f>
        <v>2.421836363209978</v>
      </c>
      <c r="M10" s="18">
        <f>IF(SUM(G$5:G10)&lt;&gt;0,SUM(G$5:G10)/COUNTIF(G$5:G10,"&lt;&gt;0")," ")</f>
        <v>30323.340000000004</v>
      </c>
      <c r="N10" s="18">
        <f>IF(SUM(G$5:G10)=0,0,M10*COUNTIF(G$5:G10,"&lt;&gt;0")/(SUM(B$5:B10))*100)</f>
        <v>2.7623310558758387</v>
      </c>
      <c r="O10" s="19"/>
      <c r="Q10" s="21"/>
    </row>
    <row r="11" spans="1:17" s="20" customFormat="1" ht="13.5" x14ac:dyDescent="0.25">
      <c r="A11" s="49">
        <v>1989</v>
      </c>
      <c r="B11" s="50">
        <v>1078230</v>
      </c>
      <c r="C11" s="51"/>
      <c r="D11" s="50">
        <f t="shared" si="0"/>
        <v>0</v>
      </c>
      <c r="E11" s="50">
        <v>25007</v>
      </c>
      <c r="F11" s="50">
        <f t="shared" si="1"/>
        <v>2.3192639789284293</v>
      </c>
      <c r="G11" s="50">
        <f t="shared" si="3"/>
        <v>25007</v>
      </c>
      <c r="H11" s="18">
        <f t="shared" si="2"/>
        <v>2.3192639789284293</v>
      </c>
      <c r="I11" s="18">
        <f t="shared" si="4"/>
        <v>23071.483333333337</v>
      </c>
      <c r="J11" s="18">
        <f t="shared" si="5"/>
        <v>2.2321172016770925</v>
      </c>
      <c r="K11" s="18">
        <f t="shared" si="6"/>
        <v>20466.900000000001</v>
      </c>
      <c r="L11" s="18">
        <f t="shared" si="7"/>
        <v>1.9942737064635365</v>
      </c>
      <c r="M11" s="18">
        <f>IF(SUM(G$5:G11)&lt;&gt;0,SUM(G$5:G11)/COUNTIF(G$5:G11,"&lt;&gt;0")," ")</f>
        <v>29437.283333333336</v>
      </c>
      <c r="N11" s="18">
        <f>IF(SUM(G$5:G11)=0,0,M11*COUNTIF(G$5:G11,"&lt;&gt;0")/(SUM(B$5:B11))*100)</f>
        <v>2.6895837384552626</v>
      </c>
      <c r="O11" s="19"/>
      <c r="Q11" s="21"/>
    </row>
    <row r="12" spans="1:17" s="20" customFormat="1" ht="13.5" x14ac:dyDescent="0.25">
      <c r="A12" s="49">
        <v>1990</v>
      </c>
      <c r="B12" s="50">
        <v>1123930</v>
      </c>
      <c r="C12" s="51">
        <v>76.650000000000006</v>
      </c>
      <c r="D12" s="50">
        <f t="shared" si="0"/>
        <v>6.8198197396635019E-3</v>
      </c>
      <c r="E12" s="50">
        <v>9207.42</v>
      </c>
      <c r="F12" s="50">
        <f t="shared" si="1"/>
        <v>0.81921649924817375</v>
      </c>
      <c r="G12" s="50">
        <f t="shared" si="3"/>
        <v>9130.77</v>
      </c>
      <c r="H12" s="18">
        <f t="shared" si="2"/>
        <v>0.81239667950851036</v>
      </c>
      <c r="I12" s="18">
        <f t="shared" si="4"/>
        <v>16885.083333333332</v>
      </c>
      <c r="J12" s="18">
        <f t="shared" si="5"/>
        <v>1.5494787683761675</v>
      </c>
      <c r="K12" s="18">
        <f t="shared" si="6"/>
        <v>15669.044000000004</v>
      </c>
      <c r="L12" s="18">
        <f t="shared" si="7"/>
        <v>1.4502943527442136</v>
      </c>
      <c r="M12" s="18">
        <f>IF(SUM(G$5:G12)&lt;&gt;0,SUM(G$5:G12)/COUNTIF(G$5:G12,"&lt;&gt;0")," ")</f>
        <v>26536.352857142858</v>
      </c>
      <c r="N12" s="18">
        <f>IF(SUM(G$5:G12)=0,0,M12*COUNTIF(G$5:G12,"&lt;&gt;0")/(SUM(B$5:B12))*100)</f>
        <v>2.4152554394599424</v>
      </c>
      <c r="O12" s="19"/>
      <c r="Q12" s="21"/>
    </row>
    <row r="13" spans="1:17" s="20" customFormat="1" ht="13.5" x14ac:dyDescent="0.25">
      <c r="A13" s="49">
        <v>1991</v>
      </c>
      <c r="B13" s="50">
        <v>1460870</v>
      </c>
      <c r="C13" s="51">
        <v>899.18</v>
      </c>
      <c r="D13" s="50">
        <f t="shared" si="0"/>
        <v>6.1550993586013805E-2</v>
      </c>
      <c r="E13" s="50">
        <v>4995</v>
      </c>
      <c r="F13" s="50">
        <f t="shared" si="1"/>
        <v>0.34191954109537465</v>
      </c>
      <c r="G13" s="50">
        <f t="shared" si="3"/>
        <v>4095.82</v>
      </c>
      <c r="H13" s="18">
        <f t="shared" si="2"/>
        <v>0.28036854750936085</v>
      </c>
      <c r="I13" s="18">
        <f t="shared" si="4"/>
        <v>12744.53</v>
      </c>
      <c r="J13" s="18">
        <f t="shared" si="5"/>
        <v>1.0437695022972786</v>
      </c>
      <c r="K13" s="18">
        <f t="shared" si="6"/>
        <v>16488.208000000006</v>
      </c>
      <c r="L13" s="18">
        <f t="shared" si="7"/>
        <v>1.4499862196764732</v>
      </c>
      <c r="M13" s="18">
        <f>IF(SUM(G$5:G13)&lt;&gt;0,SUM(G$5:G13)/COUNTIF(G$5:G13,"&lt;&gt;0")," ")</f>
        <v>23731.286250000001</v>
      </c>
      <c r="N13" s="18">
        <f>IF(SUM(G$5:G13)=0,0,M13*COUNTIF(G$5:G13,"&lt;&gt;0")/(SUM(B$5:B13))*100)</f>
        <v>2.0744691208340087</v>
      </c>
      <c r="O13" s="19"/>
      <c r="Q13" s="21"/>
    </row>
    <row r="14" spans="1:17" s="20" customFormat="1" ht="13.5" x14ac:dyDescent="0.25">
      <c r="A14" s="49">
        <v>1992</v>
      </c>
      <c r="B14" s="50">
        <v>1225334</v>
      </c>
      <c r="C14" s="51">
        <v>2871.51</v>
      </c>
      <c r="D14" s="50">
        <f t="shared" si="0"/>
        <v>0.2343450846871139</v>
      </c>
      <c r="E14" s="50"/>
      <c r="F14" s="50">
        <f t="shared" si="1"/>
        <v>0</v>
      </c>
      <c r="G14" s="50">
        <f t="shared" si="3"/>
        <v>-2871.51</v>
      </c>
      <c r="H14" s="18">
        <f t="shared" si="2"/>
        <v>-0.2343450846871139</v>
      </c>
      <c r="I14" s="18">
        <f t="shared" si="4"/>
        <v>3451.6933333333332</v>
      </c>
      <c r="J14" s="18">
        <f t="shared" si="5"/>
        <v>0.27177731806807842</v>
      </c>
      <c r="K14" s="18">
        <f t="shared" si="6"/>
        <v>10375.912</v>
      </c>
      <c r="L14" s="18">
        <f t="shared" si="7"/>
        <v>0.87113710887492724</v>
      </c>
      <c r="M14" s="18">
        <f>IF(SUM(G$5:G14)&lt;&gt;0,SUM(G$5:G14)/COUNTIF(G$5:G14,"&lt;&gt;0")," ")</f>
        <v>20775.419999999998</v>
      </c>
      <c r="N14" s="18">
        <f>IF(SUM(G$5:G14)=0,0,M14*COUNTIF(G$5:G14,"&lt;&gt;0")/(SUM(B$5:B14))*100)</f>
        <v>1.8018426558435905</v>
      </c>
      <c r="O14" s="19"/>
      <c r="Q14" s="21"/>
    </row>
    <row r="15" spans="1:17" s="20" customFormat="1" ht="13.5" x14ac:dyDescent="0.25">
      <c r="A15" s="49">
        <v>1993</v>
      </c>
      <c r="B15" s="50">
        <v>1139656</v>
      </c>
      <c r="C15" s="51">
        <v>546.5</v>
      </c>
      <c r="D15" s="50">
        <f t="shared" si="0"/>
        <v>4.7953066539376796E-2</v>
      </c>
      <c r="E15" s="50"/>
      <c r="F15" s="50">
        <f t="shared" si="1"/>
        <v>0</v>
      </c>
      <c r="G15" s="50">
        <f t="shared" si="3"/>
        <v>-546.5</v>
      </c>
      <c r="H15" s="18">
        <f t="shared" si="2"/>
        <v>-4.7953066539376796E-2</v>
      </c>
      <c r="I15" s="18">
        <f t="shared" si="4"/>
        <v>225.93666666666664</v>
      </c>
      <c r="J15" s="18">
        <f t="shared" si="5"/>
        <v>1.7716539549277807E-2</v>
      </c>
      <c r="K15" s="18">
        <f t="shared" si="6"/>
        <v>6963.116</v>
      </c>
      <c r="L15" s="18">
        <f t="shared" si="7"/>
        <v>0.57756245002504969</v>
      </c>
      <c r="M15" s="18">
        <f>IF(SUM(G$5:G15)&lt;&gt;0,SUM(G$5:G15)/COUNTIF(G$5:G15,"&lt;&gt;0")," ")</f>
        <v>18643.227999999999</v>
      </c>
      <c r="N15" s="18">
        <f>IF(SUM(G$5:G15)=0,0,M15*COUNTIF(G$5:G15,"&lt;&gt;0")/(SUM(B$5:B15))*100)</f>
        <v>1.6187934383879194</v>
      </c>
      <c r="O15" s="19"/>
      <c r="Q15" s="21"/>
    </row>
    <row r="16" spans="1:17" s="20" customFormat="1" ht="13.5" x14ac:dyDescent="0.25">
      <c r="A16" s="49">
        <v>1994</v>
      </c>
      <c r="B16" s="50">
        <v>1467536</v>
      </c>
      <c r="C16" s="51">
        <v>484.46</v>
      </c>
      <c r="D16" s="50">
        <f t="shared" si="0"/>
        <v>3.3011796644170907E-2</v>
      </c>
      <c r="E16" s="50"/>
      <c r="F16" s="50">
        <f t="shared" si="1"/>
        <v>0</v>
      </c>
      <c r="G16" s="50">
        <f t="shared" si="3"/>
        <v>-484.46</v>
      </c>
      <c r="H16" s="18">
        <f t="shared" si="2"/>
        <v>-3.3011796644170907E-2</v>
      </c>
      <c r="I16" s="18">
        <f t="shared" si="4"/>
        <v>-1300.8233333333335</v>
      </c>
      <c r="J16" s="18">
        <f t="shared" si="5"/>
        <v>-0.10182501045002695</v>
      </c>
      <c r="K16" s="18">
        <f t="shared" si="6"/>
        <v>1864.8240000000001</v>
      </c>
      <c r="L16" s="18">
        <f t="shared" si="7"/>
        <v>0.14529603139999434</v>
      </c>
      <c r="M16" s="18">
        <f>IF(SUM(G$5:G16)&lt;&gt;0,SUM(G$5:G16)/COUNTIF(G$5:G16,"&lt;&gt;0")," ")</f>
        <v>16904.347272727275</v>
      </c>
      <c r="N16" s="18">
        <f>IF(SUM(G$5:G16)=0,0,M16*COUNTIF(G$5:G16,"&lt;&gt;0")/(SUM(B$5:B16))*100)</f>
        <v>1.4320996953315621</v>
      </c>
      <c r="O16" s="19"/>
      <c r="Q16" s="21"/>
    </row>
    <row r="17" spans="1:17" s="20" customFormat="1" ht="13.5" x14ac:dyDescent="0.25">
      <c r="A17" s="49">
        <v>1995</v>
      </c>
      <c r="B17" s="50">
        <v>2012823</v>
      </c>
      <c r="C17" s="51"/>
      <c r="D17" s="50">
        <f t="shared" si="0"/>
        <v>0</v>
      </c>
      <c r="E17" s="50">
        <v>5068.8</v>
      </c>
      <c r="F17" s="50">
        <f t="shared" si="1"/>
        <v>0.25182542131126284</v>
      </c>
      <c r="G17" s="50">
        <f t="shared" si="3"/>
        <v>5068.8</v>
      </c>
      <c r="H17" s="18">
        <f t="shared" si="2"/>
        <v>0.25182542131126284</v>
      </c>
      <c r="I17" s="18">
        <f t="shared" si="4"/>
        <v>1345.9466666666667</v>
      </c>
      <c r="J17" s="18">
        <f t="shared" si="5"/>
        <v>8.7398850436632786E-2</v>
      </c>
      <c r="K17" s="18">
        <f t="shared" si="6"/>
        <v>1052.43</v>
      </c>
      <c r="L17" s="18">
        <f t="shared" si="7"/>
        <v>7.202288899360941E-2</v>
      </c>
      <c r="M17" s="18">
        <f>IF(SUM(G$5:G17)&lt;&gt;0,SUM(G$5:G17)/COUNTIF(G$5:G17,"&lt;&gt;0")," ")</f>
        <v>15918.051666666666</v>
      </c>
      <c r="N17" s="18">
        <f>IF(SUM(G$5:G17)=0,0,M17*COUNTIF(G$5:G17,"&lt;&gt;0")/(SUM(B$5:B17))*100)</f>
        <v>1.2736902102819598</v>
      </c>
      <c r="O17" s="19"/>
      <c r="Q17" s="21"/>
    </row>
    <row r="18" spans="1:17" s="20" customFormat="1" ht="13.5" x14ac:dyDescent="0.25">
      <c r="A18" s="49">
        <v>1996</v>
      </c>
      <c r="B18" s="50">
        <v>1285120</v>
      </c>
      <c r="C18" s="51">
        <v>4810</v>
      </c>
      <c r="D18" s="50">
        <f t="shared" si="0"/>
        <v>0.37428411354581675</v>
      </c>
      <c r="E18" s="50"/>
      <c r="F18" s="50">
        <f t="shared" si="1"/>
        <v>0</v>
      </c>
      <c r="G18" s="50">
        <f t="shared" si="3"/>
        <v>-4810</v>
      </c>
      <c r="H18" s="18">
        <f t="shared" si="2"/>
        <v>-0.37428411354581675</v>
      </c>
      <c r="I18" s="18">
        <f t="shared" si="4"/>
        <v>-75.219999999999956</v>
      </c>
      <c r="J18" s="18">
        <f t="shared" si="5"/>
        <v>-4.7353057268744621E-3</v>
      </c>
      <c r="K18" s="18">
        <f t="shared" si="6"/>
        <v>-728.73400000000004</v>
      </c>
      <c r="L18" s="18">
        <f t="shared" si="7"/>
        <v>-5.1100004782294123E-2</v>
      </c>
      <c r="M18" s="18">
        <f>IF(SUM(G$5:G18)&lt;&gt;0,SUM(G$5:G18)/COUNTIF(G$5:G18,"&lt;&gt;0")," ")</f>
        <v>14323.586153846154</v>
      </c>
      <c r="N18" s="18">
        <f>IF(SUM(G$5:G18)=0,0,M18*COUNTIF(G$5:G18,"&lt;&gt;0")/(SUM(B$5:B18))*100)</f>
        <v>1.1436192185562879</v>
      </c>
      <c r="O18" s="19"/>
      <c r="Q18" s="21"/>
    </row>
    <row r="19" spans="1:17" s="20" customFormat="1" ht="13.5" x14ac:dyDescent="0.25">
      <c r="A19" s="49">
        <v>1997</v>
      </c>
      <c r="B19" s="50">
        <v>2358960</v>
      </c>
      <c r="C19" s="51"/>
      <c r="D19" s="50">
        <f t="shared" si="0"/>
        <v>0</v>
      </c>
      <c r="E19" s="50"/>
      <c r="F19" s="50">
        <f t="shared" si="1"/>
        <v>0</v>
      </c>
      <c r="G19" s="50">
        <f t="shared" si="3"/>
        <v>0</v>
      </c>
      <c r="H19" s="18">
        <f t="shared" si="2"/>
        <v>0</v>
      </c>
      <c r="I19" s="18">
        <f t="shared" si="4"/>
        <v>86.266666666666723</v>
      </c>
      <c r="J19" s="18">
        <f t="shared" si="5"/>
        <v>4.574941447643705E-3</v>
      </c>
      <c r="K19" s="18">
        <f t="shared" si="6"/>
        <v>-154.43199999999996</v>
      </c>
      <c r="L19" s="18">
        <f t="shared" si="7"/>
        <v>-9.3435518347744044E-3</v>
      </c>
      <c r="M19" s="18">
        <f>IF(SUM(G$5:G19)&lt;&gt;0,SUM(G$5:G19)/COUNTIF(G$5:G19,"&lt;&gt;0")," ")</f>
        <v>14323.586153846154</v>
      </c>
      <c r="N19" s="18">
        <f>IF(SUM(G$5:G19)=0,0,M19*COUNTIF(G$5:G19,"&lt;&gt;0")/(SUM(B$5:B19))*100)</f>
        <v>0.99889921143412463</v>
      </c>
      <c r="O19" s="19"/>
      <c r="Q19" s="21"/>
    </row>
    <row r="20" spans="1:17" s="20" customFormat="1" ht="13.5" x14ac:dyDescent="0.25">
      <c r="A20" s="49">
        <v>1998</v>
      </c>
      <c r="B20" s="50">
        <v>1931633</v>
      </c>
      <c r="C20" s="51"/>
      <c r="D20" s="50">
        <f t="shared" si="0"/>
        <v>0</v>
      </c>
      <c r="E20" s="50"/>
      <c r="F20" s="50">
        <f t="shared" si="1"/>
        <v>0</v>
      </c>
      <c r="G20" s="50">
        <f t="shared" si="3"/>
        <v>0</v>
      </c>
      <c r="H20" s="18">
        <f t="shared" si="2"/>
        <v>0</v>
      </c>
      <c r="I20" s="18">
        <f t="shared" si="4"/>
        <v>-1603.3333333333333</v>
      </c>
      <c r="J20" s="18">
        <f t="shared" si="5"/>
        <v>-8.6266994014935844E-2</v>
      </c>
      <c r="K20" s="18">
        <f t="shared" si="6"/>
        <v>-45.131999999999969</v>
      </c>
      <c r="L20" s="18">
        <f t="shared" si="7"/>
        <v>-2.491808810707334E-3</v>
      </c>
      <c r="M20" s="18">
        <f>IF(SUM(G$5:G20)&lt;&gt;0,SUM(G$5:G20)/COUNTIF(G$5:G20,"&lt;&gt;0")," ")</f>
        <v>14323.586153846154</v>
      </c>
      <c r="N20" s="18">
        <f>IF(SUM(G$5:G20)=0,0,M20*COUNTIF(G$5:G20,"&lt;&gt;0")/(SUM(B$5:B20))*100)</f>
        <v>0.90511006879709943</v>
      </c>
      <c r="O20" s="19"/>
      <c r="Q20" s="21"/>
    </row>
    <row r="21" spans="1:17" s="20" customFormat="1" ht="13.5" x14ac:dyDescent="0.25">
      <c r="A21" s="49">
        <v>1999</v>
      </c>
      <c r="B21" s="50">
        <v>1599321</v>
      </c>
      <c r="C21" s="51"/>
      <c r="D21" s="50">
        <f t="shared" si="0"/>
        <v>0</v>
      </c>
      <c r="E21" s="50"/>
      <c r="F21" s="50">
        <f t="shared" si="1"/>
        <v>0</v>
      </c>
      <c r="G21" s="50">
        <f t="shared" si="3"/>
        <v>0</v>
      </c>
      <c r="H21" s="18">
        <f t="shared" si="2"/>
        <v>0</v>
      </c>
      <c r="I21" s="18">
        <f t="shared" si="4"/>
        <v>0</v>
      </c>
      <c r="J21" s="18">
        <f t="shared" si="5"/>
        <v>0</v>
      </c>
      <c r="K21" s="18">
        <f t="shared" si="6"/>
        <v>51.760000000000034</v>
      </c>
      <c r="L21" s="18">
        <f t="shared" si="7"/>
        <v>2.8167612970032094E-3</v>
      </c>
      <c r="M21" s="18">
        <f>IF(SUM(G$5:G21)&lt;&gt;0,SUM(G$5:G21)/COUNTIF(G$5:G21,"&lt;&gt;0")," ")</f>
        <v>14323.586153846154</v>
      </c>
      <c r="N21" s="18">
        <f>IF(SUM(G$5:G21)=0,0,M21*COUNTIF(G$5:G21,"&lt;&gt;0")/(SUM(B$5:B21))*100)</f>
        <v>0.83982264947319463</v>
      </c>
      <c r="O21" s="19"/>
      <c r="Q21" s="21"/>
    </row>
    <row r="22" spans="1:17" s="20" customFormat="1" ht="13.5" x14ac:dyDescent="0.25">
      <c r="A22" s="49">
        <v>2000</v>
      </c>
      <c r="B22" s="50">
        <v>1079952</v>
      </c>
      <c r="C22" s="51">
        <v>38477.57</v>
      </c>
      <c r="D22" s="50">
        <f t="shared" si="0"/>
        <v>3.5628963139102479</v>
      </c>
      <c r="E22" s="50"/>
      <c r="F22" s="50">
        <f t="shared" si="1"/>
        <v>0</v>
      </c>
      <c r="G22" s="50">
        <f t="shared" si="3"/>
        <v>-38477.57</v>
      </c>
      <c r="H22" s="18">
        <f t="shared" si="2"/>
        <v>-3.5628963139102479</v>
      </c>
      <c r="I22" s="18">
        <f t="shared" si="4"/>
        <v>-12825.856666666667</v>
      </c>
      <c r="J22" s="18">
        <f t="shared" si="5"/>
        <v>-0.83449044504485659</v>
      </c>
      <c r="K22" s="18">
        <f t="shared" si="6"/>
        <v>-8657.5139999999992</v>
      </c>
      <c r="L22" s="18">
        <f t="shared" si="7"/>
        <v>-0.52438090143338822</v>
      </c>
      <c r="M22" s="18">
        <f>IF(SUM(G$5:G22)&lt;&gt;0,SUM(G$5:G22)/COUNTIF(G$5:G22,"&lt;&gt;0")," ")</f>
        <v>10552.074999999999</v>
      </c>
      <c r="N22" s="18">
        <f>IF(SUM(G$5:G22)=0,0,M22*COUNTIF(G$5:G22,"&lt;&gt;0")/(SUM(B$5:B22))*100)</f>
        <v>0.63533670610570536</v>
      </c>
      <c r="O22" s="19"/>
      <c r="Q22" s="21"/>
    </row>
    <row r="23" spans="1:17" s="20" customFormat="1" ht="13.5" x14ac:dyDescent="0.25">
      <c r="A23" s="49">
        <v>2001</v>
      </c>
      <c r="B23" s="50">
        <v>871574</v>
      </c>
      <c r="C23" s="51"/>
      <c r="D23" s="50">
        <f t="shared" si="0"/>
        <v>0</v>
      </c>
      <c r="E23" s="50">
        <v>2996</v>
      </c>
      <c r="F23" s="50">
        <f t="shared" si="1"/>
        <v>0.34374591256737813</v>
      </c>
      <c r="G23" s="50">
        <f t="shared" si="3"/>
        <v>2996</v>
      </c>
      <c r="H23" s="18">
        <f t="shared" si="2"/>
        <v>0.34374591256737813</v>
      </c>
      <c r="I23" s="18">
        <f t="shared" si="4"/>
        <v>-11827.19</v>
      </c>
      <c r="J23" s="18">
        <f t="shared" si="5"/>
        <v>-0.99924243426990789</v>
      </c>
      <c r="K23" s="18">
        <f t="shared" si="6"/>
        <v>-7096.3140000000003</v>
      </c>
      <c r="L23" s="18">
        <f t="shared" si="7"/>
        <v>-0.45248793588932645</v>
      </c>
      <c r="M23" s="18">
        <f>IF(SUM(G$5:G23)&lt;&gt;0,SUM(G$5:G23)/COUNTIF(G$5:G23,"&lt;&gt;0")," ")</f>
        <v>10048.336666666666</v>
      </c>
      <c r="N23" s="18">
        <f>IF(SUM(G$5:G23)=0,0,M23*COUNTIF(G$5:G23,"&lt;&gt;0")/(SUM(B$5:B23))*100)</f>
        <v>0.62480169884655157</v>
      </c>
      <c r="O23" s="19"/>
      <c r="Q23" s="21"/>
    </row>
    <row r="24" spans="1:17" s="20" customFormat="1" ht="13.5" x14ac:dyDescent="0.25">
      <c r="A24" s="49">
        <v>2002</v>
      </c>
      <c r="B24" s="50">
        <v>1388920</v>
      </c>
      <c r="C24" s="51">
        <v>7211.95</v>
      </c>
      <c r="D24" s="50">
        <f t="shared" si="0"/>
        <v>0.51924876882757831</v>
      </c>
      <c r="E24" s="50">
        <v>111382.34</v>
      </c>
      <c r="F24" s="50">
        <f t="shared" si="1"/>
        <v>8.0193488465858351</v>
      </c>
      <c r="G24" s="50">
        <f t="shared" si="3"/>
        <v>104170.39</v>
      </c>
      <c r="H24" s="18">
        <f t="shared" si="2"/>
        <v>7.5001000777582583</v>
      </c>
      <c r="I24" s="18">
        <f t="shared" si="4"/>
        <v>22896.273333333334</v>
      </c>
      <c r="J24" s="18">
        <f t="shared" si="5"/>
        <v>2.0562769163159649</v>
      </c>
      <c r="K24" s="18">
        <f t="shared" si="6"/>
        <v>13737.764000000001</v>
      </c>
      <c r="L24" s="18">
        <f t="shared" si="7"/>
        <v>0.99963355356986938</v>
      </c>
      <c r="M24" s="18">
        <f>IF(SUM(G$5:G24)&lt;&gt;0,SUM(G$5:G24)/COUNTIF(G$5:G24,"&lt;&gt;0")," ")</f>
        <v>15930.965</v>
      </c>
      <c r="N24" s="18">
        <f>IF(SUM(G$5:G24)=0,0,M24*COUNTIF(G$5:G24,"&lt;&gt;0")/(SUM(B$5:B24))*100)</f>
        <v>0.99909699457310908</v>
      </c>
      <c r="O24" s="19"/>
      <c r="Q24" s="21"/>
    </row>
    <row r="25" spans="1:17" s="20" customFormat="1" ht="13.5" x14ac:dyDescent="0.25">
      <c r="A25" s="49">
        <v>2003</v>
      </c>
      <c r="B25" s="50">
        <v>1076445</v>
      </c>
      <c r="C25" s="51"/>
      <c r="D25" s="50">
        <f t="shared" si="0"/>
        <v>0</v>
      </c>
      <c r="E25" s="50"/>
      <c r="F25" s="50">
        <f t="shared" si="1"/>
        <v>0</v>
      </c>
      <c r="G25" s="50">
        <f t="shared" si="3"/>
        <v>0</v>
      </c>
      <c r="H25" s="18">
        <f t="shared" si="2"/>
        <v>0</v>
      </c>
      <c r="I25" s="18">
        <f t="shared" si="4"/>
        <v>35722.129999999997</v>
      </c>
      <c r="J25" s="18">
        <f t="shared" si="5"/>
        <v>3.2115178011944474</v>
      </c>
      <c r="K25" s="18">
        <f t="shared" si="6"/>
        <v>13737.764000000001</v>
      </c>
      <c r="L25" s="18">
        <f t="shared" si="7"/>
        <v>1.1417287156769078</v>
      </c>
      <c r="M25" s="18">
        <f>IF(SUM(G$5:G25)&lt;&gt;0,SUM(G$5:G25)/COUNTIF(G$5:G25,"&lt;&gt;0")," ")</f>
        <v>15930.965</v>
      </c>
      <c r="N25" s="18">
        <f>IF(SUM(G$5:G25)=0,0,M25*COUNTIF(G$5:G25,"&lt;&gt;0")/(SUM(B$5:B25))*100)</f>
        <v>0.95864899456456232</v>
      </c>
      <c r="O25" s="19"/>
      <c r="Q25" s="21"/>
    </row>
    <row r="26" spans="1:17" s="20" customFormat="1" ht="13.5" x14ac:dyDescent="0.25">
      <c r="A26" s="49">
        <v>2004</v>
      </c>
      <c r="B26" s="50">
        <v>1580824</v>
      </c>
      <c r="C26" s="51">
        <v>4978.8500000000004</v>
      </c>
      <c r="D26" s="50">
        <f t="shared" si="0"/>
        <v>0.31495283472416918</v>
      </c>
      <c r="E26" s="50">
        <v>242282.56</v>
      </c>
      <c r="F26" s="50">
        <f t="shared" si="1"/>
        <v>15.326346259925202</v>
      </c>
      <c r="G26" s="50">
        <f t="shared" si="3"/>
        <v>237303.71</v>
      </c>
      <c r="H26" s="18">
        <f t="shared" si="2"/>
        <v>15.011393425201033</v>
      </c>
      <c r="I26" s="18">
        <f t="shared" si="4"/>
        <v>113824.7</v>
      </c>
      <c r="J26" s="18">
        <f t="shared" si="5"/>
        <v>8.4394006310629575</v>
      </c>
      <c r="K26" s="18">
        <f t="shared" si="6"/>
        <v>61198.506000000008</v>
      </c>
      <c r="L26" s="18">
        <f t="shared" si="7"/>
        <v>5.1018184425235287</v>
      </c>
      <c r="M26" s="18">
        <f>IF(SUM(G$5:G26)&lt;&gt;0,SUM(G$5:G26)/COUNTIF(G$5:G26,"&lt;&gt;0")," ")</f>
        <v>28952.891176470588</v>
      </c>
      <c r="N26" s="18">
        <f>IF(SUM(G$5:G26)=0,0,M26*COUNTIF(G$5:G26,"&lt;&gt;0")/(SUM(B$5:B26))*100)</f>
        <v>1.7472550706782226</v>
      </c>
      <c r="O26" s="19"/>
      <c r="Q26" s="21"/>
    </row>
    <row r="27" spans="1:17" s="20" customFormat="1" ht="13.5" x14ac:dyDescent="0.25">
      <c r="A27" s="49">
        <v>2005</v>
      </c>
      <c r="B27" s="50">
        <v>1839783</v>
      </c>
      <c r="C27" s="51">
        <v>6091.98</v>
      </c>
      <c r="D27" s="50">
        <f t="shared" si="0"/>
        <v>0.33112492071075772</v>
      </c>
      <c r="E27" s="50">
        <v>114296.84</v>
      </c>
      <c r="F27" s="50">
        <f t="shared" si="1"/>
        <v>6.2125174545041455</v>
      </c>
      <c r="G27" s="50">
        <f t="shared" si="3"/>
        <v>108204.86</v>
      </c>
      <c r="H27" s="18">
        <f t="shared" si="2"/>
        <v>5.8813925337933881</v>
      </c>
      <c r="I27" s="18">
        <f t="shared" si="4"/>
        <v>115169.52333333333</v>
      </c>
      <c r="J27" s="18">
        <f t="shared" si="5"/>
        <v>7.6830014418334507</v>
      </c>
      <c r="K27" s="18">
        <f t="shared" si="6"/>
        <v>90534.991999999998</v>
      </c>
      <c r="L27" s="18">
        <f t="shared" si="7"/>
        <v>6.6988069337596805</v>
      </c>
      <c r="M27" s="18">
        <f>IF(SUM(G$5:G27)&lt;&gt;0,SUM(G$5:G27)/COUNTIF(G$5:G27,"&lt;&gt;0")," ")</f>
        <v>33355.778333333335</v>
      </c>
      <c r="N27" s="18">
        <f>IF(SUM(G$5:G27)=0,0,M27*COUNTIF(G$5:G27,"&lt;&gt;0")/(SUM(B$5:B27))*100)</f>
        <v>2.0007042071889312</v>
      </c>
      <c r="O27" s="19"/>
      <c r="Q27" s="21"/>
    </row>
    <row r="28" spans="1:17" s="20" customFormat="1" ht="13.5" x14ac:dyDescent="0.25">
      <c r="A28" s="49">
        <v>2006</v>
      </c>
      <c r="B28" s="50">
        <v>2398725</v>
      </c>
      <c r="C28" s="51"/>
      <c r="D28" s="50">
        <f t="shared" si="0"/>
        <v>0</v>
      </c>
      <c r="E28" s="50">
        <v>122933.11</v>
      </c>
      <c r="F28" s="50">
        <f t="shared" si="1"/>
        <v>5.1249355386715854</v>
      </c>
      <c r="G28" s="50">
        <f t="shared" si="3"/>
        <v>122933.11</v>
      </c>
      <c r="H28" s="18">
        <f t="shared" si="2"/>
        <v>5.1249355386715854</v>
      </c>
      <c r="I28" s="18">
        <f t="shared" si="4"/>
        <v>156147.22666666665</v>
      </c>
      <c r="J28" s="18">
        <f t="shared" si="5"/>
        <v>8.0497500400389601</v>
      </c>
      <c r="K28" s="18">
        <f t="shared" si="6"/>
        <v>114522.41399999999</v>
      </c>
      <c r="L28" s="18">
        <f t="shared" si="7"/>
        <v>6.9116839155372851</v>
      </c>
      <c r="M28" s="18">
        <f>IF(SUM(G$5:G28)&lt;&gt;0,SUM(G$5:G28)/COUNTIF(G$5:G28,"&lt;&gt;0")," ")</f>
        <v>38070.374736842103</v>
      </c>
      <c r="N28" s="18">
        <f>IF(SUM(G$5:G28)=0,0,M28*COUNTIF(G$5:G28,"&lt;&gt;0")/(SUM(B$5:B28))*100)</f>
        <v>2.2319461469801665</v>
      </c>
      <c r="O28" s="19"/>
      <c r="Q28" s="21"/>
    </row>
    <row r="29" spans="1:17" s="20" customFormat="1" ht="13.5" x14ac:dyDescent="0.25">
      <c r="A29" s="49">
        <v>2007</v>
      </c>
      <c r="B29" s="50">
        <v>5021259</v>
      </c>
      <c r="C29" s="51"/>
      <c r="D29" s="50">
        <f t="shared" si="0"/>
        <v>0</v>
      </c>
      <c r="E29" s="50">
        <v>315314.05</v>
      </c>
      <c r="F29" s="50">
        <f t="shared" si="1"/>
        <v>6.2795814754825425</v>
      </c>
      <c r="G29" s="50">
        <f t="shared" si="3"/>
        <v>315314.05</v>
      </c>
      <c r="H29" s="18">
        <f t="shared" si="2"/>
        <v>6.2795814754825425</v>
      </c>
      <c r="I29" s="18">
        <f t="shared" si="4"/>
        <v>182150.67333333334</v>
      </c>
      <c r="J29" s="18">
        <f t="shared" si="5"/>
        <v>5.9013582091212449</v>
      </c>
      <c r="K29" s="18">
        <f t="shared" si="6"/>
        <v>156751.14600000001</v>
      </c>
      <c r="L29" s="18">
        <f t="shared" si="7"/>
        <v>6.5767673270434024</v>
      </c>
      <c r="M29" s="18">
        <f>IF(SUM(G$5:G29)&lt;&gt;0,SUM(G$5:G29)/COUNTIF(G$5:G29,"&lt;&gt;0")," ")</f>
        <v>51932.558499999999</v>
      </c>
      <c r="N29" s="18">
        <f>IF(SUM(G$5:G29)=0,0,M29*COUNTIF(G$5:G29,"&lt;&gt;0")/(SUM(B$5:B29))*100)</f>
        <v>2.7749446173882935</v>
      </c>
      <c r="O29" s="19"/>
      <c r="Q29" s="21"/>
    </row>
    <row r="30" spans="1:17" s="20" customFormat="1" ht="13.5" x14ac:dyDescent="0.25">
      <c r="A30" s="49">
        <v>2008</v>
      </c>
      <c r="B30" s="50">
        <v>5092128</v>
      </c>
      <c r="C30" s="51"/>
      <c r="D30" s="50">
        <f t="shared" si="0"/>
        <v>0</v>
      </c>
      <c r="E30" s="50">
        <v>346804.44</v>
      </c>
      <c r="F30" s="50">
        <f t="shared" si="1"/>
        <v>6.8105994193390265</v>
      </c>
      <c r="G30" s="50">
        <f t="shared" si="3"/>
        <v>346804.44</v>
      </c>
      <c r="H30" s="18">
        <f t="shared" si="2"/>
        <v>6.8105994193390265</v>
      </c>
      <c r="I30" s="18">
        <f t="shared" si="4"/>
        <v>261683.86666666667</v>
      </c>
      <c r="J30" s="18">
        <f t="shared" si="5"/>
        <v>6.2743332220811325</v>
      </c>
      <c r="K30" s="18">
        <f t="shared" si="6"/>
        <v>226112.03399999999</v>
      </c>
      <c r="L30" s="18">
        <f t="shared" si="7"/>
        <v>7.0958395111342885</v>
      </c>
      <c r="M30" s="18">
        <f>IF(SUM(G$5:G30)&lt;&gt;0,SUM(G$5:G30)/COUNTIF(G$5:G30,"&lt;&gt;0")," ")</f>
        <v>65974.07666666666</v>
      </c>
      <c r="N30" s="18">
        <f>IF(SUM(G$5:G30)=0,0,M30*COUNTIF(G$5:G30,"&lt;&gt;0")/(SUM(B$5:B30))*100)</f>
        <v>3.258228413292342</v>
      </c>
      <c r="O30" s="19"/>
      <c r="Q30" s="21"/>
    </row>
    <row r="31" spans="1:17" s="20" customFormat="1" ht="13.5" x14ac:dyDescent="0.25">
      <c r="A31" s="49">
        <v>2009</v>
      </c>
      <c r="B31" s="50">
        <v>235</v>
      </c>
      <c r="C31" s="51"/>
      <c r="D31" s="50">
        <f t="shared" si="0"/>
        <v>0</v>
      </c>
      <c r="E31" s="50">
        <v>345089.71</v>
      </c>
      <c r="F31" s="50">
        <f t="shared" si="1"/>
        <v>146846.685106383</v>
      </c>
      <c r="G31" s="50">
        <f t="shared" si="3"/>
        <v>345089.71</v>
      </c>
      <c r="H31" s="18">
        <f t="shared" si="2"/>
        <v>146846.685106383</v>
      </c>
      <c r="I31" s="18">
        <f t="shared" si="4"/>
        <v>335736.06666666665</v>
      </c>
      <c r="J31" s="18">
        <f t="shared" si="5"/>
        <v>9.9589266832396923</v>
      </c>
      <c r="K31" s="18">
        <f t="shared" si="6"/>
        <v>247669.234</v>
      </c>
      <c r="L31" s="18">
        <f t="shared" si="7"/>
        <v>8.6283093171536205</v>
      </c>
      <c r="M31" s="18">
        <f>IF(SUM(G$5:G31)&lt;&gt;0,SUM(G$5:G31)/COUNTIF(G$5:G31,"&lt;&gt;0")," ")</f>
        <v>78661.150909090895</v>
      </c>
      <c r="N31" s="18">
        <f>IF(SUM(G$5:G31)=0,0,M31*COUNTIF(G$5:G31,"&lt;&gt;0")/(SUM(B$5:B31))*100)</f>
        <v>4.0697664579644108</v>
      </c>
      <c r="O31" s="19"/>
      <c r="Q31" s="21"/>
    </row>
    <row r="32" spans="1:17" s="20" customFormat="1" ht="13.5" x14ac:dyDescent="0.25">
      <c r="A32" s="49">
        <v>2010</v>
      </c>
      <c r="B32" s="50">
        <v>19278850.059999999</v>
      </c>
      <c r="C32" s="51"/>
      <c r="D32" s="50">
        <f t="shared" si="0"/>
        <v>0</v>
      </c>
      <c r="E32" s="50">
        <v>365409.37</v>
      </c>
      <c r="F32" s="50">
        <f t="shared" si="1"/>
        <v>1.895389864347542</v>
      </c>
      <c r="G32" s="50">
        <f>(E32-C32)+93665</f>
        <v>459074.37</v>
      </c>
      <c r="H32" s="18">
        <f t="shared" si="2"/>
        <v>2.3812331574303456</v>
      </c>
      <c r="I32" s="18">
        <f t="shared" si="4"/>
        <v>383656.17333333334</v>
      </c>
      <c r="J32" s="18">
        <f t="shared" si="5"/>
        <v>4.7226558528966383</v>
      </c>
      <c r="K32" s="18">
        <f t="shared" si="6"/>
        <v>317843.13600000006</v>
      </c>
      <c r="L32" s="18">
        <f t="shared" si="7"/>
        <v>4.9989173952797374</v>
      </c>
      <c r="M32" s="18">
        <f>IF(SUM(G$5:G32)&lt;&gt;0,SUM(G$5:G32)/COUNTIF(G$5:G32,"&lt;&gt;0")," ")</f>
        <v>95200.856086956526</v>
      </c>
      <c r="N32" s="18">
        <f>IF(SUM(G$5:G32)=0,0,M32*COUNTIF(G$5:G32,"&lt;&gt;0")/(SUM(B$5:B32))*100)</f>
        <v>3.5430262869348543</v>
      </c>
      <c r="O32" s="19"/>
      <c r="Q32" s="21"/>
    </row>
    <row r="33" spans="1:17" s="20" customFormat="1" ht="13.5" x14ac:dyDescent="0.25">
      <c r="A33" s="49">
        <v>2011</v>
      </c>
      <c r="B33" s="50">
        <v>12955756.109999999</v>
      </c>
      <c r="C33" s="51">
        <v>3045.99</v>
      </c>
      <c r="D33" s="50">
        <f t="shared" si="0"/>
        <v>2.3510708090969147E-2</v>
      </c>
      <c r="E33" s="50">
        <v>2254076.89</v>
      </c>
      <c r="F33" s="50">
        <f t="shared" si="1"/>
        <v>17.398265843088645</v>
      </c>
      <c r="G33" s="50">
        <f>(E33-C33)+77486</f>
        <v>2328516.9</v>
      </c>
      <c r="H33" s="18">
        <f t="shared" si="2"/>
        <v>17.972836785671788</v>
      </c>
      <c r="I33" s="18">
        <f t="shared" si="4"/>
        <v>1044226.9933333333</v>
      </c>
      <c r="J33" s="18">
        <f t="shared" si="5"/>
        <v>9.7183074781689687</v>
      </c>
      <c r="K33" s="18">
        <f t="shared" si="6"/>
        <v>758959.89399999997</v>
      </c>
      <c r="L33" s="18">
        <f t="shared" si="7"/>
        <v>8.9609403604004427</v>
      </c>
      <c r="M33" s="18">
        <f>IF(SUM(G$5:G33)&lt;&gt;0,SUM(G$5:G33)/COUNTIF(G$5:G33,"&lt;&gt;0")," ")</f>
        <v>188255.69125</v>
      </c>
      <c r="N33" s="18">
        <f>IF(SUM(G$5:G33)=0,0,M33*COUNTIF(G$5:G33,"&lt;&gt;0")/(SUM(B$5:B33))*100)</f>
        <v>6.0437972906996738</v>
      </c>
      <c r="O33" s="19"/>
      <c r="Q33" s="21"/>
    </row>
    <row r="34" spans="1:17" s="20" customFormat="1" ht="13.5" x14ac:dyDescent="0.25">
      <c r="A34" s="49">
        <v>2012</v>
      </c>
      <c r="B34" s="50">
        <v>16809624.100000001</v>
      </c>
      <c r="C34" s="51"/>
      <c r="D34" s="50">
        <f t="shared" si="0"/>
        <v>0</v>
      </c>
      <c r="E34" s="50">
        <v>886931.73</v>
      </c>
      <c r="F34" s="50">
        <f t="shared" si="1"/>
        <v>5.2763329193066246</v>
      </c>
      <c r="G34" s="50">
        <f>(E34-C34)+246581</f>
        <v>1133512.73</v>
      </c>
      <c r="H34" s="18">
        <f t="shared" si="2"/>
        <v>6.7432366319244457</v>
      </c>
      <c r="I34" s="18">
        <f t="shared" si="4"/>
        <v>1307034.6666666667</v>
      </c>
      <c r="J34" s="18">
        <f t="shared" si="5"/>
        <v>7.9950362732036009</v>
      </c>
      <c r="K34" s="18">
        <f t="shared" si="6"/>
        <v>922599.63000000012</v>
      </c>
      <c r="L34" s="18">
        <f t="shared" si="7"/>
        <v>8.5210351656100798</v>
      </c>
      <c r="M34" s="18">
        <f>IF(SUM(G$5:G34)&lt;&gt;0,SUM(G$5:G34)/COUNTIF(G$5:G34,"&lt;&gt;0")," ")</f>
        <v>226065.97280000002</v>
      </c>
      <c r="N34" s="18">
        <f>IF(SUM(G$5:G34)=0,0,M34*COUNTIF(G$5:G34,"&lt;&gt;0")/(SUM(B$5:B34))*100)</f>
        <v>6.1721995937290242</v>
      </c>
      <c r="O34" s="19"/>
      <c r="Q34" s="21"/>
    </row>
    <row r="35" spans="1:17" s="20" customFormat="1" ht="13.5" x14ac:dyDescent="0.25">
      <c r="A35" s="49">
        <v>2013</v>
      </c>
      <c r="B35" s="50">
        <v>20311080.16</v>
      </c>
      <c r="C35" s="51">
        <v>401.43</v>
      </c>
      <c r="D35" s="50">
        <f t="shared" si="0"/>
        <v>1.9764089198493913E-3</v>
      </c>
      <c r="E35" s="50">
        <v>1229899.69</v>
      </c>
      <c r="F35" s="50">
        <f t="shared" si="1"/>
        <v>6.0553140468724331</v>
      </c>
      <c r="G35" s="50">
        <f>(E35-C35)+129535</f>
        <v>1359033.26</v>
      </c>
      <c r="H35" s="18">
        <f t="shared" si="2"/>
        <v>6.6910929861644544</v>
      </c>
      <c r="I35" s="18">
        <f t="shared" si="4"/>
        <v>1607020.9633333331</v>
      </c>
      <c r="J35" s="18">
        <f t="shared" si="5"/>
        <v>9.6274034833504718</v>
      </c>
      <c r="K35" s="18">
        <f t="shared" si="6"/>
        <v>1125045.3939999999</v>
      </c>
      <c r="L35" s="18">
        <f t="shared" si="7"/>
        <v>8.1107097278580209</v>
      </c>
      <c r="M35" s="18">
        <f>IF(SUM(G$5:G35)&lt;&gt;0,SUM(G$5:G35)/COUNTIF(G$5:G35,"&lt;&gt;0")," ")</f>
        <v>269641.6376923077</v>
      </c>
      <c r="N35" s="18">
        <f>IF(SUM(G$5:G35)=0,0,M35*COUNTIF(G$5:G35,"&lt;&gt;0")/(SUM(B$5:B35))*100)</f>
        <v>6.2664035662558764</v>
      </c>
      <c r="O35" s="19"/>
      <c r="Q35" s="21"/>
    </row>
    <row r="36" spans="1:17" s="20" customFormat="1" ht="13.5" x14ac:dyDescent="0.25">
      <c r="A36" s="49">
        <v>2014</v>
      </c>
      <c r="B36" s="50">
        <v>19854175.199999999</v>
      </c>
      <c r="C36" s="51"/>
      <c r="D36" s="50">
        <f t="shared" si="0"/>
        <v>0</v>
      </c>
      <c r="E36" s="50">
        <v>675430.19</v>
      </c>
      <c r="F36" s="50">
        <f t="shared" si="1"/>
        <v>3.4019554234617608</v>
      </c>
      <c r="G36" s="50">
        <f>(E36-C36)+75009</f>
        <v>750439.19</v>
      </c>
      <c r="H36" s="18">
        <f t="shared" si="2"/>
        <v>3.7797550512196549</v>
      </c>
      <c r="I36" s="18">
        <f t="shared" si="4"/>
        <v>1080995.06</v>
      </c>
      <c r="J36" s="18">
        <f t="shared" si="5"/>
        <v>5.6919561932145593</v>
      </c>
      <c r="K36" s="18">
        <f t="shared" si="6"/>
        <v>1206115.2899999998</v>
      </c>
      <c r="L36" s="18">
        <f t="shared" si="7"/>
        <v>6.7600170625487772</v>
      </c>
      <c r="M36" s="18">
        <f>IF(SUM(G$5:G36)&lt;&gt;0,SUM(G$5:G36)/COUNTIF(G$5:G36,"&lt;&gt;0")," ")</f>
        <v>287448.95444444445</v>
      </c>
      <c r="N36" s="18">
        <f>IF(SUM(G$5:G36)=0,0,M36*COUNTIF(G$5:G36,"&lt;&gt;0")/(SUM(B$5:B36))*100)</f>
        <v>5.8916232913423832</v>
      </c>
      <c r="O36" s="19"/>
      <c r="Q36" s="21"/>
    </row>
    <row r="37" spans="1:17" s="20" customFormat="1" ht="13.5" x14ac:dyDescent="0.25">
      <c r="A37" s="49">
        <v>2015</v>
      </c>
      <c r="B37" s="50">
        <v>26372835</v>
      </c>
      <c r="C37" s="51">
        <v>-2980.7000000000235</v>
      </c>
      <c r="D37" s="50">
        <f t="shared" si="0"/>
        <v>-1.1302159968770984E-2</v>
      </c>
      <c r="E37" s="50">
        <v>1099835.94</v>
      </c>
      <c r="F37" s="50">
        <f t="shared" si="1"/>
        <v>4.1703364086568619</v>
      </c>
      <c r="G37" s="50">
        <f>(E37-C37)+73735</f>
        <v>1176551.6399999999</v>
      </c>
      <c r="H37" s="18">
        <f t="shared" si="2"/>
        <v>4.4612254996476484</v>
      </c>
      <c r="I37" s="18">
        <f t="shared" si="4"/>
        <v>1095341.3633333333</v>
      </c>
      <c r="J37" s="18">
        <f t="shared" si="5"/>
        <v>4.9385608637416265</v>
      </c>
      <c r="K37" s="18">
        <f t="shared" si="6"/>
        <v>1349610.7439999999</v>
      </c>
      <c r="L37" s="18">
        <f t="shared" si="7"/>
        <v>7.0070722062867397</v>
      </c>
      <c r="M37" s="18">
        <f>IF(SUM(G$5:G37)&lt;&gt;0,SUM(G$5:G37)/COUNTIF(G$5:G37,"&lt;&gt;0")," ")</f>
        <v>319202.62178571429</v>
      </c>
      <c r="N37" s="18">
        <f>IF(SUM(G$5:G37)=0,0,M37*COUNTIF(G$5:G37,"&lt;&gt;0")/(SUM(B$5:B37))*100)</f>
        <v>5.6530235533478326</v>
      </c>
      <c r="O37" s="19"/>
      <c r="P37" s="22"/>
      <c r="Q37" s="21"/>
    </row>
    <row r="38" spans="1:17" s="20" customFormat="1" ht="13.5" x14ac:dyDescent="0.25">
      <c r="A38" s="49">
        <v>2016</v>
      </c>
      <c r="B38" s="50">
        <v>21421742.149999999</v>
      </c>
      <c r="C38" s="51">
        <v>2980.6999999999989</v>
      </c>
      <c r="D38" s="50">
        <f t="shared" si="0"/>
        <v>1.3914367837725091E-2</v>
      </c>
      <c r="E38" s="50">
        <v>-1886897.65</v>
      </c>
      <c r="F38" s="50">
        <f t="shared" si="1"/>
        <v>-8.8083295783671822</v>
      </c>
      <c r="G38" s="50">
        <f>(E38-C38)+132365</f>
        <v>-1757513.3499999999</v>
      </c>
      <c r="H38" s="18">
        <f t="shared" si="2"/>
        <v>-8.2043436882653342</v>
      </c>
      <c r="I38" s="18">
        <f t="shared" si="4"/>
        <v>56492.493333333325</v>
      </c>
      <c r="J38" s="18">
        <f t="shared" si="5"/>
        <v>0.25052565511210051</v>
      </c>
      <c r="K38" s="18">
        <f t="shared" si="6"/>
        <v>532404.69400000013</v>
      </c>
      <c r="L38" s="18">
        <f t="shared" si="7"/>
        <v>2.5408392446944466</v>
      </c>
      <c r="M38" s="18">
        <f>IF(SUM(G$5:G38)&lt;&gt;0,SUM(G$5:G38)/COUNTIF(G$5:G38,"&lt;&gt;0")," ")</f>
        <v>247591.72620689656</v>
      </c>
      <c r="N38" s="18">
        <f>IF(SUM(G$5:G38)=0,0,M38*COUNTIF(G$5:G38,"&lt;&gt;0")/(SUM(B$5:B38))*100)</f>
        <v>3.9995088783880957</v>
      </c>
      <c r="O38" s="19"/>
      <c r="P38" s="22"/>
      <c r="Q38" s="21"/>
    </row>
    <row r="39" spans="1:17" s="20" customFormat="1" ht="13.5" x14ac:dyDescent="0.25">
      <c r="A39" s="49">
        <v>2017</v>
      </c>
      <c r="B39" s="50">
        <f>26955355.62+6961177</f>
        <v>33916532.620000005</v>
      </c>
      <c r="C39" s="51"/>
      <c r="D39" s="50">
        <f t="shared" si="0"/>
        <v>0</v>
      </c>
      <c r="E39" s="50">
        <v>396516.71</v>
      </c>
      <c r="F39" s="50">
        <f t="shared" si="1"/>
        <v>1.1690956573968321</v>
      </c>
      <c r="G39" s="50">
        <f>(E39-C39)+50642</f>
        <v>447158.71</v>
      </c>
      <c r="H39" s="18">
        <f t="shared" si="2"/>
        <v>1.3184092696324685</v>
      </c>
      <c r="I39" s="18">
        <f t="shared" si="4"/>
        <v>-44600.999999999978</v>
      </c>
      <c r="J39" s="18">
        <f t="shared" si="5"/>
        <v>-0.16375129450160192</v>
      </c>
      <c r="K39" s="18">
        <f t="shared" si="6"/>
        <v>395133.89</v>
      </c>
      <c r="L39" s="18">
        <f t="shared" si="7"/>
        <v>1.621043955399099</v>
      </c>
      <c r="M39" s="18">
        <f>IF(SUM(G$5:G39)&lt;&gt;0,SUM(G$5:G39)/COUNTIF(G$5:G39,"&lt;&gt;0")," ")</f>
        <v>254243.959</v>
      </c>
      <c r="N39" s="18">
        <f>IF(SUM(G$5:G39)=0,0,M39*COUNTIF(G$5:G39,"&lt;&gt;0")/(SUM(B$5:B39))*100)</f>
        <v>3.5734757791276364</v>
      </c>
      <c r="O39" s="19"/>
      <c r="P39" s="22"/>
      <c r="Q39" s="21"/>
    </row>
    <row r="40" spans="1:17" s="20" customFormat="1" ht="13.5" x14ac:dyDescent="0.25">
      <c r="A40" s="49">
        <v>2018</v>
      </c>
      <c r="B40" s="50">
        <f>8185166.98+9365363</f>
        <v>17550529.98</v>
      </c>
      <c r="C40" s="51"/>
      <c r="D40" s="50">
        <f t="shared" si="0"/>
        <v>0</v>
      </c>
      <c r="E40" s="50">
        <v>203186.09</v>
      </c>
      <c r="F40" s="50">
        <f t="shared" si="1"/>
        <v>1.1577205373942787</v>
      </c>
      <c r="G40" s="50">
        <f>(E40-C40)+140140</f>
        <v>343326.08999999997</v>
      </c>
      <c r="H40" s="18">
        <f t="shared" si="2"/>
        <v>1.956214942746703</v>
      </c>
      <c r="I40" s="18">
        <f t="shared" si="4"/>
        <v>-322342.84999999998</v>
      </c>
      <c r="J40" s="18">
        <f t="shared" si="5"/>
        <v>-1.3267175299647096</v>
      </c>
      <c r="K40" s="18">
        <f t="shared" si="6"/>
        <v>191992.45599999998</v>
      </c>
      <c r="L40" s="18">
        <f t="shared" si="7"/>
        <v>0.80590665513471327</v>
      </c>
      <c r="M40" s="18">
        <f>IF(SUM(G$5:G40)&lt;&gt;0,SUM(G$5:G40)/COUNTIF(G$5:G40,"&lt;&gt;0")," ")</f>
        <v>257117.57612903227</v>
      </c>
      <c r="N40" s="18">
        <f>IF(SUM(G$5:G40)=0,0,M40*COUNTIF(G$5:G40,"&lt;&gt;0")/(SUM(B$5:B40))*100)</f>
        <v>3.450598584915225</v>
      </c>
      <c r="O40" s="19"/>
      <c r="P40" s="22"/>
      <c r="Q40" s="21"/>
    </row>
    <row r="41" spans="1:17" s="20" customFormat="1" ht="13.5" x14ac:dyDescent="0.25">
      <c r="A41" s="49">
        <v>2019</v>
      </c>
      <c r="B41" s="50">
        <f>5497896.08+11425935</f>
        <v>16923831.079999998</v>
      </c>
      <c r="C41" s="51"/>
      <c r="D41" s="50">
        <f t="shared" si="0"/>
        <v>0</v>
      </c>
      <c r="E41" s="50">
        <v>122386.57</v>
      </c>
      <c r="F41" s="50">
        <f t="shared" si="1"/>
        <v>0.7231611413601986</v>
      </c>
      <c r="G41" s="50">
        <f>(E41-C41)+81591</f>
        <v>203977.57</v>
      </c>
      <c r="H41" s="18">
        <f t="shared" si="2"/>
        <v>1.2052682931883769</v>
      </c>
      <c r="I41" s="18">
        <f t="shared" si="4"/>
        <v>331487.45666666672</v>
      </c>
      <c r="J41" s="18">
        <f t="shared" si="5"/>
        <v>1.4540859411094627</v>
      </c>
      <c r="K41" s="18">
        <f t="shared" si="6"/>
        <v>82700.132000000012</v>
      </c>
      <c r="L41" s="18">
        <f t="shared" si="7"/>
        <v>0.35589704723495508</v>
      </c>
      <c r="M41" s="18">
        <f>IF(SUM(G$5:G41)&lt;&gt;0,SUM(G$5:G41)/COUNTIF(G$5:G41,"&lt;&gt;0")," ")</f>
        <v>255456.95093750002</v>
      </c>
      <c r="N41" s="18">
        <f>IF(SUM(G$5:G41)=0,0,M41*COUNTIF(G$5:G41,"&lt;&gt;0")/(SUM(B$5:B41))*100)</f>
        <v>3.297323092868123</v>
      </c>
      <c r="O41" s="19"/>
      <c r="P41" s="22"/>
      <c r="Q41" s="21"/>
    </row>
    <row r="42" spans="1:17" s="20" customFormat="1" ht="13.5" x14ac:dyDescent="0.25">
      <c r="A42" s="49">
        <v>2020</v>
      </c>
      <c r="B42" s="50">
        <v>5618593</v>
      </c>
      <c r="C42" s="51"/>
      <c r="D42" s="50">
        <f t="shared" si="0"/>
        <v>0</v>
      </c>
      <c r="E42" s="50">
        <v>56670.33</v>
      </c>
      <c r="F42" s="50">
        <f t="shared" si="1"/>
        <v>1.0086213754938294</v>
      </c>
      <c r="G42" s="50">
        <f>(E42-C42)+-1622</f>
        <v>55048.33</v>
      </c>
      <c r="H42" s="18">
        <f t="shared" si="2"/>
        <v>0.97975293814661424</v>
      </c>
      <c r="I42" s="18">
        <f t="shared" si="4"/>
        <v>200783.99666666662</v>
      </c>
      <c r="J42" s="18">
        <f t="shared" si="5"/>
        <v>1.5023886468893426</v>
      </c>
      <c r="K42" s="18">
        <f t="shared" si="6"/>
        <v>-141600.53</v>
      </c>
      <c r="L42" s="18">
        <f t="shared" si="7"/>
        <v>-0.74189828495368859</v>
      </c>
      <c r="M42" s="18">
        <f>IF(SUM(G$5:G42)&lt;&gt;0,SUM(G$5:G42)/COUNTIF(G$5:G42,"&lt;&gt;0")," ")</f>
        <v>249383.96242424243</v>
      </c>
      <c r="N42" s="18">
        <f>IF(SUM(G$5:G42)=0,0,M42*COUNTIF(G$5:G42,"&lt;&gt;0")/(SUM(B$5:B42))*100)</f>
        <v>3.2459634927966783</v>
      </c>
      <c r="O42" s="19"/>
      <c r="P42" s="22"/>
      <c r="Q42" s="21"/>
    </row>
    <row r="43" spans="1:17" s="20" customFormat="1" ht="13.5" x14ac:dyDescent="0.25">
      <c r="A43" s="49">
        <v>2021</v>
      </c>
      <c r="B43" s="50">
        <v>150951919.63</v>
      </c>
      <c r="C43" s="51"/>
      <c r="D43" s="50"/>
      <c r="E43" s="50"/>
      <c r="F43" s="50"/>
      <c r="G43" s="58">
        <v>117012.67</v>
      </c>
      <c r="H43" s="18">
        <f t="shared" si="2"/>
        <v>7.7516516707313909E-2</v>
      </c>
      <c r="I43" s="18">
        <f t="shared" si="4"/>
        <v>125346.19</v>
      </c>
      <c r="J43" s="18">
        <f t="shared" si="5"/>
        <v>0.21674399404545291</v>
      </c>
      <c r="K43" s="18">
        <f t="shared" si="6"/>
        <v>233304.67400000003</v>
      </c>
      <c r="L43" s="18">
        <f t="shared" si="7"/>
        <v>0.51854377563434784</v>
      </c>
      <c r="M43" s="18">
        <f>IF(SUM(G$5:G43)&lt;&gt;0,SUM(G$5:G43)/COUNTIF(G$5:G43,"&lt;&gt;0")," ")</f>
        <v>245490.68911764707</v>
      </c>
      <c r="N43" s="18">
        <f>IF(SUM(G$5:G43)=0,0,M43*COUNTIF(G$5:G43,"&lt;&gt;0")/(SUM(B$5:B43))*100)</f>
        <v>2.0635209888818138</v>
      </c>
      <c r="O43" s="19"/>
      <c r="P43" s="22"/>
      <c r="Q43" s="21"/>
    </row>
    <row r="44" spans="1:17" s="20" customFormat="1" ht="13.5" x14ac:dyDescent="0.25">
      <c r="A44" s="23"/>
      <c r="B44" s="24"/>
      <c r="C44" s="24"/>
      <c r="D44" s="25"/>
      <c r="E44" s="50"/>
      <c r="F44" s="18"/>
      <c r="G44" s="50"/>
      <c r="H44" s="25"/>
      <c r="I44" s="18"/>
      <c r="J44" s="18"/>
      <c r="K44" s="18"/>
      <c r="L44" s="18"/>
      <c r="M44" s="18"/>
      <c r="N44" s="18"/>
      <c r="O44" s="19"/>
    </row>
    <row r="45" spans="1:17" s="32" customFormat="1" ht="30" customHeight="1" x14ac:dyDescent="0.3">
      <c r="A45" s="26" t="s">
        <v>17</v>
      </c>
      <c r="B45" s="27">
        <f>SUM(B5:B44)</f>
        <v>404487450.08999997</v>
      </c>
      <c r="C45" s="27">
        <f>SUM(C5:C44)</f>
        <v>76710.749999999971</v>
      </c>
      <c r="D45" s="28">
        <f t="shared" si="0"/>
        <v>1.8964927090551646E-2</v>
      </c>
      <c r="E45" s="29">
        <f>SUM(E5:E44)</f>
        <v>7207254.5099999988</v>
      </c>
      <c r="F45" s="28">
        <f>E45/B45*100</f>
        <v>1.7818240116958779</v>
      </c>
      <c r="G45" s="29">
        <f>SUM(G5:G44)</f>
        <v>8346683.4300000006</v>
      </c>
      <c r="H45" s="28">
        <f t="shared" si="2"/>
        <v>2.0635209888818138</v>
      </c>
      <c r="I45" s="30"/>
      <c r="J45" s="30"/>
      <c r="K45" s="30"/>
      <c r="L45" s="30"/>
      <c r="M45" s="30"/>
      <c r="N45" s="30"/>
      <c r="O45" s="31"/>
    </row>
    <row r="47" spans="1:17" x14ac:dyDescent="0.35">
      <c r="B47" s="59"/>
      <c r="C47" s="60"/>
    </row>
    <row r="48" spans="1:17" x14ac:dyDescent="0.35">
      <c r="B48" s="59"/>
      <c r="C48" s="60"/>
    </row>
    <row r="49" spans="2:7" x14ac:dyDescent="0.35">
      <c r="B49" s="60"/>
      <c r="C49" s="60"/>
      <c r="G49" s="58"/>
    </row>
    <row r="50" spans="2:7" x14ac:dyDescent="0.35">
      <c r="B50" s="60"/>
      <c r="C50" s="60"/>
    </row>
    <row r="51" spans="2:7" x14ac:dyDescent="0.35">
      <c r="B51" s="60"/>
      <c r="C51" s="60"/>
    </row>
    <row r="52" spans="2:7" x14ac:dyDescent="0.35">
      <c r="B52" s="60"/>
      <c r="C52" s="60"/>
    </row>
  </sheetData>
  <conditionalFormatting sqref="A5:XFD43">
    <cfRule type="expression" dxfId="8" priority="3">
      <formula>MOD(ROW(),2)=0</formula>
    </cfRule>
  </conditionalFormatting>
  <conditionalFormatting sqref="A44:XFD45">
    <cfRule type="expression" dxfId="7" priority="2">
      <formula>MOD(ROW(),2)=0</formula>
    </cfRule>
  </conditionalFormatting>
  <conditionalFormatting sqref="G49">
    <cfRule type="expression" dxfId="6" priority="1">
      <formula>MOD(ROW(),2)=0</formula>
    </cfRule>
  </conditionalFormatting>
  <printOptions horizontalCentered="1"/>
  <pageMargins left="0.7" right="0.7" top="0.75" bottom="0.75" header="0.3" footer="0.3"/>
  <pageSetup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4FD58-9BDB-4599-9890-760794DDA180}">
  <dimension ref="A1:Q20"/>
  <sheetViews>
    <sheetView tabSelected="1" view="pageBreakPreview" zoomScale="60" zoomScaleNormal="100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5.81640625" style="34" customWidth="1"/>
    <col min="3" max="3" width="13.81640625" style="34" hidden="1" customWidth="1"/>
    <col min="4" max="6" width="12.54296875" style="35" hidden="1" customWidth="1"/>
    <col min="7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39</v>
      </c>
      <c r="B2" s="40"/>
      <c r="C2" s="40"/>
      <c r="D2" s="40"/>
      <c r="E2" s="40"/>
      <c r="F2" s="40"/>
      <c r="G2" s="47"/>
      <c r="H2" s="41"/>
      <c r="I2" s="6"/>
      <c r="J2" s="6"/>
      <c r="K2" s="6"/>
      <c r="L2" s="6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9"/>
      <c r="J3" s="9"/>
      <c r="K3" s="9"/>
      <c r="L3" s="9"/>
      <c r="M3" s="9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2011</v>
      </c>
      <c r="B5" s="50">
        <v>44920</v>
      </c>
      <c r="C5" s="51"/>
      <c r="D5" s="50">
        <f t="shared" ref="D5:D17" si="0">C5/B5*100</f>
        <v>0</v>
      </c>
      <c r="E5" s="50"/>
      <c r="F5" s="50">
        <f t="shared" ref="F5:F14" si="1">E5/B5*100</f>
        <v>0</v>
      </c>
      <c r="G5" s="50">
        <v>-4179.28</v>
      </c>
      <c r="H5" s="18">
        <f t="shared" ref="H5:H17" si="2">G5/B5*100</f>
        <v>-9.3038290293855734</v>
      </c>
      <c r="I5" s="18"/>
      <c r="J5" s="18"/>
      <c r="K5" s="18"/>
      <c r="L5" s="18"/>
      <c r="M5" s="18">
        <f>IF(SUM(G$5:G5)&lt;&gt;0,SUM(G$5:G5)/COUNTIF(G$5:G5,"&lt;&gt;0")," ")</f>
        <v>-4179.28</v>
      </c>
      <c r="N5" s="18">
        <f>IF(SUM(G$5:G5)=0,0,M5*COUNTIF(G$5:G5,"&lt;&gt;0")/(SUM(B$5:B5))*100)</f>
        <v>-9.3038290293855734</v>
      </c>
      <c r="O5" s="19"/>
      <c r="Q5" s="21"/>
    </row>
    <row r="6" spans="1:17" s="20" customFormat="1" ht="13.5" x14ac:dyDescent="0.25">
      <c r="A6" s="49">
        <v>2012</v>
      </c>
      <c r="B6" s="50"/>
      <c r="C6" s="51"/>
      <c r="D6" s="50" t="e">
        <f t="shared" si="0"/>
        <v>#DIV/0!</v>
      </c>
      <c r="E6" s="50"/>
      <c r="F6" s="50" t="e">
        <f t="shared" si="1"/>
        <v>#DIV/0!</v>
      </c>
      <c r="G6" s="50">
        <v>-6240</v>
      </c>
      <c r="H6" s="18"/>
      <c r="I6" s="18"/>
      <c r="J6" s="18"/>
      <c r="K6" s="18"/>
      <c r="L6" s="18"/>
      <c r="M6" s="18">
        <f>IF(SUM(G$5:G6)&lt;&gt;0,SUM(G$5:G6)/COUNTIF(G$5:G6,"&lt;&gt;0")," ")</f>
        <v>-5209.6399999999994</v>
      </c>
      <c r="N6" s="18">
        <f>IF(SUM(G$5:G6)=0,0,M6*COUNTIF(G$5:G6,"&lt;&gt;0")/(SUM(B$5:B6))*100)</f>
        <v>-23.195191451469277</v>
      </c>
      <c r="O6" s="19"/>
      <c r="Q6" s="21"/>
    </row>
    <row r="7" spans="1:17" s="20" customFormat="1" ht="13.5" x14ac:dyDescent="0.25">
      <c r="A7" s="49">
        <v>2013</v>
      </c>
      <c r="B7" s="50">
        <v>2077170.09</v>
      </c>
      <c r="C7" s="51"/>
      <c r="D7" s="50">
        <f t="shared" si="0"/>
        <v>0</v>
      </c>
      <c r="E7" s="50"/>
      <c r="F7" s="50">
        <f t="shared" si="1"/>
        <v>0</v>
      </c>
      <c r="G7" s="50">
        <v>-14000</v>
      </c>
      <c r="H7" s="18">
        <f t="shared" si="2"/>
        <v>-0.67399391448006063</v>
      </c>
      <c r="I7" s="18">
        <f t="shared" ref="I7:I15" si="3">SUM(G5:G7)/3</f>
        <v>-8139.7599999999993</v>
      </c>
      <c r="J7" s="18">
        <f t="shared" ref="J7:J15" si="4">IF(SUM(B5:B7)=0,0,I7/(SUM(B5:B7)/3)*100)</f>
        <v>-1.1507183467408775</v>
      </c>
      <c r="K7" s="18"/>
      <c r="L7" s="18"/>
      <c r="M7" s="18">
        <f>IF(SUM(G$5:G7)&lt;&gt;0,SUM(G$5:G7)/COUNTIF(G$5:G7,"&lt;&gt;0")," ")</f>
        <v>-8139.7599999999993</v>
      </c>
      <c r="N7" s="18">
        <f>IF(SUM(G$5:G7)=0,0,M7*COUNTIF(G$5:G7,"&lt;&gt;0")/(SUM(B$5:B7))*100)</f>
        <v>-1.1507183467408775</v>
      </c>
      <c r="O7" s="19"/>
      <c r="Q7" s="21"/>
    </row>
    <row r="8" spans="1:17" s="20" customFormat="1" ht="13.5" x14ac:dyDescent="0.25">
      <c r="A8" s="49">
        <v>2014</v>
      </c>
      <c r="B8" s="50">
        <v>91192.92</v>
      </c>
      <c r="C8" s="51"/>
      <c r="D8" s="50">
        <f t="shared" si="0"/>
        <v>0</v>
      </c>
      <c r="E8" s="50"/>
      <c r="F8" s="50">
        <f t="shared" si="1"/>
        <v>0</v>
      </c>
      <c r="G8" s="50">
        <v>988.45</v>
      </c>
      <c r="H8" s="18">
        <f t="shared" si="2"/>
        <v>1.083910900100578</v>
      </c>
      <c r="I8" s="18">
        <f t="shared" si="3"/>
        <v>-6417.1833333333334</v>
      </c>
      <c r="J8" s="18">
        <f t="shared" si="4"/>
        <v>-0.88783796399478332</v>
      </c>
      <c r="K8" s="18"/>
      <c r="L8" s="18"/>
      <c r="M8" s="18">
        <f>IF(SUM(G$5:G8)&lt;&gt;0,SUM(G$5:G8)/COUNTIF(G$5:G8,"&lt;&gt;0")," ")</f>
        <v>-5857.7074999999995</v>
      </c>
      <c r="N8" s="18">
        <f>IF(SUM(G$5:G8)=0,0,M8*COUNTIF(G$5:G8,"&lt;&gt;0")/(SUM(B$5:B8))*100)</f>
        <v>-1.0586459071946701</v>
      </c>
      <c r="O8" s="19"/>
      <c r="Q8" s="21"/>
    </row>
    <row r="9" spans="1:17" s="20" customFormat="1" ht="13.5" x14ac:dyDescent="0.25">
      <c r="A9" s="49">
        <v>2015</v>
      </c>
      <c r="B9" s="50">
        <v>6190458.4699999997</v>
      </c>
      <c r="C9" s="51"/>
      <c r="D9" s="50">
        <f t="shared" si="0"/>
        <v>0</v>
      </c>
      <c r="E9" s="50"/>
      <c r="F9" s="50">
        <f t="shared" si="1"/>
        <v>0</v>
      </c>
      <c r="G9" s="50">
        <v>0</v>
      </c>
      <c r="H9" s="18">
        <f t="shared" si="2"/>
        <v>0</v>
      </c>
      <c r="I9" s="18">
        <f t="shared" si="3"/>
        <v>-4337.1833333333334</v>
      </c>
      <c r="J9" s="18">
        <f t="shared" si="4"/>
        <v>-0.1556624941821344</v>
      </c>
      <c r="K9" s="18">
        <f t="shared" ref="K9:K15" si="5">SUM(G5:G9)/5</f>
        <v>-4686.1659999999993</v>
      </c>
      <c r="L9" s="18">
        <f t="shared" ref="L9:L15" si="6">IF(SUM(B5:B9)=0,0,K9/(SUM(B5:B9)/5)*100)</f>
        <v>-0.27881426452447222</v>
      </c>
      <c r="M9" s="18">
        <f>IF(SUM(G$5:G9)&lt;&gt;0,SUM(G$5:G9)/COUNTIF(G$5:G9,"&lt;&gt;0")," ")</f>
        <v>-5857.7074999999995</v>
      </c>
      <c r="N9" s="18">
        <f>IF(SUM(G$5:G9)=0,0,M9*COUNTIF(G$5:G9,"&lt;&gt;0")/(SUM(B$5:B9))*100)</f>
        <v>-0.27881426452447222</v>
      </c>
      <c r="O9" s="19"/>
      <c r="P9" s="22"/>
      <c r="Q9" s="21"/>
    </row>
    <row r="10" spans="1:17" s="20" customFormat="1" ht="13.5" x14ac:dyDescent="0.25">
      <c r="A10" s="49">
        <v>2016</v>
      </c>
      <c r="B10" s="50">
        <v>253236.59</v>
      </c>
      <c r="C10" s="51"/>
      <c r="D10" s="50">
        <f t="shared" si="0"/>
        <v>0</v>
      </c>
      <c r="E10" s="50"/>
      <c r="F10" s="50">
        <f t="shared" si="1"/>
        <v>0</v>
      </c>
      <c r="G10" s="50">
        <v>0</v>
      </c>
      <c r="H10" s="18">
        <f t="shared" si="2"/>
        <v>0</v>
      </c>
      <c r="I10" s="18">
        <f t="shared" si="3"/>
        <v>329.48333333333335</v>
      </c>
      <c r="J10" s="18">
        <f t="shared" si="4"/>
        <v>1.5125737472855658E-2</v>
      </c>
      <c r="K10" s="18">
        <f t="shared" si="5"/>
        <v>-3850.31</v>
      </c>
      <c r="L10" s="18">
        <f t="shared" si="6"/>
        <v>-0.22354180433435</v>
      </c>
      <c r="M10" s="18">
        <f>IF(SUM(G$5:G10)&lt;&gt;0,SUM(G$5:G10)/COUNTIF(G$5:G10,"&lt;&gt;0")," ")</f>
        <v>-5857.7074999999995</v>
      </c>
      <c r="N10" s="18">
        <f>IF(SUM(G$5:G10)=0,0,M10*COUNTIF(G$5:G10,"&lt;&gt;0")/(SUM(B$5:B10))*100)</f>
        <v>-0.27065830374686389</v>
      </c>
      <c r="O10" s="19"/>
      <c r="P10" s="22"/>
      <c r="Q10" s="21"/>
    </row>
    <row r="11" spans="1:17" s="20" customFormat="1" ht="13.5" x14ac:dyDescent="0.25">
      <c r="A11" s="49">
        <v>2017</v>
      </c>
      <c r="B11" s="50">
        <v>1731458.61</v>
      </c>
      <c r="C11" s="51"/>
      <c r="D11" s="50">
        <f t="shared" si="0"/>
        <v>0</v>
      </c>
      <c r="E11" s="50"/>
      <c r="F11" s="50">
        <f t="shared" si="1"/>
        <v>0</v>
      </c>
      <c r="G11" s="50">
        <v>0</v>
      </c>
      <c r="H11" s="18">
        <f t="shared" si="2"/>
        <v>0</v>
      </c>
      <c r="I11" s="18">
        <f t="shared" si="3"/>
        <v>0</v>
      </c>
      <c r="J11" s="18">
        <f t="shared" si="4"/>
        <v>0</v>
      </c>
      <c r="K11" s="18">
        <f t="shared" si="5"/>
        <v>-2602.31</v>
      </c>
      <c r="L11" s="18">
        <f t="shared" si="6"/>
        <v>-0.12579425743237646</v>
      </c>
      <c r="M11" s="18">
        <f>IF(SUM(G$5:G11)&lt;&gt;0,SUM(G$5:G11)/COUNTIF(G$5:G11,"&lt;&gt;0")," ")</f>
        <v>-5857.7074999999995</v>
      </c>
      <c r="N11" s="18">
        <f>IF(SUM(G$5:G11)=0,0,M11*COUNTIF(G$5:G11,"&lt;&gt;0")/(SUM(B$5:B11))*100)</f>
        <v>-0.22554721871780228</v>
      </c>
      <c r="O11" s="19"/>
      <c r="P11" s="22"/>
      <c r="Q11" s="21"/>
    </row>
    <row r="12" spans="1:17" s="20" customFormat="1" ht="13.5" x14ac:dyDescent="0.25">
      <c r="A12" s="49">
        <v>2018</v>
      </c>
      <c r="B12" s="50">
        <v>523596.35</v>
      </c>
      <c r="C12" s="51"/>
      <c r="D12" s="50">
        <f t="shared" si="0"/>
        <v>0</v>
      </c>
      <c r="E12" s="50"/>
      <c r="F12" s="50">
        <f t="shared" si="1"/>
        <v>0</v>
      </c>
      <c r="G12" s="50">
        <v>0</v>
      </c>
      <c r="H12" s="18">
        <f t="shared" si="2"/>
        <v>0</v>
      </c>
      <c r="I12" s="18">
        <f t="shared" si="3"/>
        <v>0</v>
      </c>
      <c r="J12" s="18">
        <f t="shared" si="4"/>
        <v>0</v>
      </c>
      <c r="K12" s="18">
        <f t="shared" si="5"/>
        <v>197.69</v>
      </c>
      <c r="L12" s="18">
        <f t="shared" si="6"/>
        <v>1.1245237958279624E-2</v>
      </c>
      <c r="M12" s="18">
        <f>IF(SUM(G$5:G12)&lt;&gt;0,SUM(G$5:G12)/COUNTIF(G$5:G12,"&lt;&gt;0")," ")</f>
        <v>-5857.7074999999995</v>
      </c>
      <c r="N12" s="18">
        <f>IF(SUM(G$5:G12)=0,0,M12*COUNTIF(G$5:G12,"&lt;&gt;0")/(SUM(B$5:B12))*100)</f>
        <v>-0.21472469828108651</v>
      </c>
      <c r="O12" s="19"/>
      <c r="P12" s="22"/>
      <c r="Q12" s="21"/>
    </row>
    <row r="13" spans="1:17" s="20" customFormat="1" ht="13.5" x14ac:dyDescent="0.25">
      <c r="A13" s="49">
        <v>2019</v>
      </c>
      <c r="B13" s="50"/>
      <c r="C13" s="51"/>
      <c r="D13" s="50" t="e">
        <f t="shared" si="0"/>
        <v>#DIV/0!</v>
      </c>
      <c r="E13" s="50"/>
      <c r="F13" s="50" t="e">
        <f t="shared" si="1"/>
        <v>#DIV/0!</v>
      </c>
      <c r="G13" s="50">
        <v>309594.75</v>
      </c>
      <c r="H13" s="18"/>
      <c r="I13" s="18">
        <f t="shared" si="3"/>
        <v>103198.25</v>
      </c>
      <c r="J13" s="18">
        <f t="shared" si="4"/>
        <v>13.728922597966303</v>
      </c>
      <c r="K13" s="18">
        <f t="shared" si="5"/>
        <v>61918.95</v>
      </c>
      <c r="L13" s="18">
        <f t="shared" si="6"/>
        <v>3.559071697521893</v>
      </c>
      <c r="M13" s="18">
        <f>IF(SUM(G$5:G13)&lt;&gt;0,SUM(G$5:G13)/COUNTIF(G$5:G13,"&lt;&gt;0")," ")</f>
        <v>57232.784</v>
      </c>
      <c r="N13" s="18">
        <f>IF(SUM(G$5:G13)=0,0,M13*COUNTIF(G$5:G13,"&lt;&gt;0")/(SUM(B$5:B13))*100)</f>
        <v>2.6224620033064543</v>
      </c>
      <c r="O13" s="19"/>
      <c r="P13" s="22"/>
      <c r="Q13" s="21"/>
    </row>
    <row r="14" spans="1:17" s="20" customFormat="1" ht="13.5" x14ac:dyDescent="0.25">
      <c r="A14" s="49">
        <v>2020</v>
      </c>
      <c r="B14" s="50">
        <v>301103.08</v>
      </c>
      <c r="C14" s="51"/>
      <c r="D14" s="50">
        <f t="shared" si="0"/>
        <v>0</v>
      </c>
      <c r="E14" s="50"/>
      <c r="F14" s="50">
        <f t="shared" si="1"/>
        <v>0</v>
      </c>
      <c r="G14" s="50">
        <v>534241.06999999995</v>
      </c>
      <c r="H14" s="18">
        <f t="shared" si="2"/>
        <v>177.42796586471314</v>
      </c>
      <c r="I14" s="18">
        <f t="shared" si="3"/>
        <v>281278.60666666663</v>
      </c>
      <c r="J14" s="18">
        <f t="shared" si="4"/>
        <v>102.3204078120922</v>
      </c>
      <c r="K14" s="18">
        <f t="shared" si="5"/>
        <v>168767.16399999999</v>
      </c>
      <c r="L14" s="18">
        <f t="shared" si="6"/>
        <v>30.036215310912013</v>
      </c>
      <c r="M14" s="18">
        <f>IF(SUM(G$5:G14)&lt;&gt;0,SUM(G$5:G14)/COUNTIF(G$5:G14,"&lt;&gt;0")," ")</f>
        <v>136734.16500000001</v>
      </c>
      <c r="N14" s="18">
        <f>IF(SUM(G$5:G14)=0,0,M14*COUNTIF(G$5:G14,"&lt;&gt;0")/(SUM(B$5:B14))*100)</f>
        <v>7.3164633154533254</v>
      </c>
      <c r="O14" s="19"/>
      <c r="P14" s="22"/>
      <c r="Q14" s="21"/>
    </row>
    <row r="15" spans="1:17" s="20" customFormat="1" ht="13.5" x14ac:dyDescent="0.25">
      <c r="A15" s="49">
        <v>2021</v>
      </c>
      <c r="B15" s="50">
        <v>6242911.2300000004</v>
      </c>
      <c r="C15" s="51"/>
      <c r="D15" s="50"/>
      <c r="E15" s="50"/>
      <c r="F15" s="50"/>
      <c r="G15" s="50">
        <v>347346.88</v>
      </c>
      <c r="H15" s="18">
        <f t="shared" si="2"/>
        <v>5.5638606285292314</v>
      </c>
      <c r="I15" s="18">
        <f t="shared" si="3"/>
        <v>397060.89999999997</v>
      </c>
      <c r="J15" s="18">
        <f t="shared" si="4"/>
        <v>18.202629816682045</v>
      </c>
      <c r="K15" s="18">
        <f t="shared" si="5"/>
        <v>238236.53999999998</v>
      </c>
      <c r="L15" s="18">
        <f t="shared" si="6"/>
        <v>13.537598846519822</v>
      </c>
      <c r="M15" s="18">
        <f>IF(SUM(G$5:G15)&lt;&gt;0,SUM(G$5:G15)/COUNTIF(G$5:G15,"&lt;&gt;0")," ")</f>
        <v>166821.69571428574</v>
      </c>
      <c r="N15" s="18">
        <f>IF(SUM(G$5:G15)=0,0,M15*COUNTIF(G$5:G15,"&lt;&gt;0")/(SUM(B$5:B15))*100)</f>
        <v>6.6896694724477079</v>
      </c>
      <c r="O15" s="19"/>
      <c r="P15" s="22"/>
      <c r="Q15" s="21"/>
    </row>
    <row r="16" spans="1:17" s="20" customFormat="1" ht="13.5" x14ac:dyDescent="0.25">
      <c r="A16" s="23"/>
      <c r="B16" s="24"/>
      <c r="C16" s="24"/>
      <c r="D16" s="25"/>
      <c r="E16" s="50"/>
      <c r="F16" s="18"/>
      <c r="G16" s="50"/>
      <c r="H16" s="25"/>
      <c r="I16" s="18"/>
      <c r="J16" s="18"/>
      <c r="K16" s="18"/>
      <c r="L16" s="18"/>
      <c r="M16" s="18"/>
      <c r="N16" s="18"/>
      <c r="O16" s="19"/>
    </row>
    <row r="17" spans="1:15" s="32" customFormat="1" ht="30" customHeight="1" x14ac:dyDescent="0.3">
      <c r="A17" s="26" t="s">
        <v>17</v>
      </c>
      <c r="B17" s="27">
        <f>SUM(B5:B16)</f>
        <v>17456047.34</v>
      </c>
      <c r="C17" s="27">
        <f>SUM(C5:C16)</f>
        <v>0</v>
      </c>
      <c r="D17" s="28">
        <f t="shared" si="0"/>
        <v>0</v>
      </c>
      <c r="E17" s="29">
        <f>SUM(E5:E16)</f>
        <v>0</v>
      </c>
      <c r="F17" s="28">
        <f>E17/B17*100</f>
        <v>0</v>
      </c>
      <c r="G17" s="29">
        <f>SUM(G5:G16)</f>
        <v>1167751.8700000001</v>
      </c>
      <c r="H17" s="28">
        <f t="shared" si="2"/>
        <v>6.6896694724477079</v>
      </c>
      <c r="I17" s="30"/>
      <c r="J17" s="30"/>
      <c r="K17" s="30"/>
      <c r="L17" s="30"/>
      <c r="M17" s="30"/>
      <c r="N17" s="30"/>
      <c r="O17" s="31"/>
    </row>
    <row r="19" spans="1:15" x14ac:dyDescent="0.35">
      <c r="B19" s="38"/>
    </row>
    <row r="20" spans="1:15" x14ac:dyDescent="0.35">
      <c r="B20" s="38"/>
    </row>
  </sheetData>
  <conditionalFormatting sqref="A5:XFD15">
    <cfRule type="expression" dxfId="5" priority="2">
      <formula>MOD(ROW(),2)=0</formula>
    </cfRule>
  </conditionalFormatting>
  <conditionalFormatting sqref="A16:XFD17">
    <cfRule type="expression" dxfId="4" priority="1">
      <formula>MOD(ROW(),2)=0</formula>
    </cfRule>
  </conditionalFormatting>
  <printOptions horizontalCentered="1"/>
  <pageMargins left="0.7" right="0.7" top="0.75" bottom="0.75" header="0.3" footer="0.3"/>
  <pageSetup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FE4EA-267F-450A-A69B-AF97DF8088FF}">
  <dimension ref="A1:Q48"/>
  <sheetViews>
    <sheetView tabSelected="1" view="pageBreakPreview" zoomScale="60" zoomScaleNormal="100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6.1796875" style="34" bestFit="1" customWidth="1"/>
    <col min="3" max="3" width="13.81640625" style="34" hidden="1" customWidth="1"/>
    <col min="4" max="6" width="12.54296875" style="35" hidden="1" customWidth="1"/>
    <col min="7" max="7" width="16" style="35" customWidth="1"/>
    <col min="8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40</v>
      </c>
      <c r="B2" s="40"/>
      <c r="C2" s="40"/>
      <c r="D2" s="40"/>
      <c r="E2" s="40"/>
      <c r="F2" s="40"/>
      <c r="G2" s="47"/>
      <c r="H2" s="41"/>
      <c r="I2" s="42"/>
      <c r="J2" s="6"/>
      <c r="K2" s="6"/>
      <c r="L2" s="6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9"/>
      <c r="K3" s="9"/>
      <c r="L3" s="9"/>
      <c r="M3" s="9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1983</v>
      </c>
      <c r="B5" s="50">
        <v>116442</v>
      </c>
      <c r="C5" s="51">
        <v>1325.92</v>
      </c>
      <c r="D5" s="50">
        <f t="shared" ref="D5:D45" si="0">C5/B5*100</f>
        <v>1.1386956596417102</v>
      </c>
      <c r="E5" s="50">
        <v>16658</v>
      </c>
      <c r="F5" s="50">
        <f t="shared" ref="F5:F42" si="1">E5/B5*100</f>
        <v>14.305834664468147</v>
      </c>
      <c r="G5" s="50">
        <f>(E5-C5)</f>
        <v>15332.08</v>
      </c>
      <c r="H5" s="18">
        <f t="shared" ref="H5:H45" si="2">G5/B5*100</f>
        <v>13.167139004826437</v>
      </c>
      <c r="I5" s="18"/>
      <c r="J5" s="18"/>
      <c r="K5" s="18"/>
      <c r="L5" s="18"/>
      <c r="M5" s="18">
        <f>IF(SUM(G$5:G5)&lt;&gt;0,SUM(G$5:G5)/COUNTIF(G$5:G5,"&lt;&gt;0")," ")</f>
        <v>15332.08</v>
      </c>
      <c r="N5" s="18">
        <f>IF(SUM(G$5:G5)=0,0,M5*COUNTIF(G$5:G5,"&lt;&gt;0")/(SUM(B$5:B5))*100)</f>
        <v>13.167139004826437</v>
      </c>
      <c r="O5" s="19"/>
      <c r="Q5" s="21"/>
    </row>
    <row r="6" spans="1:17" s="20" customFormat="1" ht="13.5" x14ac:dyDescent="0.25">
      <c r="A6" s="49">
        <v>1984</v>
      </c>
      <c r="B6" s="50">
        <v>301546</v>
      </c>
      <c r="C6" s="51">
        <v>1050.4100000000001</v>
      </c>
      <c r="D6" s="50">
        <f t="shared" si="0"/>
        <v>0.34834154656337679</v>
      </c>
      <c r="E6" s="50">
        <v>17073.5</v>
      </c>
      <c r="F6" s="50">
        <f t="shared" si="1"/>
        <v>5.6619885523270082</v>
      </c>
      <c r="G6" s="50">
        <f t="shared" ref="G6:G31" si="3">(E6-C6)</f>
        <v>16023.09</v>
      </c>
      <c r="H6" s="18">
        <f t="shared" si="2"/>
        <v>5.3136470057636318</v>
      </c>
      <c r="I6" s="18"/>
      <c r="J6" s="18"/>
      <c r="K6" s="18"/>
      <c r="L6" s="18"/>
      <c r="M6" s="18">
        <f>IF(SUM(G$5:G6)&lt;&gt;0,SUM(G$5:G6)/COUNTIF(G$5:G6,"&lt;&gt;0")," ")</f>
        <v>15677.584999999999</v>
      </c>
      <c r="N6" s="18">
        <f>IF(SUM(G$5:G6)=0,0,M6*COUNTIF(G$5:G6,"&lt;&gt;0")/(SUM(B$5:B6))*100)</f>
        <v>7.5014521947998496</v>
      </c>
      <c r="O6" s="19"/>
      <c r="Q6" s="21"/>
    </row>
    <row r="7" spans="1:17" s="20" customFormat="1" ht="13.5" x14ac:dyDescent="0.25">
      <c r="A7" s="49">
        <v>1985</v>
      </c>
      <c r="B7" s="50">
        <v>230327</v>
      </c>
      <c r="C7" s="51">
        <v>306</v>
      </c>
      <c r="D7" s="50">
        <f t="shared" si="0"/>
        <v>0.13285459368636765</v>
      </c>
      <c r="E7" s="50">
        <v>40681</v>
      </c>
      <c r="F7" s="50">
        <f t="shared" si="1"/>
        <v>17.662280149526545</v>
      </c>
      <c r="G7" s="50">
        <f t="shared" si="3"/>
        <v>40375</v>
      </c>
      <c r="H7" s="18">
        <f t="shared" si="2"/>
        <v>17.529425555840174</v>
      </c>
      <c r="I7" s="18">
        <f>SUM(G5:G7)/3</f>
        <v>23910.056666666667</v>
      </c>
      <c r="J7" s="18">
        <f>IF(SUM(B5:B7)=0,0,I7/(SUM(B5:B7)/3)*100)</f>
        <v>11.064092300810563</v>
      </c>
      <c r="K7" s="18"/>
      <c r="L7" s="18"/>
      <c r="M7" s="18">
        <f>IF(SUM(G$5:G7)&lt;&gt;0,SUM(G$5:G7)/COUNTIF(G$5:G7,"&lt;&gt;0")," ")</f>
        <v>23910.056666666667</v>
      </c>
      <c r="N7" s="18">
        <f>IF(SUM(G$5:G7)=0,0,M7*COUNTIF(G$5:G7,"&lt;&gt;0")/(SUM(B$5:B7))*100)</f>
        <v>11.064092300810563</v>
      </c>
      <c r="O7" s="19"/>
      <c r="Q7" s="21"/>
    </row>
    <row r="8" spans="1:17" s="20" customFormat="1" ht="13.5" x14ac:dyDescent="0.25">
      <c r="A8" s="49">
        <v>1986</v>
      </c>
      <c r="B8" s="50">
        <v>295483</v>
      </c>
      <c r="C8" s="51"/>
      <c r="D8" s="50">
        <f t="shared" si="0"/>
        <v>0</v>
      </c>
      <c r="E8" s="50"/>
      <c r="F8" s="50">
        <f t="shared" si="1"/>
        <v>0</v>
      </c>
      <c r="G8" s="50">
        <f t="shared" si="3"/>
        <v>0</v>
      </c>
      <c r="H8" s="18">
        <f t="shared" si="2"/>
        <v>0</v>
      </c>
      <c r="I8" s="18">
        <f t="shared" ref="I8:I43" si="4">SUM(G6:G8)/3</f>
        <v>18799.363333333331</v>
      </c>
      <c r="J8" s="18">
        <f t="shared" ref="J8:J43" si="5">IF(SUM(B6:B8)=0,0,I8/(SUM(B6:B8)/3)*100)</f>
        <v>6.8166653774191523</v>
      </c>
      <c r="K8" s="18"/>
      <c r="L8" s="18"/>
      <c r="M8" s="18">
        <f>IF(SUM(G$5:G8)&lt;&gt;0,SUM(G$5:G8)/COUNTIF(G$5:G8,"&lt;&gt;0")," ")</f>
        <v>23910.056666666667</v>
      </c>
      <c r="N8" s="18">
        <f>IF(SUM(G$5:G8)=0,0,M8*COUNTIF(G$5:G8,"&lt;&gt;0")/(SUM(B$5:B8))*100)</f>
        <v>7.6001612633211773</v>
      </c>
      <c r="O8" s="19"/>
      <c r="Q8" s="21"/>
    </row>
    <row r="9" spans="1:17" s="20" customFormat="1" ht="13.5" x14ac:dyDescent="0.25">
      <c r="A9" s="49">
        <v>1987</v>
      </c>
      <c r="B9" s="50">
        <v>132359</v>
      </c>
      <c r="C9" s="51">
        <v>2106</v>
      </c>
      <c r="D9" s="50">
        <f t="shared" si="0"/>
        <v>1.5911271617343741</v>
      </c>
      <c r="E9" s="50">
        <v>30750</v>
      </c>
      <c r="F9" s="50">
        <f t="shared" si="1"/>
        <v>23.232269811648624</v>
      </c>
      <c r="G9" s="50">
        <f t="shared" si="3"/>
        <v>28644</v>
      </c>
      <c r="H9" s="18">
        <f t="shared" si="2"/>
        <v>21.641142649914251</v>
      </c>
      <c r="I9" s="18">
        <f t="shared" si="4"/>
        <v>23006.333333333332</v>
      </c>
      <c r="J9" s="18">
        <f t="shared" si="5"/>
        <v>10.486516381051066</v>
      </c>
      <c r="K9" s="18">
        <f>SUM(G5:G9)/5</f>
        <v>20074.833999999999</v>
      </c>
      <c r="L9" s="18">
        <f>IF(SUM(B5:B9)=0,0,K9/(SUM(B5:B9)/5)*100)</f>
        <v>9.3270935374671176</v>
      </c>
      <c r="M9" s="18">
        <f>IF(SUM(G$5:G9)&lt;&gt;0,SUM(G$5:G9)/COUNTIF(G$5:G9,"&lt;&gt;0")," ")</f>
        <v>25093.5425</v>
      </c>
      <c r="N9" s="18">
        <f>IF(SUM(G$5:G9)=0,0,M9*COUNTIF(G$5:G9,"&lt;&gt;0")/(SUM(B$5:B9))*100)</f>
        <v>9.3270935374671176</v>
      </c>
      <c r="O9" s="19"/>
      <c r="Q9" s="21"/>
    </row>
    <row r="10" spans="1:17" s="20" customFormat="1" ht="13.5" x14ac:dyDescent="0.25">
      <c r="A10" s="49">
        <v>1988</v>
      </c>
      <c r="B10" s="50">
        <v>287345</v>
      </c>
      <c r="C10" s="51"/>
      <c r="D10" s="50">
        <f t="shared" si="0"/>
        <v>0</v>
      </c>
      <c r="E10" s="50">
        <v>29765</v>
      </c>
      <c r="F10" s="50">
        <f t="shared" si="1"/>
        <v>10.35862812994832</v>
      </c>
      <c r="G10" s="50">
        <f t="shared" si="3"/>
        <v>29765</v>
      </c>
      <c r="H10" s="18">
        <f t="shared" si="2"/>
        <v>10.35862812994832</v>
      </c>
      <c r="I10" s="18">
        <f t="shared" si="4"/>
        <v>19469.666666666668</v>
      </c>
      <c r="J10" s="18">
        <f t="shared" si="5"/>
        <v>8.1669549362614262</v>
      </c>
      <c r="K10" s="18">
        <f t="shared" ref="K10:K43" si="6">SUM(G6:G10)/5</f>
        <v>22961.417999999998</v>
      </c>
      <c r="L10" s="18">
        <f t="shared" ref="L10:L43" si="7">IF(SUM(B6:B10)=0,0,K10/(SUM(B6:B10)/5)*100)</f>
        <v>9.2062202299809144</v>
      </c>
      <c r="M10" s="18">
        <f>IF(SUM(G$5:G10)&lt;&gt;0,SUM(G$5:G10)/COUNTIF(G$5:G10,"&lt;&gt;0")," ")</f>
        <v>26027.833999999999</v>
      </c>
      <c r="N10" s="18">
        <f>IF(SUM(G$5:G10)=0,0,M10*COUNTIF(G$5:G10,"&lt;&gt;0")/(SUM(B$5:B10))*100)</f>
        <v>9.5444795827215501</v>
      </c>
      <c r="O10" s="19"/>
      <c r="Q10" s="21"/>
    </row>
    <row r="11" spans="1:17" s="20" customFormat="1" ht="13.5" x14ac:dyDescent="0.25">
      <c r="A11" s="49">
        <v>1989</v>
      </c>
      <c r="B11" s="50">
        <v>143302</v>
      </c>
      <c r="C11" s="51">
        <v>1397</v>
      </c>
      <c r="D11" s="50">
        <f t="shared" si="0"/>
        <v>0.97486427265495257</v>
      </c>
      <c r="E11" s="50">
        <v>20940</v>
      </c>
      <c r="F11" s="50">
        <f t="shared" si="1"/>
        <v>14.612496685321908</v>
      </c>
      <c r="G11" s="50">
        <f t="shared" si="3"/>
        <v>19543</v>
      </c>
      <c r="H11" s="18">
        <f t="shared" si="2"/>
        <v>13.637632412666957</v>
      </c>
      <c r="I11" s="18">
        <f t="shared" si="4"/>
        <v>25984</v>
      </c>
      <c r="J11" s="18">
        <f t="shared" si="5"/>
        <v>13.845678376429383</v>
      </c>
      <c r="K11" s="18">
        <f t="shared" si="6"/>
        <v>23665.4</v>
      </c>
      <c r="L11" s="18">
        <f t="shared" si="7"/>
        <v>10.867492762780856</v>
      </c>
      <c r="M11" s="18">
        <f>IF(SUM(G$5:G11)&lt;&gt;0,SUM(G$5:G11)/COUNTIF(G$5:G11,"&lt;&gt;0")," ")</f>
        <v>24947.028333333332</v>
      </c>
      <c r="N11" s="18">
        <f>IF(SUM(G$5:G11)=0,0,M11*COUNTIF(G$5:G11,"&lt;&gt;0")/(SUM(B$5:B11))*100)</f>
        <v>9.933751835009728</v>
      </c>
      <c r="O11" s="19"/>
      <c r="Q11" s="21"/>
    </row>
    <row r="12" spans="1:17" s="20" customFormat="1" ht="13.5" x14ac:dyDescent="0.25">
      <c r="A12" s="49">
        <v>1990</v>
      </c>
      <c r="B12" s="50">
        <v>493837</v>
      </c>
      <c r="C12" s="51">
        <v>1845</v>
      </c>
      <c r="D12" s="50">
        <f t="shared" si="0"/>
        <v>0.3736050559192608</v>
      </c>
      <c r="E12" s="50">
        <v>39470</v>
      </c>
      <c r="F12" s="50">
        <f t="shared" si="1"/>
        <v>7.9925157491236991</v>
      </c>
      <c r="G12" s="50">
        <f t="shared" si="3"/>
        <v>37625</v>
      </c>
      <c r="H12" s="18">
        <f t="shared" si="2"/>
        <v>7.6189106932044375</v>
      </c>
      <c r="I12" s="18">
        <f t="shared" si="4"/>
        <v>28977.666666666668</v>
      </c>
      <c r="J12" s="18">
        <f t="shared" si="5"/>
        <v>9.4034077388034856</v>
      </c>
      <c r="K12" s="18">
        <f t="shared" si="6"/>
        <v>23115.4</v>
      </c>
      <c r="L12" s="18">
        <f t="shared" si="7"/>
        <v>8.5465338978914858</v>
      </c>
      <c r="M12" s="18">
        <f>IF(SUM(G$5:G12)&lt;&gt;0,SUM(G$5:G12)/COUNTIF(G$5:G12,"&lt;&gt;0")," ")</f>
        <v>26758.167142857139</v>
      </c>
      <c r="N12" s="18">
        <f>IF(SUM(G$5:G12)=0,0,M12*COUNTIF(G$5:G12,"&lt;&gt;0")/(SUM(B$5:B12))*100)</f>
        <v>9.3623578643044887</v>
      </c>
      <c r="O12" s="19"/>
      <c r="Q12" s="21"/>
    </row>
    <row r="13" spans="1:17" s="20" customFormat="1" ht="13.5" x14ac:dyDescent="0.25">
      <c r="A13" s="49">
        <v>1991</v>
      </c>
      <c r="B13" s="50">
        <v>527161</v>
      </c>
      <c r="C13" s="51"/>
      <c r="D13" s="50">
        <f t="shared" si="0"/>
        <v>0</v>
      </c>
      <c r="E13" s="50">
        <v>66176.27</v>
      </c>
      <c r="F13" s="50">
        <f t="shared" si="1"/>
        <v>12.553331904294893</v>
      </c>
      <c r="G13" s="50">
        <f t="shared" si="3"/>
        <v>66176.27</v>
      </c>
      <c r="H13" s="18">
        <f t="shared" si="2"/>
        <v>12.553331904294893</v>
      </c>
      <c r="I13" s="18">
        <f t="shared" si="4"/>
        <v>41114.756666666668</v>
      </c>
      <c r="J13" s="18">
        <f t="shared" si="5"/>
        <v>10.593856394400071</v>
      </c>
      <c r="K13" s="18">
        <f t="shared" si="6"/>
        <v>36350.654000000002</v>
      </c>
      <c r="L13" s="18">
        <f t="shared" si="7"/>
        <v>11.474293625521149</v>
      </c>
      <c r="M13" s="18">
        <f>IF(SUM(G$5:G13)&lt;&gt;0,SUM(G$5:G13)/COUNTIF(G$5:G13,"&lt;&gt;0")," ")</f>
        <v>31685.43</v>
      </c>
      <c r="N13" s="18">
        <f>IF(SUM(G$5:G13)=0,0,M13*COUNTIF(G$5:G13,"&lt;&gt;0")/(SUM(B$5:B13))*100)</f>
        <v>10.027820216931547</v>
      </c>
      <c r="O13" s="19"/>
      <c r="Q13" s="21"/>
    </row>
    <row r="14" spans="1:17" s="20" customFormat="1" ht="13.5" x14ac:dyDescent="0.25">
      <c r="A14" s="49">
        <v>1992</v>
      </c>
      <c r="B14" s="50">
        <v>608025</v>
      </c>
      <c r="C14" s="51"/>
      <c r="D14" s="50">
        <f t="shared" si="0"/>
        <v>0</v>
      </c>
      <c r="E14" s="50"/>
      <c r="F14" s="50">
        <f t="shared" si="1"/>
        <v>0</v>
      </c>
      <c r="G14" s="50">
        <f t="shared" si="3"/>
        <v>0</v>
      </c>
      <c r="H14" s="18">
        <f t="shared" si="2"/>
        <v>0</v>
      </c>
      <c r="I14" s="18">
        <f t="shared" si="4"/>
        <v>34600.423333333332</v>
      </c>
      <c r="J14" s="18">
        <f t="shared" si="5"/>
        <v>6.3719953616370066</v>
      </c>
      <c r="K14" s="18">
        <f t="shared" si="6"/>
        <v>30621.854000000003</v>
      </c>
      <c r="L14" s="18">
        <f t="shared" si="7"/>
        <v>7.4336796671311429</v>
      </c>
      <c r="M14" s="18">
        <f>IF(SUM(G$5:G14)&lt;&gt;0,SUM(G$5:G14)/COUNTIF(G$5:G14,"&lt;&gt;0")," ")</f>
        <v>31685.43</v>
      </c>
      <c r="N14" s="18">
        <f>IF(SUM(G$5:G14)=0,0,M14*COUNTIF(G$5:G14,"&lt;&gt;0")/(SUM(B$5:B14))*100)</f>
        <v>8.0834637880214686</v>
      </c>
      <c r="O14" s="19"/>
      <c r="Q14" s="21"/>
    </row>
    <row r="15" spans="1:17" s="20" customFormat="1" ht="13.5" x14ac:dyDescent="0.25">
      <c r="A15" s="49">
        <v>1993</v>
      </c>
      <c r="B15" s="50">
        <v>229798</v>
      </c>
      <c r="C15" s="51">
        <v>129.6</v>
      </c>
      <c r="D15" s="50">
        <f t="shared" si="0"/>
        <v>5.6397357679353173E-2</v>
      </c>
      <c r="E15" s="50">
        <v>42160.43</v>
      </c>
      <c r="F15" s="50">
        <f t="shared" si="1"/>
        <v>18.346734958528796</v>
      </c>
      <c r="G15" s="50">
        <f t="shared" si="3"/>
        <v>42030.83</v>
      </c>
      <c r="H15" s="18">
        <f t="shared" si="2"/>
        <v>18.290337600849444</v>
      </c>
      <c r="I15" s="18">
        <f t="shared" si="4"/>
        <v>36069.033333333333</v>
      </c>
      <c r="J15" s="18">
        <f t="shared" si="5"/>
        <v>7.9273529946138552</v>
      </c>
      <c r="K15" s="18">
        <f t="shared" si="6"/>
        <v>33075.020000000004</v>
      </c>
      <c r="L15" s="18">
        <f t="shared" si="7"/>
        <v>8.259987023774265</v>
      </c>
      <c r="M15" s="18">
        <f>IF(SUM(G$5:G15)&lt;&gt;0,SUM(G$5:G15)/COUNTIF(G$5:G15,"&lt;&gt;0")," ")</f>
        <v>32834.918888888889</v>
      </c>
      <c r="N15" s="18">
        <f>IF(SUM(G$5:G15)=0,0,M15*COUNTIF(G$5:G15,"&lt;&gt;0")/(SUM(B$5:B15))*100)</f>
        <v>8.7803682822655542</v>
      </c>
      <c r="O15" s="19"/>
      <c r="Q15" s="21"/>
    </row>
    <row r="16" spans="1:17" s="20" customFormat="1" ht="13.5" x14ac:dyDescent="0.25">
      <c r="A16" s="49">
        <v>1994</v>
      </c>
      <c r="B16" s="50">
        <v>462320</v>
      </c>
      <c r="C16" s="51"/>
      <c r="D16" s="50">
        <f t="shared" si="0"/>
        <v>0</v>
      </c>
      <c r="E16" s="50">
        <v>21266</v>
      </c>
      <c r="F16" s="50">
        <f t="shared" si="1"/>
        <v>4.5998442637134449</v>
      </c>
      <c r="G16" s="50">
        <f t="shared" si="3"/>
        <v>21266</v>
      </c>
      <c r="H16" s="18">
        <f t="shared" si="2"/>
        <v>4.5998442637134449</v>
      </c>
      <c r="I16" s="18">
        <f t="shared" si="4"/>
        <v>21098.943333333333</v>
      </c>
      <c r="J16" s="18">
        <f t="shared" si="5"/>
        <v>4.8684513934236469</v>
      </c>
      <c r="K16" s="18">
        <f t="shared" si="6"/>
        <v>33419.620000000003</v>
      </c>
      <c r="L16" s="18">
        <f t="shared" si="7"/>
        <v>7.1989637854830884</v>
      </c>
      <c r="M16" s="18">
        <f>IF(SUM(G$5:G16)&lt;&gt;0,SUM(G$5:G16)/COUNTIF(G$5:G16,"&lt;&gt;0")," ")</f>
        <v>31678.027000000002</v>
      </c>
      <c r="N16" s="18">
        <f>IF(SUM(G$5:G16)=0,0,M16*COUNTIF(G$5:G16,"&lt;&gt;0")/(SUM(B$5:B16))*100)</f>
        <v>8.275465556584539</v>
      </c>
      <c r="O16" s="19"/>
      <c r="Q16" s="21"/>
    </row>
    <row r="17" spans="1:17" s="20" customFormat="1" ht="13.5" x14ac:dyDescent="0.25">
      <c r="A17" s="49">
        <v>1995</v>
      </c>
      <c r="B17" s="50">
        <v>486358</v>
      </c>
      <c r="C17" s="51">
        <v>230</v>
      </c>
      <c r="D17" s="50">
        <f t="shared" si="0"/>
        <v>4.729026766291497E-2</v>
      </c>
      <c r="E17" s="50">
        <v>57018</v>
      </c>
      <c r="F17" s="50">
        <f t="shared" si="1"/>
        <v>11.723462963496026</v>
      </c>
      <c r="G17" s="50">
        <f t="shared" si="3"/>
        <v>56788</v>
      </c>
      <c r="H17" s="18">
        <f t="shared" si="2"/>
        <v>11.676172695833111</v>
      </c>
      <c r="I17" s="18">
        <f t="shared" si="4"/>
        <v>40028.276666666665</v>
      </c>
      <c r="J17" s="18">
        <f t="shared" si="5"/>
        <v>10.189840947121537</v>
      </c>
      <c r="K17" s="18">
        <f t="shared" si="6"/>
        <v>37252.22</v>
      </c>
      <c r="L17" s="18">
        <f t="shared" si="7"/>
        <v>8.0504887922263499</v>
      </c>
      <c r="M17" s="18">
        <f>IF(SUM(G$5:G17)&lt;&gt;0,SUM(G$5:G17)/COUNTIF(G$5:G17,"&lt;&gt;0")," ")</f>
        <v>33960.751818181823</v>
      </c>
      <c r="N17" s="18">
        <f>IF(SUM(G$5:G17)=0,0,M17*COUNTIF(G$5:G17,"&lt;&gt;0")/(SUM(B$5:B17))*100)</f>
        <v>8.6588324927572327</v>
      </c>
      <c r="O17" s="19"/>
      <c r="Q17" s="21"/>
    </row>
    <row r="18" spans="1:17" s="20" customFormat="1" ht="13.5" x14ac:dyDescent="0.25">
      <c r="A18" s="49">
        <v>1996</v>
      </c>
      <c r="B18" s="50">
        <v>499604</v>
      </c>
      <c r="C18" s="51"/>
      <c r="D18" s="50">
        <f t="shared" si="0"/>
        <v>0</v>
      </c>
      <c r="E18" s="50">
        <v>87016.69</v>
      </c>
      <c r="F18" s="50">
        <f t="shared" si="1"/>
        <v>17.417132368836118</v>
      </c>
      <c r="G18" s="50">
        <f t="shared" si="3"/>
        <v>87016.69</v>
      </c>
      <c r="H18" s="18">
        <f t="shared" si="2"/>
        <v>17.417132368836118</v>
      </c>
      <c r="I18" s="18">
        <f t="shared" si="4"/>
        <v>55023.563333333332</v>
      </c>
      <c r="J18" s="18">
        <f t="shared" si="5"/>
        <v>11.39768981455269</v>
      </c>
      <c r="K18" s="18">
        <f t="shared" si="6"/>
        <v>41420.304000000004</v>
      </c>
      <c r="L18" s="18">
        <f t="shared" si="7"/>
        <v>9.0591429527515146</v>
      </c>
      <c r="M18" s="18">
        <f>IF(SUM(G$5:G18)&lt;&gt;0,SUM(G$5:G18)/COUNTIF(G$5:G18,"&lt;&gt;0")," ")</f>
        <v>38382.080000000002</v>
      </c>
      <c r="N18" s="18">
        <f>IF(SUM(G$5:G18)=0,0,M18*COUNTIF(G$5:G18,"&lt;&gt;0")/(SUM(B$5:B18))*100)</f>
        <v>9.567799294834737</v>
      </c>
      <c r="O18" s="19"/>
      <c r="Q18" s="21"/>
    </row>
    <row r="19" spans="1:17" s="20" customFormat="1" ht="13.5" x14ac:dyDescent="0.25">
      <c r="A19" s="49">
        <v>1997</v>
      </c>
      <c r="B19" s="50">
        <v>525616</v>
      </c>
      <c r="C19" s="51"/>
      <c r="D19" s="50">
        <f t="shared" si="0"/>
        <v>0</v>
      </c>
      <c r="E19" s="50">
        <v>118748.87</v>
      </c>
      <c r="F19" s="50">
        <f t="shared" si="1"/>
        <v>22.592324054062278</v>
      </c>
      <c r="G19" s="50">
        <f t="shared" si="3"/>
        <v>118748.87</v>
      </c>
      <c r="H19" s="18">
        <f t="shared" si="2"/>
        <v>22.592324054062278</v>
      </c>
      <c r="I19" s="18">
        <f t="shared" si="4"/>
        <v>87517.853333333333</v>
      </c>
      <c r="J19" s="18">
        <f t="shared" si="5"/>
        <v>17.369501276149826</v>
      </c>
      <c r="K19" s="18">
        <f t="shared" si="6"/>
        <v>65170.078000000001</v>
      </c>
      <c r="L19" s="18">
        <f t="shared" si="7"/>
        <v>14.786539976475884</v>
      </c>
      <c r="M19" s="18">
        <f>IF(SUM(G$5:G19)&lt;&gt;0,SUM(G$5:G19)/COUNTIF(G$5:G19,"&lt;&gt;0")," ")</f>
        <v>44564.140769230777</v>
      </c>
      <c r="N19" s="18">
        <f>IF(SUM(G$5:G19)=0,0,M19*COUNTIF(G$5:G19,"&lt;&gt;0")/(SUM(B$5:B19))*100)</f>
        <v>10.849917305347315</v>
      </c>
      <c r="O19" s="19"/>
      <c r="Q19" s="21"/>
    </row>
    <row r="20" spans="1:17" s="20" customFormat="1" ht="13.5" x14ac:dyDescent="0.25">
      <c r="A20" s="49">
        <v>1998</v>
      </c>
      <c r="B20" s="50">
        <v>360363</v>
      </c>
      <c r="C20" s="51"/>
      <c r="D20" s="50">
        <f t="shared" si="0"/>
        <v>0</v>
      </c>
      <c r="E20" s="50">
        <v>135745.99</v>
      </c>
      <c r="F20" s="50">
        <f t="shared" si="1"/>
        <v>37.669236297844115</v>
      </c>
      <c r="G20" s="50">
        <f t="shared" si="3"/>
        <v>135745.99</v>
      </c>
      <c r="H20" s="18">
        <f t="shared" si="2"/>
        <v>37.669236297844115</v>
      </c>
      <c r="I20" s="18">
        <f t="shared" si="4"/>
        <v>113837.18333333333</v>
      </c>
      <c r="J20" s="18">
        <f t="shared" si="5"/>
        <v>24.647498561977159</v>
      </c>
      <c r="K20" s="18">
        <f t="shared" si="6"/>
        <v>83913.11</v>
      </c>
      <c r="L20" s="18">
        <f t="shared" si="7"/>
        <v>17.974234672129636</v>
      </c>
      <c r="M20" s="18">
        <f>IF(SUM(G$5:G20)&lt;&gt;0,SUM(G$5:G20)/COUNTIF(G$5:G20,"&lt;&gt;0")," ")</f>
        <v>51077.130000000005</v>
      </c>
      <c r="N20" s="18">
        <f>IF(SUM(G$5:G20)=0,0,M20*COUNTIF(G$5:G20,"&lt;&gt;0")/(SUM(B$5:B20))*100)</f>
        <v>12.545510910218205</v>
      </c>
      <c r="O20" s="19"/>
      <c r="Q20" s="21"/>
    </row>
    <row r="21" spans="1:17" s="20" customFormat="1" ht="13.5" x14ac:dyDescent="0.25">
      <c r="A21" s="49">
        <v>1999</v>
      </c>
      <c r="B21" s="50">
        <v>1024849</v>
      </c>
      <c r="C21" s="51"/>
      <c r="D21" s="50">
        <f t="shared" si="0"/>
        <v>0</v>
      </c>
      <c r="E21" s="50">
        <v>60294.59</v>
      </c>
      <c r="F21" s="50">
        <f t="shared" si="1"/>
        <v>5.8832657298782554</v>
      </c>
      <c r="G21" s="50">
        <f t="shared" si="3"/>
        <v>60294.59</v>
      </c>
      <c r="H21" s="18">
        <f t="shared" si="2"/>
        <v>5.8832657298782554</v>
      </c>
      <c r="I21" s="18">
        <f t="shared" si="4"/>
        <v>104929.81666666665</v>
      </c>
      <c r="J21" s="18">
        <f t="shared" si="5"/>
        <v>16.47398143631975</v>
      </c>
      <c r="K21" s="18">
        <f t="shared" si="6"/>
        <v>91718.828000000009</v>
      </c>
      <c r="L21" s="18">
        <f t="shared" si="7"/>
        <v>15.831114440466862</v>
      </c>
      <c r="M21" s="18">
        <f>IF(SUM(G$5:G21)&lt;&gt;0,SUM(G$5:G21)/COUNTIF(G$5:G21,"&lt;&gt;0")," ")</f>
        <v>51691.627333333337</v>
      </c>
      <c r="N21" s="18">
        <f>IF(SUM(G$5:G21)=0,0,M21*COUNTIF(G$5:G21,"&lt;&gt;0")/(SUM(B$5:B21))*100)</f>
        <v>11.530185353028781</v>
      </c>
      <c r="O21" s="19"/>
      <c r="Q21" s="21"/>
    </row>
    <row r="22" spans="1:17" s="20" customFormat="1" ht="13.5" x14ac:dyDescent="0.25">
      <c r="A22" s="49">
        <v>2000</v>
      </c>
      <c r="B22" s="50">
        <v>270661</v>
      </c>
      <c r="C22" s="51"/>
      <c r="D22" s="50">
        <f t="shared" si="0"/>
        <v>0</v>
      </c>
      <c r="E22" s="50">
        <v>94294.07</v>
      </c>
      <c r="F22" s="50">
        <f t="shared" si="1"/>
        <v>34.83843996733922</v>
      </c>
      <c r="G22" s="50">
        <f t="shared" si="3"/>
        <v>94294.07</v>
      </c>
      <c r="H22" s="18">
        <f t="shared" si="2"/>
        <v>34.83843996733922</v>
      </c>
      <c r="I22" s="18">
        <f t="shared" si="4"/>
        <v>96778.216666666674</v>
      </c>
      <c r="J22" s="18">
        <f t="shared" si="5"/>
        <v>17.533630296526368</v>
      </c>
      <c r="K22" s="18">
        <f t="shared" si="6"/>
        <v>99220.042000000001</v>
      </c>
      <c r="L22" s="18">
        <f t="shared" si="7"/>
        <v>18.50365541217705</v>
      </c>
      <c r="M22" s="18">
        <f>IF(SUM(G$5:G22)&lt;&gt;0,SUM(G$5:G22)/COUNTIF(G$5:G22,"&lt;&gt;0")," ")</f>
        <v>54354.28</v>
      </c>
      <c r="N22" s="18">
        <f>IF(SUM(G$5:G22)=0,0,M22*COUNTIF(G$5:G22,"&lt;&gt;0")/(SUM(B$5:B22))*100)</f>
        <v>12.432012140556447</v>
      </c>
      <c r="O22" s="19"/>
      <c r="Q22" s="21"/>
    </row>
    <row r="23" spans="1:17" s="20" customFormat="1" ht="13.5" x14ac:dyDescent="0.25">
      <c r="A23" s="49">
        <v>2001</v>
      </c>
      <c r="B23" s="50">
        <v>700215</v>
      </c>
      <c r="C23" s="51">
        <v>4332.8500000000004</v>
      </c>
      <c r="D23" s="50">
        <f t="shared" si="0"/>
        <v>0.61878851495612064</v>
      </c>
      <c r="E23" s="50">
        <v>46396.55</v>
      </c>
      <c r="F23" s="50">
        <f t="shared" si="1"/>
        <v>6.6260434295180772</v>
      </c>
      <c r="G23" s="50">
        <f t="shared" si="3"/>
        <v>42063.700000000004</v>
      </c>
      <c r="H23" s="18">
        <f t="shared" si="2"/>
        <v>6.0072549145619565</v>
      </c>
      <c r="I23" s="18">
        <f t="shared" si="4"/>
        <v>65550.786666666667</v>
      </c>
      <c r="J23" s="18">
        <f t="shared" si="5"/>
        <v>9.8536802415162406</v>
      </c>
      <c r="K23" s="18">
        <f t="shared" si="6"/>
        <v>90229.443999999989</v>
      </c>
      <c r="L23" s="18">
        <f t="shared" si="7"/>
        <v>15.655571148181767</v>
      </c>
      <c r="M23" s="18">
        <f>IF(SUM(G$5:G23)&lt;&gt;0,SUM(G$5:G23)/COUNTIF(G$5:G23,"&lt;&gt;0")," ")</f>
        <v>53631.30470588235</v>
      </c>
      <c r="N23" s="18">
        <f>IF(SUM(G$5:G23)=0,0,M23*COUNTIF(G$5:G23,"&lt;&gt;0")/(SUM(B$5:B23))*100)</f>
        <v>11.847430697835428</v>
      </c>
      <c r="O23" s="19"/>
      <c r="Q23" s="21"/>
    </row>
    <row r="24" spans="1:17" s="20" customFormat="1" ht="13.5" x14ac:dyDescent="0.25">
      <c r="A24" s="49">
        <v>2002</v>
      </c>
      <c r="B24" s="50">
        <v>907470</v>
      </c>
      <c r="C24" s="51">
        <v>25360.27</v>
      </c>
      <c r="D24" s="50">
        <f t="shared" si="0"/>
        <v>2.7946124940769392</v>
      </c>
      <c r="E24" s="50">
        <v>109806.35</v>
      </c>
      <c r="F24" s="50">
        <f t="shared" si="1"/>
        <v>12.100273287271206</v>
      </c>
      <c r="G24" s="50">
        <f t="shared" si="3"/>
        <v>84446.080000000002</v>
      </c>
      <c r="H24" s="18">
        <f t="shared" si="2"/>
        <v>9.3056607931942654</v>
      </c>
      <c r="I24" s="18">
        <f t="shared" si="4"/>
        <v>73601.28333333334</v>
      </c>
      <c r="J24" s="18">
        <f t="shared" si="5"/>
        <v>11.755227737594671</v>
      </c>
      <c r="K24" s="18">
        <f t="shared" si="6"/>
        <v>83368.886000000013</v>
      </c>
      <c r="L24" s="18">
        <f t="shared" si="7"/>
        <v>12.772698692653847</v>
      </c>
      <c r="M24" s="18">
        <f>IF(SUM(G$5:G24)&lt;&gt;0,SUM(G$5:G24)/COUNTIF(G$5:G24,"&lt;&gt;0")," ")</f>
        <v>55343.236666666664</v>
      </c>
      <c r="N24" s="18">
        <f>IF(SUM(G$5:G24)=0,0,M24*COUNTIF(G$5:G24,"&lt;&gt;0")/(SUM(B$5:B24))*100)</f>
        <v>11.579319780901749</v>
      </c>
      <c r="O24" s="19"/>
      <c r="Q24" s="21"/>
    </row>
    <row r="25" spans="1:17" s="20" customFormat="1" ht="13.5" x14ac:dyDescent="0.25">
      <c r="A25" s="49">
        <v>2003</v>
      </c>
      <c r="B25" s="50">
        <v>467721</v>
      </c>
      <c r="C25" s="51"/>
      <c r="D25" s="50">
        <f t="shared" si="0"/>
        <v>0</v>
      </c>
      <c r="E25" s="50"/>
      <c r="F25" s="50">
        <f t="shared" si="1"/>
        <v>0</v>
      </c>
      <c r="G25" s="50">
        <f t="shared" si="3"/>
        <v>0</v>
      </c>
      <c r="H25" s="18">
        <f t="shared" si="2"/>
        <v>0</v>
      </c>
      <c r="I25" s="18">
        <f t="shared" si="4"/>
        <v>42169.926666666666</v>
      </c>
      <c r="J25" s="18">
        <f t="shared" si="5"/>
        <v>6.0956641736604791</v>
      </c>
      <c r="K25" s="18">
        <f t="shared" si="6"/>
        <v>56219.688000000002</v>
      </c>
      <c r="L25" s="18">
        <f t="shared" si="7"/>
        <v>8.3389333937719012</v>
      </c>
      <c r="M25" s="18">
        <f>IF(SUM(G$5:G25)&lt;&gt;0,SUM(G$5:G25)/COUNTIF(G$5:G25,"&lt;&gt;0")," ")</f>
        <v>55343.236666666664</v>
      </c>
      <c r="N25" s="18">
        <f>IF(SUM(G$5:G25)=0,0,M25*COUNTIF(G$5:G25,"&lt;&gt;0")/(SUM(B$5:B25))*100)</f>
        <v>10.982251183522692</v>
      </c>
      <c r="O25" s="19"/>
      <c r="Q25" s="21"/>
    </row>
    <row r="26" spans="1:17" s="20" customFormat="1" ht="13.5" x14ac:dyDescent="0.25">
      <c r="A26" s="49">
        <v>2004</v>
      </c>
      <c r="B26" s="50">
        <v>148334</v>
      </c>
      <c r="C26" s="51"/>
      <c r="D26" s="50">
        <f t="shared" si="0"/>
        <v>0</v>
      </c>
      <c r="E26" s="50">
        <v>76600</v>
      </c>
      <c r="F26" s="50">
        <f t="shared" si="1"/>
        <v>51.640217347337767</v>
      </c>
      <c r="G26" s="50">
        <f t="shared" si="3"/>
        <v>76600</v>
      </c>
      <c r="H26" s="18">
        <f t="shared" si="2"/>
        <v>51.640217347337767</v>
      </c>
      <c r="I26" s="18">
        <f t="shared" si="4"/>
        <v>53682.026666666672</v>
      </c>
      <c r="J26" s="18">
        <f t="shared" si="5"/>
        <v>10.570622733463514</v>
      </c>
      <c r="K26" s="18">
        <f t="shared" si="6"/>
        <v>59480.770000000004</v>
      </c>
      <c r="L26" s="18">
        <f t="shared" si="7"/>
        <v>11.922856429258969</v>
      </c>
      <c r="M26" s="18">
        <f>IF(SUM(G$5:G26)&lt;&gt;0,SUM(G$5:G26)/COUNTIF(G$5:G26,"&lt;&gt;0")," ")</f>
        <v>56462.013684210513</v>
      </c>
      <c r="N26" s="18">
        <f>IF(SUM(G$5:G26)=0,0,M26*COUNTIF(G$5:G26,"&lt;&gt;0")/(SUM(B$5:B26))*100)</f>
        <v>11.636429487535489</v>
      </c>
      <c r="O26" s="19"/>
      <c r="Q26" s="21"/>
    </row>
    <row r="27" spans="1:17" s="20" customFormat="1" ht="13.5" x14ac:dyDescent="0.25">
      <c r="A27" s="49">
        <v>2005</v>
      </c>
      <c r="B27" s="50">
        <v>163189</v>
      </c>
      <c r="C27" s="51"/>
      <c r="D27" s="50">
        <f t="shared" si="0"/>
        <v>0</v>
      </c>
      <c r="E27" s="50">
        <v>12910.46</v>
      </c>
      <c r="F27" s="50">
        <f t="shared" si="1"/>
        <v>7.9113543192249471</v>
      </c>
      <c r="G27" s="50">
        <f t="shared" si="3"/>
        <v>12910.46</v>
      </c>
      <c r="H27" s="18">
        <f t="shared" si="2"/>
        <v>7.9113543192249471</v>
      </c>
      <c r="I27" s="18">
        <f t="shared" si="4"/>
        <v>29836.819999999996</v>
      </c>
      <c r="J27" s="18">
        <f t="shared" si="5"/>
        <v>11.486833392364906</v>
      </c>
      <c r="K27" s="18">
        <f t="shared" si="6"/>
        <v>43204.047999999995</v>
      </c>
      <c r="L27" s="18">
        <f t="shared" si="7"/>
        <v>9.0501326181046853</v>
      </c>
      <c r="M27" s="18">
        <f>IF(SUM(G$5:G27)&lt;&gt;0,SUM(G$5:G27)/COUNTIF(G$5:G27,"&lt;&gt;0")," ")</f>
        <v>54284.435999999987</v>
      </c>
      <c r="N27" s="18">
        <f>IF(SUM(G$5:G27)=0,0,M27*COUNTIF(G$5:G27,"&lt;&gt;0")/(SUM(B$5:B27))*100)</f>
        <v>11.571638373217723</v>
      </c>
      <c r="O27" s="19"/>
      <c r="Q27" s="21"/>
    </row>
    <row r="28" spans="1:17" s="20" customFormat="1" ht="13.5" x14ac:dyDescent="0.25">
      <c r="A28" s="49">
        <v>2006</v>
      </c>
      <c r="B28" s="50">
        <v>806168</v>
      </c>
      <c r="C28" s="51"/>
      <c r="D28" s="50">
        <f t="shared" si="0"/>
        <v>0</v>
      </c>
      <c r="E28" s="50">
        <v>142965.87</v>
      </c>
      <c r="F28" s="50">
        <f t="shared" si="1"/>
        <v>17.734004574728839</v>
      </c>
      <c r="G28" s="50">
        <f t="shared" si="3"/>
        <v>142965.87</v>
      </c>
      <c r="H28" s="18">
        <f t="shared" si="2"/>
        <v>17.734004574728839</v>
      </c>
      <c r="I28" s="18">
        <f t="shared" si="4"/>
        <v>77492.11</v>
      </c>
      <c r="J28" s="18">
        <f t="shared" si="5"/>
        <v>20.799695980373823</v>
      </c>
      <c r="K28" s="18">
        <f t="shared" si="6"/>
        <v>63384.482000000004</v>
      </c>
      <c r="L28" s="18">
        <f t="shared" si="7"/>
        <v>12.713093118727642</v>
      </c>
      <c r="M28" s="18">
        <f>IF(SUM(G$5:G28)&lt;&gt;0,SUM(G$5:G28)/COUNTIF(G$5:G28,"&lt;&gt;0")," ")</f>
        <v>58507.361428571421</v>
      </c>
      <c r="N28" s="18">
        <f>IF(SUM(G$5:G28)=0,0,M28*COUNTIF(G$5:G28,"&lt;&gt;0")/(SUM(B$5:B28))*100)</f>
        <v>12.059237710621186</v>
      </c>
      <c r="O28" s="19"/>
      <c r="Q28" s="21"/>
    </row>
    <row r="29" spans="1:17" s="20" customFormat="1" ht="13.5" x14ac:dyDescent="0.25">
      <c r="A29" s="49">
        <v>2007</v>
      </c>
      <c r="B29" s="50">
        <v>242174</v>
      </c>
      <c r="C29" s="51"/>
      <c r="D29" s="50">
        <f t="shared" si="0"/>
        <v>0</v>
      </c>
      <c r="E29" s="50">
        <v>-47048.87</v>
      </c>
      <c r="F29" s="50">
        <f t="shared" si="1"/>
        <v>-19.427713131880385</v>
      </c>
      <c r="G29" s="50">
        <f t="shared" si="3"/>
        <v>-47048.87</v>
      </c>
      <c r="H29" s="18">
        <f t="shared" si="2"/>
        <v>-19.427713131880385</v>
      </c>
      <c r="I29" s="18">
        <f t="shared" si="4"/>
        <v>36275.82</v>
      </c>
      <c r="J29" s="18">
        <f t="shared" si="5"/>
        <v>8.9826393216516944</v>
      </c>
      <c r="K29" s="18">
        <f t="shared" si="6"/>
        <v>37085.491999999998</v>
      </c>
      <c r="L29" s="18">
        <f t="shared" si="7"/>
        <v>10.146031978796072</v>
      </c>
      <c r="M29" s="18">
        <f>IF(SUM(G$5:G29)&lt;&gt;0,SUM(G$5:G29)/COUNTIF(G$5:G29,"&lt;&gt;0")," ")</f>
        <v>53709.350909090899</v>
      </c>
      <c r="N29" s="18">
        <f>IF(SUM(G$5:G29)=0,0,M29*COUNTIF(G$5:G29,"&lt;&gt;0")/(SUM(B$5:B29))*100)</f>
        <v>11.328189462859852</v>
      </c>
      <c r="O29" s="19"/>
      <c r="Q29" s="21"/>
    </row>
    <row r="30" spans="1:17" s="20" customFormat="1" ht="13.5" x14ac:dyDescent="0.25">
      <c r="A30" s="49">
        <v>2008</v>
      </c>
      <c r="B30" s="50">
        <v>1407043</v>
      </c>
      <c r="C30" s="51"/>
      <c r="D30" s="50">
        <f t="shared" si="0"/>
        <v>0</v>
      </c>
      <c r="E30" s="50">
        <v>150988.20000000001</v>
      </c>
      <c r="F30" s="50">
        <f t="shared" si="1"/>
        <v>10.730887400029708</v>
      </c>
      <c r="G30" s="50">
        <f t="shared" si="3"/>
        <v>150988.20000000001</v>
      </c>
      <c r="H30" s="18">
        <f t="shared" si="2"/>
        <v>10.730887400029708</v>
      </c>
      <c r="I30" s="18">
        <f t="shared" si="4"/>
        <v>82301.733333333337</v>
      </c>
      <c r="J30" s="18">
        <f t="shared" si="5"/>
        <v>10.055661332133251</v>
      </c>
      <c r="K30" s="18">
        <f t="shared" si="6"/>
        <v>67283.132000000012</v>
      </c>
      <c r="L30" s="18">
        <f t="shared" si="7"/>
        <v>12.158541592275569</v>
      </c>
      <c r="M30" s="18">
        <f>IF(SUM(G$5:G30)&lt;&gt;0,SUM(G$5:G30)/COUNTIF(G$5:G30,"&lt;&gt;0")," ")</f>
        <v>57938.866086956506</v>
      </c>
      <c r="N30" s="18">
        <f>IF(SUM(G$5:G30)=0,0,M30*COUNTIF(G$5:G30,"&lt;&gt;0")/(SUM(B$5:B30))*100)</f>
        <v>11.257193494349833</v>
      </c>
      <c r="O30" s="19"/>
      <c r="Q30" s="21"/>
    </row>
    <row r="31" spans="1:17" s="20" customFormat="1" ht="13.5" x14ac:dyDescent="0.25">
      <c r="A31" s="49">
        <v>2009</v>
      </c>
      <c r="B31" s="50">
        <v>2777760</v>
      </c>
      <c r="C31" s="51"/>
      <c r="D31" s="50">
        <f t="shared" si="0"/>
        <v>0</v>
      </c>
      <c r="E31" s="50">
        <v>290232.2</v>
      </c>
      <c r="F31" s="50">
        <f t="shared" si="1"/>
        <v>10.448426069926848</v>
      </c>
      <c r="G31" s="50">
        <f t="shared" si="3"/>
        <v>290232.2</v>
      </c>
      <c r="H31" s="18">
        <f t="shared" si="2"/>
        <v>10.448426069926848</v>
      </c>
      <c r="I31" s="18">
        <f t="shared" si="4"/>
        <v>131390.51</v>
      </c>
      <c r="J31" s="18">
        <f t="shared" si="5"/>
        <v>8.9038531259593192</v>
      </c>
      <c r="K31" s="18">
        <f t="shared" si="6"/>
        <v>110009.572</v>
      </c>
      <c r="L31" s="18">
        <f t="shared" si="7"/>
        <v>10.192991390080747</v>
      </c>
      <c r="M31" s="18">
        <f>IF(SUM(G$5:G31)&lt;&gt;0,SUM(G$5:G31)/COUNTIF(G$5:G31,"&lt;&gt;0")," ")</f>
        <v>67617.75499999999</v>
      </c>
      <c r="N31" s="18">
        <f>IF(SUM(G$5:G31)=0,0,M31*COUNTIF(G$5:G31,"&lt;&gt;0")/(SUM(B$5:B31))*100)</f>
        <v>11.1034822691299</v>
      </c>
      <c r="O31" s="19"/>
      <c r="Q31" s="21"/>
    </row>
    <row r="32" spans="1:17" s="20" customFormat="1" ht="13.5" x14ac:dyDescent="0.25">
      <c r="A32" s="49">
        <v>2010</v>
      </c>
      <c r="B32" s="50">
        <v>2299170.6</v>
      </c>
      <c r="C32" s="51"/>
      <c r="D32" s="50">
        <f t="shared" si="0"/>
        <v>0</v>
      </c>
      <c r="E32" s="50">
        <v>159077.23000000001</v>
      </c>
      <c r="F32" s="50">
        <f t="shared" si="1"/>
        <v>6.9188963185246015</v>
      </c>
      <c r="G32" s="50">
        <f>(E32-C32)+210477</f>
        <v>369554.23</v>
      </c>
      <c r="H32" s="18">
        <f t="shared" si="2"/>
        <v>16.073371414891959</v>
      </c>
      <c r="I32" s="18">
        <f t="shared" si="4"/>
        <v>270258.21000000002</v>
      </c>
      <c r="J32" s="18">
        <f t="shared" si="5"/>
        <v>12.504286414738026</v>
      </c>
      <c r="K32" s="18">
        <f t="shared" si="6"/>
        <v>181338.326</v>
      </c>
      <c r="L32" s="18">
        <f t="shared" si="7"/>
        <v>12.037355816583151</v>
      </c>
      <c r="M32" s="18">
        <f>IF(SUM(G$5:G32)&lt;&gt;0,SUM(G$5:G32)/COUNTIF(G$5:G32,"&lt;&gt;0")," ")</f>
        <v>79695.213999999978</v>
      </c>
      <c r="N32" s="18">
        <f>IF(SUM(G$5:G32)=0,0,M32*COUNTIF(G$5:G32,"&lt;&gt;0")/(SUM(B$5:B32))*100)</f>
        <v>11.779028577172365</v>
      </c>
      <c r="O32" s="19"/>
      <c r="Q32" s="21"/>
    </row>
    <row r="33" spans="1:17" s="20" customFormat="1" ht="13.5" x14ac:dyDescent="0.25">
      <c r="A33" s="49">
        <v>2011</v>
      </c>
      <c r="B33" s="50">
        <v>3705394.96</v>
      </c>
      <c r="C33" s="51"/>
      <c r="D33" s="50">
        <f t="shared" si="0"/>
        <v>0</v>
      </c>
      <c r="E33" s="50">
        <v>343694.42</v>
      </c>
      <c r="F33" s="50">
        <f t="shared" si="1"/>
        <v>9.2755137768093689</v>
      </c>
      <c r="G33" s="50">
        <f>(E33-C33)+543937</f>
        <v>887631.41999999993</v>
      </c>
      <c r="H33" s="18">
        <f t="shared" si="2"/>
        <v>23.955109497962937</v>
      </c>
      <c r="I33" s="18">
        <f t="shared" si="4"/>
        <v>515805.94999999995</v>
      </c>
      <c r="J33" s="18">
        <f t="shared" si="5"/>
        <v>17.619682160814818</v>
      </c>
      <c r="K33" s="18">
        <f t="shared" si="6"/>
        <v>330271.43599999999</v>
      </c>
      <c r="L33" s="18">
        <f t="shared" si="7"/>
        <v>15.830421728155228</v>
      </c>
      <c r="M33" s="18">
        <f>IF(SUM(G$5:G33)&lt;&gt;0,SUM(G$5:G33)/COUNTIF(G$5:G33,"&lt;&gt;0")," ")</f>
        <v>110769.68346153844</v>
      </c>
      <c r="N33" s="18">
        <f>IF(SUM(G$5:G33)=0,0,M33*COUNTIF(G$5:G33,"&lt;&gt;0")/(SUM(B$5:B33))*100)</f>
        <v>13.967055302207243</v>
      </c>
      <c r="O33" s="19"/>
      <c r="Q33" s="21"/>
    </row>
    <row r="34" spans="1:17" s="20" customFormat="1" ht="13.5" x14ac:dyDescent="0.25">
      <c r="A34" s="49">
        <v>2012</v>
      </c>
      <c r="B34" s="50">
        <v>8247578.2400000002</v>
      </c>
      <c r="C34" s="51"/>
      <c r="D34" s="50">
        <f t="shared" si="0"/>
        <v>0</v>
      </c>
      <c r="E34" s="50">
        <v>356030.78</v>
      </c>
      <c r="F34" s="50">
        <f t="shared" si="1"/>
        <v>4.3167917859000511</v>
      </c>
      <c r="G34" s="50">
        <f>(E34-C34)+378677</f>
        <v>734707.78</v>
      </c>
      <c r="H34" s="18">
        <f t="shared" si="2"/>
        <v>8.9081638102774772</v>
      </c>
      <c r="I34" s="18">
        <f t="shared" si="4"/>
        <v>663964.47666666668</v>
      </c>
      <c r="J34" s="18">
        <f t="shared" si="5"/>
        <v>13.976096915328625</v>
      </c>
      <c r="K34" s="18">
        <f t="shared" si="6"/>
        <v>486622.766</v>
      </c>
      <c r="L34" s="18">
        <f t="shared" si="7"/>
        <v>13.196945548489625</v>
      </c>
      <c r="M34" s="18">
        <f>IF(SUM(G$5:G34)&lt;&gt;0,SUM(G$5:G34)/COUNTIF(G$5:G34,"&lt;&gt;0")," ")</f>
        <v>133878.50185185185</v>
      </c>
      <c r="N34" s="18">
        <f>IF(SUM(G$5:G34)=0,0,M34*COUNTIF(G$5:G34,"&lt;&gt;0")/(SUM(B$5:B34))*100)</f>
        <v>12.521712307236143</v>
      </c>
      <c r="O34" s="19"/>
      <c r="Q34" s="21"/>
    </row>
    <row r="35" spans="1:17" s="20" customFormat="1" ht="13.5" x14ac:dyDescent="0.25">
      <c r="A35" s="49">
        <v>2013</v>
      </c>
      <c r="B35" s="50">
        <v>4424238.38</v>
      </c>
      <c r="C35" s="51"/>
      <c r="D35" s="50">
        <f t="shared" si="0"/>
        <v>0</v>
      </c>
      <c r="E35" s="50">
        <v>669345.09</v>
      </c>
      <c r="F35" s="50">
        <f t="shared" si="1"/>
        <v>15.12904668577103</v>
      </c>
      <c r="G35" s="50">
        <f>(E35-C35)+357477</f>
        <v>1026822.09</v>
      </c>
      <c r="H35" s="18">
        <f t="shared" si="2"/>
        <v>23.20901366078742</v>
      </c>
      <c r="I35" s="18">
        <f t="shared" si="4"/>
        <v>883053.76333333331</v>
      </c>
      <c r="J35" s="18">
        <f t="shared" si="5"/>
        <v>16.175899523916389</v>
      </c>
      <c r="K35" s="18">
        <f t="shared" si="6"/>
        <v>661789.54399999999</v>
      </c>
      <c r="L35" s="18">
        <f t="shared" si="7"/>
        <v>15.423351314808901</v>
      </c>
      <c r="M35" s="18">
        <f>IF(SUM(G$5:G35)&lt;&gt;0,SUM(G$5:G35)/COUNTIF(G$5:G35,"&lt;&gt;0")," ")</f>
        <v>165769.34428571427</v>
      </c>
      <c r="N35" s="18">
        <f>IF(SUM(G$5:G35)=0,0,M35*COUNTIF(G$5:G35,"&lt;&gt;0")/(SUM(B$5:B35))*100)</f>
        <v>13.941974795828255</v>
      </c>
      <c r="O35" s="19"/>
      <c r="Q35" s="21"/>
    </row>
    <row r="36" spans="1:17" s="20" customFormat="1" ht="13.5" x14ac:dyDescent="0.25">
      <c r="A36" s="49">
        <v>2014</v>
      </c>
      <c r="B36" s="50">
        <v>5740450.25</v>
      </c>
      <c r="C36" s="51"/>
      <c r="D36" s="50">
        <f t="shared" si="0"/>
        <v>0</v>
      </c>
      <c r="E36" s="50">
        <v>204906.28</v>
      </c>
      <c r="F36" s="50">
        <f t="shared" si="1"/>
        <v>3.5695158232579405</v>
      </c>
      <c r="G36" s="50">
        <f>(E36-C36)+453404</f>
        <v>658310.28</v>
      </c>
      <c r="H36" s="18">
        <f t="shared" si="2"/>
        <v>11.467920656572192</v>
      </c>
      <c r="I36" s="18">
        <f t="shared" si="4"/>
        <v>806613.38333333342</v>
      </c>
      <c r="J36" s="18">
        <f t="shared" si="5"/>
        <v>13.142543322260677</v>
      </c>
      <c r="K36" s="18">
        <f t="shared" si="6"/>
        <v>735405.15999999992</v>
      </c>
      <c r="L36" s="18">
        <f t="shared" si="7"/>
        <v>15.059389093739215</v>
      </c>
      <c r="M36" s="18">
        <f>IF(SUM(G$5:G36)&lt;&gt;0,SUM(G$5:G36)/COUNTIF(G$5:G36,"&lt;&gt;0")," ")</f>
        <v>182753.51448275862</v>
      </c>
      <c r="N36" s="18">
        <f>IF(SUM(G$5:G36)=0,0,M36*COUNTIF(G$5:G36,"&lt;&gt;0")/(SUM(B$5:B36))*100)</f>
        <v>13.578117584799617</v>
      </c>
      <c r="O36" s="19"/>
      <c r="Q36" s="21"/>
    </row>
    <row r="37" spans="1:17" s="20" customFormat="1" ht="13.5" x14ac:dyDescent="0.25">
      <c r="A37" s="49">
        <v>2015</v>
      </c>
      <c r="B37" s="50">
        <v>11842441.83</v>
      </c>
      <c r="C37" s="51"/>
      <c r="D37" s="50">
        <f t="shared" si="0"/>
        <v>0</v>
      </c>
      <c r="E37" s="50">
        <v>192456.12</v>
      </c>
      <c r="F37" s="50">
        <f t="shared" si="1"/>
        <v>1.6251388249377621</v>
      </c>
      <c r="G37" s="50">
        <f>(E37-C37)+280429</f>
        <v>472885.12</v>
      </c>
      <c r="H37" s="18">
        <f t="shared" si="2"/>
        <v>3.9931386346526812</v>
      </c>
      <c r="I37" s="18">
        <f t="shared" si="4"/>
        <v>719339.16333333345</v>
      </c>
      <c r="J37" s="18">
        <f t="shared" si="5"/>
        <v>9.8059921711392466</v>
      </c>
      <c r="K37" s="18">
        <f t="shared" si="6"/>
        <v>756071.33800000011</v>
      </c>
      <c r="L37" s="18">
        <f t="shared" si="7"/>
        <v>11.131758394638542</v>
      </c>
      <c r="M37" s="18">
        <f>IF(SUM(G$5:G37)&lt;&gt;0,SUM(G$5:G37)/COUNTIF(G$5:G37,"&lt;&gt;0")," ")</f>
        <v>192424.568</v>
      </c>
      <c r="N37" s="18">
        <f>IF(SUM(G$5:G37)=0,0,M37*COUNTIF(G$5:G37,"&lt;&gt;0")/(SUM(B$5:B37))*100)</f>
        <v>11.346960311973074</v>
      </c>
      <c r="O37" s="19"/>
      <c r="P37" s="22"/>
      <c r="Q37" s="21"/>
    </row>
    <row r="38" spans="1:17" s="20" customFormat="1" ht="13.5" x14ac:dyDescent="0.25">
      <c r="A38" s="49">
        <v>2016</v>
      </c>
      <c r="B38" s="50">
        <v>9488153.1699999999</v>
      </c>
      <c r="C38" s="51"/>
      <c r="D38" s="50">
        <f t="shared" si="0"/>
        <v>0</v>
      </c>
      <c r="E38" s="50">
        <v>-719485.28</v>
      </c>
      <c r="F38" s="50">
        <f t="shared" si="1"/>
        <v>-7.5829855094972087</v>
      </c>
      <c r="G38" s="50">
        <f>(E38-C38)+303972</f>
        <v>-415513.28</v>
      </c>
      <c r="H38" s="18">
        <f t="shared" si="2"/>
        <v>-4.3792851206680092</v>
      </c>
      <c r="I38" s="18">
        <f t="shared" si="4"/>
        <v>238560.70666666664</v>
      </c>
      <c r="J38" s="18">
        <f t="shared" si="5"/>
        <v>2.6437180884251226</v>
      </c>
      <c r="K38" s="18">
        <f t="shared" si="6"/>
        <v>495442.39800000004</v>
      </c>
      <c r="L38" s="18">
        <f t="shared" si="7"/>
        <v>6.2330991615627207</v>
      </c>
      <c r="M38" s="18">
        <f>IF(SUM(G$5:G38)&lt;&gt;0,SUM(G$5:G38)/COUNTIF(G$5:G38,"&lt;&gt;0")," ")</f>
        <v>172813.66967741936</v>
      </c>
      <c r="N38" s="18">
        <f>IF(SUM(G$5:G38)=0,0,M38*COUNTIF(G$5:G38,"&lt;&gt;0")/(SUM(B$5:B38))*100)</f>
        <v>8.875027522018005</v>
      </c>
      <c r="O38" s="19"/>
      <c r="P38" s="22"/>
      <c r="Q38" s="21"/>
    </row>
    <row r="39" spans="1:17" s="20" customFormat="1" ht="13.5" x14ac:dyDescent="0.25">
      <c r="A39" s="49">
        <v>2017</v>
      </c>
      <c r="B39" s="50">
        <v>6296028.8799999999</v>
      </c>
      <c r="C39" s="51"/>
      <c r="D39" s="50">
        <f t="shared" si="0"/>
        <v>0</v>
      </c>
      <c r="E39" s="50">
        <v>360125.64</v>
      </c>
      <c r="F39" s="50">
        <f t="shared" si="1"/>
        <v>5.7198854526220027</v>
      </c>
      <c r="G39" s="50">
        <f>(E39-C39)+327800</f>
        <v>687925.64</v>
      </c>
      <c r="H39" s="18">
        <f t="shared" si="2"/>
        <v>10.926341875356837</v>
      </c>
      <c r="I39" s="18">
        <f t="shared" si="4"/>
        <v>248432.49333333332</v>
      </c>
      <c r="J39" s="18">
        <f t="shared" si="5"/>
        <v>2.6977508480127756</v>
      </c>
      <c r="K39" s="18">
        <f t="shared" si="6"/>
        <v>486085.97000000003</v>
      </c>
      <c r="L39" s="18">
        <f t="shared" si="7"/>
        <v>6.4311866632228796</v>
      </c>
      <c r="M39" s="18">
        <f>IF(SUM(G$5:G39)&lt;&gt;0,SUM(G$5:G39)/COUNTIF(G$5:G39,"&lt;&gt;0")," ")</f>
        <v>188910.91874999998</v>
      </c>
      <c r="N39" s="18">
        <f>IF(SUM(G$5:G39)=0,0,M39*COUNTIF(G$5:G39,"&lt;&gt;0")/(SUM(B$5:B39))*100)</f>
        <v>9.0687770335315481</v>
      </c>
      <c r="O39" s="19"/>
      <c r="P39" s="22"/>
      <c r="Q39" s="21"/>
    </row>
    <row r="40" spans="1:17" s="20" customFormat="1" ht="13.5" x14ac:dyDescent="0.25">
      <c r="A40" s="49">
        <v>2018</v>
      </c>
      <c r="B40" s="50">
        <v>5777850.9699999997</v>
      </c>
      <c r="C40" s="51"/>
      <c r="D40" s="50">
        <f t="shared" si="0"/>
        <v>0</v>
      </c>
      <c r="E40" s="50">
        <v>248167.8</v>
      </c>
      <c r="F40" s="50">
        <f t="shared" si="1"/>
        <v>4.2951575125171493</v>
      </c>
      <c r="G40" s="50">
        <f>(E40-C40)+556529</f>
        <v>804696.8</v>
      </c>
      <c r="H40" s="18">
        <f t="shared" si="2"/>
        <v>13.927268186358225</v>
      </c>
      <c r="I40" s="18">
        <f t="shared" si="4"/>
        <v>359036.38666666672</v>
      </c>
      <c r="J40" s="18">
        <f t="shared" si="5"/>
        <v>4.9953970435019777</v>
      </c>
      <c r="K40" s="18">
        <f t="shared" si="6"/>
        <v>441660.91199999989</v>
      </c>
      <c r="L40" s="18">
        <f t="shared" si="7"/>
        <v>5.641355946801899</v>
      </c>
      <c r="M40" s="18">
        <f>IF(SUM(G$5:G40)&lt;&gt;0,SUM(G$5:G40)/COUNTIF(G$5:G40,"&lt;&gt;0")," ")</f>
        <v>207571.09696969696</v>
      </c>
      <c r="N40" s="18">
        <f>IF(SUM(G$5:G40)=0,0,M40*COUNTIF(G$5:G40,"&lt;&gt;0")/(SUM(B$5:B40))*100)</f>
        <v>9.4563099812162132</v>
      </c>
      <c r="O40" s="19"/>
      <c r="P40" s="22"/>
      <c r="Q40" s="21"/>
    </row>
    <row r="41" spans="1:17" s="20" customFormat="1" ht="13.5" x14ac:dyDescent="0.25">
      <c r="A41" s="49">
        <v>2019</v>
      </c>
      <c r="B41" s="50">
        <v>8053270.5499999998</v>
      </c>
      <c r="C41" s="51"/>
      <c r="D41" s="50">
        <f t="shared" si="0"/>
        <v>0</v>
      </c>
      <c r="E41" s="50">
        <v>271196.65999999997</v>
      </c>
      <c r="F41" s="50">
        <f t="shared" si="1"/>
        <v>3.3675344484732355</v>
      </c>
      <c r="G41" s="50">
        <f>(E41-C41)+1192573</f>
        <v>1463769.66</v>
      </c>
      <c r="H41" s="18">
        <f t="shared" si="2"/>
        <v>18.176089464670973</v>
      </c>
      <c r="I41" s="18">
        <f t="shared" si="4"/>
        <v>985464.03333333321</v>
      </c>
      <c r="J41" s="18">
        <f t="shared" si="5"/>
        <v>14.688577574299835</v>
      </c>
      <c r="K41" s="18">
        <f t="shared" si="6"/>
        <v>602752.78799999994</v>
      </c>
      <c r="L41" s="18">
        <f t="shared" si="7"/>
        <v>7.2694834485620623</v>
      </c>
      <c r="M41" s="18">
        <f>IF(SUM(G$5:G41)&lt;&gt;0,SUM(G$5:G41)/COUNTIF(G$5:G41,"&lt;&gt;0")," ")</f>
        <v>244518.11352941176</v>
      </c>
      <c r="N41" s="18">
        <f>IF(SUM(G$5:G41)=0,0,M41*COUNTIF(G$5:G41,"&lt;&gt;0")/(SUM(B$5:B41))*100)</f>
        <v>10.328750055607959</v>
      </c>
      <c r="O41" s="19"/>
      <c r="P41" s="22"/>
      <c r="Q41" s="21"/>
    </row>
    <row r="42" spans="1:17" s="20" customFormat="1" ht="13.5" x14ac:dyDescent="0.25">
      <c r="A42" s="49">
        <v>2020</v>
      </c>
      <c r="B42" s="50">
        <v>6335391.5300000003</v>
      </c>
      <c r="C42" s="51"/>
      <c r="D42" s="50">
        <f t="shared" si="0"/>
        <v>0</v>
      </c>
      <c r="E42" s="50">
        <v>40300</v>
      </c>
      <c r="F42" s="50">
        <f t="shared" si="1"/>
        <v>0.6361090677532284</v>
      </c>
      <c r="G42" s="50">
        <f>(E42-C42)+750234</f>
        <v>790534</v>
      </c>
      <c r="H42" s="18">
        <f t="shared" si="2"/>
        <v>12.478060689013169</v>
      </c>
      <c r="I42" s="18">
        <f t="shared" si="4"/>
        <v>1019666.82</v>
      </c>
      <c r="J42" s="18">
        <f t="shared" si="5"/>
        <v>15.168712867790497</v>
      </c>
      <c r="K42" s="18">
        <f t="shared" si="6"/>
        <v>666282.56400000001</v>
      </c>
      <c r="L42" s="18">
        <f t="shared" si="7"/>
        <v>9.2666158769208327</v>
      </c>
      <c r="M42" s="18">
        <f>IF(SUM(G$5:G42)&lt;&gt;0,SUM(G$5:G42)/COUNTIF(G$5:G42,"&lt;&gt;0")," ")</f>
        <v>260118.5674285714</v>
      </c>
      <c r="N42" s="18">
        <f>IF(SUM(G$5:G42)=0,0,M42*COUNTIF(G$5:G42,"&lt;&gt;0")/(SUM(B$5:B42))*100)</f>
        <v>10.485578797075721</v>
      </c>
      <c r="O42" s="19"/>
      <c r="P42" s="22"/>
      <c r="Q42" s="21"/>
    </row>
    <row r="43" spans="1:17" s="20" customFormat="1" ht="13.5" x14ac:dyDescent="0.25">
      <c r="A43" s="49">
        <v>2021</v>
      </c>
      <c r="B43" s="50">
        <v>38843392.530000001</v>
      </c>
      <c r="C43" s="51"/>
      <c r="D43" s="50"/>
      <c r="E43" s="50"/>
      <c r="F43" s="50"/>
      <c r="G43" s="58">
        <v>1563607.8399999999</v>
      </c>
      <c r="H43" s="18">
        <f t="shared" si="2"/>
        <v>4.0254152332146971</v>
      </c>
      <c r="I43" s="18">
        <f t="shared" si="4"/>
        <v>1272637.1666666667</v>
      </c>
      <c r="J43" s="18">
        <f t="shared" si="5"/>
        <v>7.1722039060329257</v>
      </c>
      <c r="K43" s="18">
        <f t="shared" si="6"/>
        <v>1062106.7879999999</v>
      </c>
      <c r="L43" s="18">
        <f t="shared" si="7"/>
        <v>8.1317785036101284</v>
      </c>
      <c r="M43" s="18">
        <f>IF(SUM(G$5:G43)&lt;&gt;0,SUM(G$5:G43)/COUNTIF(G$5:G43,"&lt;&gt;0")," ")</f>
        <v>296326.60277777776</v>
      </c>
      <c r="N43" s="18">
        <f>IF(SUM(G$5:G43)=0,0,M43*COUNTIF(G$5:G43,"&lt;&gt;0")/(SUM(B$5:B43))*100)</f>
        <v>8.4887855958887748</v>
      </c>
      <c r="O43" s="19"/>
      <c r="P43" s="22"/>
      <c r="Q43" s="21"/>
    </row>
    <row r="44" spans="1:17" s="20" customFormat="1" ht="13.5" x14ac:dyDescent="0.25">
      <c r="A44" s="23"/>
      <c r="B44" s="24"/>
      <c r="C44" s="24"/>
      <c r="D44" s="25"/>
      <c r="E44" s="50"/>
      <c r="F44" s="18"/>
      <c r="G44" s="50"/>
      <c r="H44" s="25"/>
      <c r="I44" s="18"/>
      <c r="J44" s="18"/>
      <c r="K44" s="18"/>
      <c r="L44" s="18"/>
      <c r="M44" s="18"/>
      <c r="N44" s="18"/>
      <c r="O44" s="19"/>
    </row>
    <row r="45" spans="1:17" s="32" customFormat="1" ht="30" customHeight="1" x14ac:dyDescent="0.3">
      <c r="A45" s="26" t="s">
        <v>17</v>
      </c>
      <c r="B45" s="27">
        <f>SUM(B5:B44)</f>
        <v>125668831.89000002</v>
      </c>
      <c r="C45" s="27">
        <f>SUM(C5:C44)</f>
        <v>38083.050000000003</v>
      </c>
      <c r="D45" s="28">
        <f t="shared" si="0"/>
        <v>3.0304292183868407E-2</v>
      </c>
      <c r="E45" s="29">
        <f>SUM(E5:E44)</f>
        <v>3786723.9099999997</v>
      </c>
      <c r="F45" s="28">
        <f>E45/B45*100</f>
        <v>3.0132562331084456</v>
      </c>
      <c r="G45" s="29">
        <f>SUM(G5:G44)</f>
        <v>10667757.699999999</v>
      </c>
      <c r="H45" s="28">
        <f t="shared" si="2"/>
        <v>8.4887855958887748</v>
      </c>
      <c r="I45" s="30"/>
      <c r="J45" s="30"/>
      <c r="K45" s="30"/>
      <c r="L45" s="30"/>
      <c r="M45" s="30"/>
      <c r="N45" s="30"/>
      <c r="O45" s="31"/>
    </row>
    <row r="47" spans="1:17" x14ac:dyDescent="0.35">
      <c r="B47" s="38"/>
    </row>
    <row r="48" spans="1:17" x14ac:dyDescent="0.35">
      <c r="B48" s="38"/>
    </row>
  </sheetData>
  <conditionalFormatting sqref="A5:XFD43">
    <cfRule type="expression" dxfId="3" priority="2">
      <formula>MOD(ROW(),2)=0</formula>
    </cfRule>
  </conditionalFormatting>
  <conditionalFormatting sqref="A44:XFD45">
    <cfRule type="expression" dxfId="2" priority="1">
      <formula>MOD(ROW(),2)=0</formula>
    </cfRule>
  </conditionalFormatting>
  <printOptions horizontalCentered="1"/>
  <pageMargins left="0.7" right="0.7" top="0.75" bottom="0.75" header="0.3" footer="0.3"/>
  <pageSetup scale="6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DD7EB-CC0B-43ED-8048-D3C2C1988E26}">
  <dimension ref="A1:Q48"/>
  <sheetViews>
    <sheetView tabSelected="1" view="pageBreakPreview" zoomScale="60" zoomScaleNormal="100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6.1796875" style="34" bestFit="1" customWidth="1"/>
    <col min="3" max="3" width="13.81640625" style="34" hidden="1" customWidth="1"/>
    <col min="4" max="6" width="12.54296875" style="35" hidden="1" customWidth="1"/>
    <col min="7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41</v>
      </c>
      <c r="B2" s="40"/>
      <c r="C2" s="40"/>
      <c r="D2" s="40"/>
      <c r="E2" s="40"/>
      <c r="F2" s="40"/>
      <c r="G2" s="47"/>
      <c r="H2" s="41"/>
      <c r="I2" s="42"/>
      <c r="J2" s="6"/>
      <c r="K2" s="6"/>
      <c r="L2" s="6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9"/>
      <c r="K3" s="9"/>
      <c r="L3" s="9"/>
      <c r="M3" s="9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1983</v>
      </c>
      <c r="B5" s="50">
        <v>145955</v>
      </c>
      <c r="C5" s="51"/>
      <c r="D5" s="50">
        <f t="shared" ref="D5:D45" si="0">C5/B5*100</f>
        <v>0</v>
      </c>
      <c r="E5" s="50">
        <v>2400</v>
      </c>
      <c r="F5" s="50">
        <f t="shared" ref="F5:F42" si="1">E5/B5*100</f>
        <v>1.6443424343119455</v>
      </c>
      <c r="G5" s="50">
        <f t="shared" ref="G5:G25" si="2">E5-C5</f>
        <v>2400</v>
      </c>
      <c r="H5" s="18">
        <f t="shared" ref="H5:H45" si="3">G5/B5*100</f>
        <v>1.6443424343119455</v>
      </c>
      <c r="I5" s="18"/>
      <c r="J5" s="18"/>
      <c r="K5" s="18"/>
      <c r="L5" s="18"/>
      <c r="M5" s="18">
        <f>IF(SUM(G$5:G5)&lt;&gt;0,SUM(G$5:G5)/COUNTIF(G$5:G5,"&lt;&gt;0")," ")</f>
        <v>2400</v>
      </c>
      <c r="N5" s="18">
        <f>IF(SUM(G$5:G5)=0,0,M5*COUNTIF(G$5:G5,"&lt;&gt;0")/(SUM(B$5:B5))*100)</f>
        <v>1.6443424343119455</v>
      </c>
      <c r="O5" s="19"/>
      <c r="Q5" s="21"/>
    </row>
    <row r="6" spans="1:17" s="20" customFormat="1" ht="13.5" x14ac:dyDescent="0.25">
      <c r="A6" s="49">
        <v>1984</v>
      </c>
      <c r="B6" s="50">
        <v>223250</v>
      </c>
      <c r="C6" s="51"/>
      <c r="D6" s="50">
        <f t="shared" si="0"/>
        <v>0</v>
      </c>
      <c r="E6" s="50">
        <v>128699.34</v>
      </c>
      <c r="F6" s="50">
        <f t="shared" si="1"/>
        <v>57.64808062709966</v>
      </c>
      <c r="G6" s="50">
        <f t="shared" si="2"/>
        <v>128699.34</v>
      </c>
      <c r="H6" s="18">
        <f t="shared" si="3"/>
        <v>57.64808062709966</v>
      </c>
      <c r="I6" s="18"/>
      <c r="J6" s="18"/>
      <c r="K6" s="18"/>
      <c r="L6" s="18"/>
      <c r="M6" s="18">
        <f>IF(SUM(G$5:G6)&lt;&gt;0,SUM(G$5:G6)/COUNTIF(G$5:G6,"&lt;&gt;0")," ")</f>
        <v>65549.67</v>
      </c>
      <c r="N6" s="18">
        <f>IF(SUM(G$5:G6)=0,0,M6*COUNTIF(G$5:G6,"&lt;&gt;0")/(SUM(B$5:B6))*100)</f>
        <v>35.508549450847084</v>
      </c>
      <c r="O6" s="19"/>
      <c r="Q6" s="21"/>
    </row>
    <row r="7" spans="1:17" s="20" customFormat="1" ht="13.5" x14ac:dyDescent="0.25">
      <c r="A7" s="49">
        <v>1985</v>
      </c>
      <c r="B7" s="50">
        <v>186060</v>
      </c>
      <c r="C7" s="51"/>
      <c r="D7" s="50">
        <f t="shared" si="0"/>
        <v>0</v>
      </c>
      <c r="E7" s="50">
        <v>37050</v>
      </c>
      <c r="F7" s="50">
        <f t="shared" si="1"/>
        <v>19.912931312479845</v>
      </c>
      <c r="G7" s="50">
        <f t="shared" si="2"/>
        <v>37050</v>
      </c>
      <c r="H7" s="18">
        <f t="shared" si="3"/>
        <v>19.912931312479845</v>
      </c>
      <c r="I7" s="18">
        <f>SUM(G5:G7)/3</f>
        <v>56049.78</v>
      </c>
      <c r="J7" s="18">
        <f>IF(SUM(B5:B7)=0,0,I7/(SUM(B5:B7)/3)*100)</f>
        <v>30.282719062069457</v>
      </c>
      <c r="K7" s="18"/>
      <c r="L7" s="18"/>
      <c r="M7" s="18">
        <f>IF(SUM(G$5:G7)&lt;&gt;0,SUM(G$5:G7)/COUNTIF(G$5:G7,"&lt;&gt;0")," ")</f>
        <v>56049.78</v>
      </c>
      <c r="N7" s="18">
        <f>IF(SUM(G$5:G7)=0,0,M7*COUNTIF(G$5:G7,"&lt;&gt;0")/(SUM(B$5:B7))*100)</f>
        <v>30.282719062069464</v>
      </c>
      <c r="O7" s="19"/>
      <c r="Q7" s="21"/>
    </row>
    <row r="8" spans="1:17" s="20" customFormat="1" ht="13.5" x14ac:dyDescent="0.25">
      <c r="A8" s="49">
        <v>1986</v>
      </c>
      <c r="B8" s="50">
        <v>153575</v>
      </c>
      <c r="C8" s="51"/>
      <c r="D8" s="50">
        <f t="shared" si="0"/>
        <v>0</v>
      </c>
      <c r="E8" s="50"/>
      <c r="F8" s="50">
        <f t="shared" si="1"/>
        <v>0</v>
      </c>
      <c r="G8" s="50">
        <f t="shared" si="2"/>
        <v>0</v>
      </c>
      <c r="H8" s="18">
        <f t="shared" si="3"/>
        <v>0</v>
      </c>
      <c r="I8" s="18">
        <f t="shared" ref="I8:I43" si="4">SUM(G6:G8)/3</f>
        <v>55249.78</v>
      </c>
      <c r="J8" s="18">
        <f t="shared" ref="J8:J43" si="5">IF(SUM(B6:B8)=0,0,I8/(SUM(B6:B8)/3)*100)</f>
        <v>29.446394911926944</v>
      </c>
      <c r="K8" s="18"/>
      <c r="L8" s="18"/>
      <c r="M8" s="18">
        <f>IF(SUM(G$5:G8)&lt;&gt;0,SUM(G$5:G8)/COUNTIF(G$5:G8,"&lt;&gt;0")," ")</f>
        <v>56049.78</v>
      </c>
      <c r="N8" s="18">
        <f>IF(SUM(G$5:G8)=0,0,M8*COUNTIF(G$5:G8,"&lt;&gt;0")/(SUM(B$5:B8))*100)</f>
        <v>23.721762315896395</v>
      </c>
      <c r="O8" s="19"/>
      <c r="Q8" s="21"/>
    </row>
    <row r="9" spans="1:17" s="20" customFormat="1" ht="13.5" x14ac:dyDescent="0.25">
      <c r="A9" s="49">
        <v>1987</v>
      </c>
      <c r="B9" s="50">
        <v>254972</v>
      </c>
      <c r="C9" s="51"/>
      <c r="D9" s="50">
        <f t="shared" si="0"/>
        <v>0</v>
      </c>
      <c r="E9" s="50">
        <v>113051.5</v>
      </c>
      <c r="F9" s="50">
        <f t="shared" si="1"/>
        <v>44.338790141662614</v>
      </c>
      <c r="G9" s="50">
        <f t="shared" si="2"/>
        <v>113051.5</v>
      </c>
      <c r="H9" s="18">
        <f t="shared" si="3"/>
        <v>44.338790141662614</v>
      </c>
      <c r="I9" s="18">
        <f t="shared" si="4"/>
        <v>50033.833333333336</v>
      </c>
      <c r="J9" s="18">
        <f t="shared" si="5"/>
        <v>25.243816504010212</v>
      </c>
      <c r="K9" s="18">
        <f>SUM(G5:G9)/5</f>
        <v>56240.167999999991</v>
      </c>
      <c r="L9" s="18">
        <f>IF(SUM(B5:B9)=0,0,K9/(SUM(B5:B9)/5)*100)</f>
        <v>29.175901524363667</v>
      </c>
      <c r="M9" s="18">
        <f>IF(SUM(G$5:G9)&lt;&gt;0,SUM(G$5:G9)/COUNTIF(G$5:G9,"&lt;&gt;0")," ")</f>
        <v>70300.209999999992</v>
      </c>
      <c r="N9" s="18">
        <f>IF(SUM(G$5:G9)=0,0,M9*COUNTIF(G$5:G9,"&lt;&gt;0")/(SUM(B$5:B9))*100)</f>
        <v>29.175901524363667</v>
      </c>
      <c r="O9" s="19"/>
      <c r="Q9" s="21"/>
    </row>
    <row r="10" spans="1:17" s="20" customFormat="1" ht="13.5" x14ac:dyDescent="0.25">
      <c r="A10" s="49">
        <v>1988</v>
      </c>
      <c r="B10" s="50">
        <v>300933</v>
      </c>
      <c r="C10" s="51"/>
      <c r="D10" s="50">
        <f t="shared" si="0"/>
        <v>0</v>
      </c>
      <c r="E10" s="50">
        <v>66010.399999999994</v>
      </c>
      <c r="F10" s="50">
        <f t="shared" si="1"/>
        <v>21.935248045245949</v>
      </c>
      <c r="G10" s="50">
        <f t="shared" si="2"/>
        <v>66010.399999999994</v>
      </c>
      <c r="H10" s="18">
        <f t="shared" si="3"/>
        <v>21.935248045245949</v>
      </c>
      <c r="I10" s="18">
        <f t="shared" si="4"/>
        <v>59687.299999999996</v>
      </c>
      <c r="J10" s="18">
        <f t="shared" si="5"/>
        <v>25.238470429046622</v>
      </c>
      <c r="K10" s="18">
        <f t="shared" ref="K10:K43" si="6">SUM(G6:G10)/5</f>
        <v>68962.247999999992</v>
      </c>
      <c r="L10" s="18">
        <f t="shared" ref="L10:L43" si="7">IF(SUM(B6:B10)=0,0,K10/(SUM(B6:B10)/5)*100)</f>
        <v>30.820014479929203</v>
      </c>
      <c r="M10" s="18">
        <f>IF(SUM(G$5:G10)&lt;&gt;0,SUM(G$5:G10)/COUNTIF(G$5:G10,"&lt;&gt;0")," ")</f>
        <v>69442.247999999992</v>
      </c>
      <c r="N10" s="18">
        <f>IF(SUM(G$5:G10)=0,0,M10*COUNTIF(G$5:G10,"&lt;&gt;0")/(SUM(B$5:B10))*100)</f>
        <v>27.453062870380982</v>
      </c>
      <c r="O10" s="19"/>
      <c r="Q10" s="21"/>
    </row>
    <row r="11" spans="1:17" s="20" customFormat="1" ht="13.5" x14ac:dyDescent="0.25">
      <c r="A11" s="49">
        <v>1989</v>
      </c>
      <c r="B11" s="50">
        <v>362095</v>
      </c>
      <c r="C11" s="51"/>
      <c r="D11" s="50">
        <f t="shared" si="0"/>
        <v>0</v>
      </c>
      <c r="E11" s="50">
        <v>83480.14</v>
      </c>
      <c r="F11" s="50">
        <f t="shared" si="1"/>
        <v>23.054761871884448</v>
      </c>
      <c r="G11" s="50">
        <f t="shared" si="2"/>
        <v>83480.14</v>
      </c>
      <c r="H11" s="18">
        <f t="shared" si="3"/>
        <v>23.054761871884448</v>
      </c>
      <c r="I11" s="18">
        <f t="shared" si="4"/>
        <v>87514.013333333321</v>
      </c>
      <c r="J11" s="18">
        <f t="shared" si="5"/>
        <v>28.59935076252723</v>
      </c>
      <c r="K11" s="18">
        <f t="shared" si="6"/>
        <v>59918.407999999996</v>
      </c>
      <c r="L11" s="18">
        <f t="shared" si="7"/>
        <v>23.821859283496401</v>
      </c>
      <c r="M11" s="18">
        <f>IF(SUM(G$5:G11)&lt;&gt;0,SUM(G$5:G11)/COUNTIF(G$5:G11,"&lt;&gt;0")," ")</f>
        <v>71781.896666666667</v>
      </c>
      <c r="N11" s="18">
        <f>IF(SUM(G$5:G11)=0,0,M11*COUNTIF(G$5:G11,"&lt;&gt;0")/(SUM(B$5:B11))*100)</f>
        <v>26.474108086843206</v>
      </c>
      <c r="O11" s="19"/>
      <c r="Q11" s="21"/>
    </row>
    <row r="12" spans="1:17" s="20" customFormat="1" ht="13.5" x14ac:dyDescent="0.25">
      <c r="A12" s="49">
        <v>1990</v>
      </c>
      <c r="B12" s="50">
        <v>260722</v>
      </c>
      <c r="C12" s="51"/>
      <c r="D12" s="50">
        <f t="shared" si="0"/>
        <v>0</v>
      </c>
      <c r="E12" s="50">
        <v>116503</v>
      </c>
      <c r="F12" s="50">
        <f t="shared" si="1"/>
        <v>44.684760012580448</v>
      </c>
      <c r="G12" s="50">
        <f t="shared" si="2"/>
        <v>116503</v>
      </c>
      <c r="H12" s="18">
        <f t="shared" si="3"/>
        <v>44.684760012580448</v>
      </c>
      <c r="I12" s="18">
        <f t="shared" si="4"/>
        <v>88664.513333333321</v>
      </c>
      <c r="J12" s="18">
        <f t="shared" si="5"/>
        <v>28.794970500676587</v>
      </c>
      <c r="K12" s="18">
        <f t="shared" si="6"/>
        <v>75809.008000000002</v>
      </c>
      <c r="L12" s="18">
        <f t="shared" si="7"/>
        <v>28.450491144241862</v>
      </c>
      <c r="M12" s="18">
        <f>IF(SUM(G$5:G12)&lt;&gt;0,SUM(G$5:G12)/COUNTIF(G$5:G12,"&lt;&gt;0")," ")</f>
        <v>78170.625714285721</v>
      </c>
      <c r="N12" s="18">
        <f>IF(SUM(G$5:G12)=0,0,M12*COUNTIF(G$5:G12,"&lt;&gt;0")/(SUM(B$5:B12))*100)</f>
        <v>28.989478491302538</v>
      </c>
      <c r="O12" s="19"/>
      <c r="Q12" s="21"/>
    </row>
    <row r="13" spans="1:17" s="20" customFormat="1" ht="13.5" x14ac:dyDescent="0.25">
      <c r="A13" s="49">
        <v>1991</v>
      </c>
      <c r="B13" s="50">
        <v>73098</v>
      </c>
      <c r="C13" s="51"/>
      <c r="D13" s="50">
        <f t="shared" si="0"/>
        <v>0</v>
      </c>
      <c r="E13" s="50">
        <v>23680</v>
      </c>
      <c r="F13" s="50">
        <f t="shared" si="1"/>
        <v>32.394867164628302</v>
      </c>
      <c r="G13" s="50">
        <f t="shared" si="2"/>
        <v>23680</v>
      </c>
      <c r="H13" s="18">
        <f t="shared" si="3"/>
        <v>32.394867164628302</v>
      </c>
      <c r="I13" s="18">
        <f t="shared" si="4"/>
        <v>74554.38</v>
      </c>
      <c r="J13" s="18">
        <f t="shared" si="5"/>
        <v>32.139433695207032</v>
      </c>
      <c r="K13" s="18">
        <f t="shared" si="6"/>
        <v>80545.008000000002</v>
      </c>
      <c r="L13" s="18">
        <f t="shared" si="7"/>
        <v>32.171161988145265</v>
      </c>
      <c r="M13" s="18">
        <f>IF(SUM(G$5:G13)&lt;&gt;0,SUM(G$5:G13)/COUNTIF(G$5:G13,"&lt;&gt;0")," ")</f>
        <v>71359.297500000001</v>
      </c>
      <c r="N13" s="18">
        <f>IF(SUM(G$5:G13)=0,0,M13*COUNTIF(G$5:G13,"&lt;&gt;0")/(SUM(B$5:B13))*100)</f>
        <v>29.116439362255569</v>
      </c>
      <c r="O13" s="19"/>
      <c r="Q13" s="21"/>
    </row>
    <row r="14" spans="1:17" s="20" customFormat="1" ht="13.5" x14ac:dyDescent="0.25">
      <c r="A14" s="49">
        <v>1992</v>
      </c>
      <c r="B14" s="50">
        <v>396128</v>
      </c>
      <c r="C14" s="51"/>
      <c r="D14" s="50">
        <f t="shared" si="0"/>
        <v>0</v>
      </c>
      <c r="E14" s="50">
        <v>106480.52</v>
      </c>
      <c r="F14" s="50">
        <f t="shared" si="1"/>
        <v>26.880331609984655</v>
      </c>
      <c r="G14" s="50">
        <f t="shared" si="2"/>
        <v>106480.52</v>
      </c>
      <c r="H14" s="18">
        <f t="shared" si="3"/>
        <v>26.880331609984655</v>
      </c>
      <c r="I14" s="18">
        <f t="shared" si="4"/>
        <v>82221.17333333334</v>
      </c>
      <c r="J14" s="18">
        <f t="shared" si="5"/>
        <v>33.791930384082157</v>
      </c>
      <c r="K14" s="18">
        <f t="shared" si="6"/>
        <v>79230.812000000005</v>
      </c>
      <c r="L14" s="18">
        <f t="shared" si="7"/>
        <v>28.43940311965174</v>
      </c>
      <c r="M14" s="18">
        <f>IF(SUM(G$5:G14)&lt;&gt;0,SUM(G$5:G14)/COUNTIF(G$5:G14,"&lt;&gt;0")," ")</f>
        <v>75261.655555555553</v>
      </c>
      <c r="N14" s="18">
        <f>IF(SUM(G$5:G14)=0,0,M14*COUNTIF(G$5:G14,"&lt;&gt;0")/(SUM(B$5:B14))*100)</f>
        <v>28.74059525082443</v>
      </c>
      <c r="O14" s="19"/>
      <c r="Q14" s="21"/>
    </row>
    <row r="15" spans="1:17" s="20" customFormat="1" ht="13.5" x14ac:dyDescent="0.25">
      <c r="A15" s="49">
        <v>1993</v>
      </c>
      <c r="B15" s="50">
        <v>209696</v>
      </c>
      <c r="C15" s="51">
        <v>173</v>
      </c>
      <c r="D15" s="50">
        <f t="shared" si="0"/>
        <v>8.2500381504654358E-2</v>
      </c>
      <c r="E15" s="50">
        <v>60500</v>
      </c>
      <c r="F15" s="50">
        <f t="shared" si="1"/>
        <v>28.851289485731723</v>
      </c>
      <c r="G15" s="50">
        <f t="shared" si="2"/>
        <v>60327</v>
      </c>
      <c r="H15" s="18">
        <f t="shared" si="3"/>
        <v>28.768789104227071</v>
      </c>
      <c r="I15" s="18">
        <f t="shared" si="4"/>
        <v>63495.840000000004</v>
      </c>
      <c r="J15" s="18">
        <f t="shared" si="5"/>
        <v>28.057349739734462</v>
      </c>
      <c r="K15" s="18">
        <f t="shared" si="6"/>
        <v>78094.132000000012</v>
      </c>
      <c r="L15" s="18">
        <f t="shared" si="7"/>
        <v>29.996079091123494</v>
      </c>
      <c r="M15" s="18">
        <f>IF(SUM(G$5:G15)&lt;&gt;0,SUM(G$5:G15)/COUNTIF(G$5:G15,"&lt;&gt;0")," ")</f>
        <v>73768.19</v>
      </c>
      <c r="N15" s="18">
        <f>IF(SUM(G$5:G15)=0,0,M15*COUNTIF(G$5:G15,"&lt;&gt;0")/(SUM(B$5:B15))*100)</f>
        <v>28.742898845268471</v>
      </c>
      <c r="O15" s="19"/>
      <c r="Q15" s="21"/>
    </row>
    <row r="16" spans="1:17" s="20" customFormat="1" ht="13.5" x14ac:dyDescent="0.25">
      <c r="A16" s="49">
        <v>1994</v>
      </c>
      <c r="B16" s="50">
        <v>377497</v>
      </c>
      <c r="C16" s="51"/>
      <c r="D16" s="50">
        <f t="shared" si="0"/>
        <v>0</v>
      </c>
      <c r="E16" s="50">
        <v>23435</v>
      </c>
      <c r="F16" s="50">
        <f t="shared" si="1"/>
        <v>6.2079963549379205</v>
      </c>
      <c r="G16" s="50">
        <f t="shared" si="2"/>
        <v>23435</v>
      </c>
      <c r="H16" s="18">
        <f t="shared" si="3"/>
        <v>6.2079963549379205</v>
      </c>
      <c r="I16" s="18">
        <f t="shared" si="4"/>
        <v>63414.17333333334</v>
      </c>
      <c r="J16" s="18">
        <f t="shared" si="5"/>
        <v>19.346939605683193</v>
      </c>
      <c r="K16" s="18">
        <f t="shared" si="6"/>
        <v>66085.104000000007</v>
      </c>
      <c r="L16" s="18">
        <f t="shared" si="7"/>
        <v>25.086571597118308</v>
      </c>
      <c r="M16" s="18">
        <f>IF(SUM(G$5:G16)&lt;&gt;0,SUM(G$5:G16)/COUNTIF(G$5:G16,"&lt;&gt;0")," ")</f>
        <v>69192.44545454545</v>
      </c>
      <c r="N16" s="18">
        <f>IF(SUM(G$5:G16)=0,0,M16*COUNTIF(G$5:G16,"&lt;&gt;0")/(SUM(B$5:B16))*100)</f>
        <v>25.853322422936831</v>
      </c>
      <c r="O16" s="19"/>
      <c r="Q16" s="21"/>
    </row>
    <row r="17" spans="1:17" s="20" customFormat="1" ht="13.5" x14ac:dyDescent="0.25">
      <c r="A17" s="49">
        <v>1995</v>
      </c>
      <c r="B17" s="50">
        <v>481619</v>
      </c>
      <c r="C17" s="51"/>
      <c r="D17" s="50">
        <f t="shared" si="0"/>
        <v>0</v>
      </c>
      <c r="E17" s="50">
        <v>23000</v>
      </c>
      <c r="F17" s="50">
        <f t="shared" si="1"/>
        <v>4.775559103772899</v>
      </c>
      <c r="G17" s="50">
        <f t="shared" si="2"/>
        <v>23000</v>
      </c>
      <c r="H17" s="18">
        <f t="shared" si="3"/>
        <v>4.775559103772899</v>
      </c>
      <c r="I17" s="18">
        <f t="shared" si="4"/>
        <v>35587.333333333336</v>
      </c>
      <c r="J17" s="18">
        <f t="shared" si="5"/>
        <v>9.9888474306051958</v>
      </c>
      <c r="K17" s="18">
        <f t="shared" si="6"/>
        <v>47384.504000000001</v>
      </c>
      <c r="L17" s="18">
        <f t="shared" si="7"/>
        <v>15.404204577520192</v>
      </c>
      <c r="M17" s="18">
        <f>IF(SUM(G$5:G17)&lt;&gt;0,SUM(G$5:G17)/COUNTIF(G$5:G17,"&lt;&gt;0")," ")</f>
        <v>65343.075000000004</v>
      </c>
      <c r="N17" s="18">
        <f>IF(SUM(G$5:G17)=0,0,M17*COUNTIF(G$5:G17,"&lt;&gt;0")/(SUM(B$5:B17))*100)</f>
        <v>22.88991417561887</v>
      </c>
      <c r="O17" s="19"/>
      <c r="Q17" s="21"/>
    </row>
    <row r="18" spans="1:17" s="20" customFormat="1" ht="13.5" x14ac:dyDescent="0.25">
      <c r="A18" s="49">
        <v>1996</v>
      </c>
      <c r="B18" s="50">
        <v>400121</v>
      </c>
      <c r="C18" s="51"/>
      <c r="D18" s="50">
        <f t="shared" si="0"/>
        <v>0</v>
      </c>
      <c r="E18" s="50">
        <v>121613.6</v>
      </c>
      <c r="F18" s="50">
        <f t="shared" si="1"/>
        <v>30.394205752759788</v>
      </c>
      <c r="G18" s="50">
        <f t="shared" si="2"/>
        <v>121613.6</v>
      </c>
      <c r="H18" s="18">
        <f t="shared" si="3"/>
        <v>30.394205752759788</v>
      </c>
      <c r="I18" s="18">
        <f t="shared" si="4"/>
        <v>56016.200000000004</v>
      </c>
      <c r="J18" s="18">
        <f t="shared" si="5"/>
        <v>13.345271779657047</v>
      </c>
      <c r="K18" s="18">
        <f t="shared" si="6"/>
        <v>66971.224000000002</v>
      </c>
      <c r="L18" s="18">
        <f t="shared" si="7"/>
        <v>17.954164501858116</v>
      </c>
      <c r="M18" s="18">
        <f>IF(SUM(G$5:G18)&lt;&gt;0,SUM(G$5:G18)/COUNTIF(G$5:G18,"&lt;&gt;0")," ")</f>
        <v>69671.576923076922</v>
      </c>
      <c r="N18" s="18">
        <f>IF(SUM(G$5:G18)=0,0,M18*COUNTIF(G$5:G18,"&lt;&gt;0")/(SUM(B$5:B18))*100)</f>
        <v>23.674766142120664</v>
      </c>
      <c r="O18" s="19"/>
      <c r="Q18" s="21"/>
    </row>
    <row r="19" spans="1:17" s="20" customFormat="1" ht="13.5" x14ac:dyDescent="0.25">
      <c r="A19" s="49">
        <v>1997</v>
      </c>
      <c r="B19" s="50">
        <v>228184</v>
      </c>
      <c r="C19" s="51"/>
      <c r="D19" s="50">
        <f t="shared" si="0"/>
        <v>0</v>
      </c>
      <c r="E19" s="50">
        <v>18050</v>
      </c>
      <c r="F19" s="50">
        <f t="shared" si="1"/>
        <v>7.9102829295656134</v>
      </c>
      <c r="G19" s="50">
        <f t="shared" si="2"/>
        <v>18050</v>
      </c>
      <c r="H19" s="18">
        <f t="shared" si="3"/>
        <v>7.9102829295656134</v>
      </c>
      <c r="I19" s="18">
        <f t="shared" si="4"/>
        <v>54221.200000000004</v>
      </c>
      <c r="J19" s="18">
        <f t="shared" si="5"/>
        <v>14.655381809925725</v>
      </c>
      <c r="K19" s="18">
        <f t="shared" si="6"/>
        <v>49285.120000000003</v>
      </c>
      <c r="L19" s="18">
        <f t="shared" si="7"/>
        <v>14.520248162030077</v>
      </c>
      <c r="M19" s="18">
        <f>IF(SUM(G$5:G19)&lt;&gt;0,SUM(G$5:G19)/COUNTIF(G$5:G19,"&lt;&gt;0")," ")</f>
        <v>65984.321428571435</v>
      </c>
      <c r="N19" s="18">
        <f>IF(SUM(G$5:G19)=0,0,M19*COUNTIF(G$5:G19,"&lt;&gt;0")/(SUM(B$5:B19))*100)</f>
        <v>22.787423484270107</v>
      </c>
      <c r="O19" s="19"/>
      <c r="Q19" s="21"/>
    </row>
    <row r="20" spans="1:17" s="20" customFormat="1" ht="13.5" x14ac:dyDescent="0.25">
      <c r="A20" s="49">
        <v>1998</v>
      </c>
      <c r="B20" s="50">
        <v>121172</v>
      </c>
      <c r="C20" s="51">
        <v>784</v>
      </c>
      <c r="D20" s="50">
        <f t="shared" si="0"/>
        <v>0.64701416168751857</v>
      </c>
      <c r="E20" s="50">
        <v>164351.4</v>
      </c>
      <c r="F20" s="50">
        <f t="shared" si="1"/>
        <v>135.63480011883934</v>
      </c>
      <c r="G20" s="50">
        <f t="shared" si="2"/>
        <v>163567.4</v>
      </c>
      <c r="H20" s="18">
        <f t="shared" si="3"/>
        <v>134.98778595715183</v>
      </c>
      <c r="I20" s="18">
        <f t="shared" si="4"/>
        <v>101077</v>
      </c>
      <c r="J20" s="18">
        <f t="shared" si="5"/>
        <v>40.459013418690638</v>
      </c>
      <c r="K20" s="18">
        <f t="shared" si="6"/>
        <v>69933.2</v>
      </c>
      <c r="L20" s="18">
        <f t="shared" si="7"/>
        <v>21.737381674544149</v>
      </c>
      <c r="M20" s="18">
        <f>IF(SUM(G$5:G20)&lt;&gt;0,SUM(G$5:G20)/COUNTIF(G$5:G20,"&lt;&gt;0")," ")</f>
        <v>72489.86</v>
      </c>
      <c r="N20" s="18">
        <f>IF(SUM(G$5:G20)=0,0,M20*COUNTIF(G$5:G20,"&lt;&gt;0")/(SUM(B$5:B20))*100)</f>
        <v>26.043780749432884</v>
      </c>
      <c r="O20" s="19"/>
      <c r="Q20" s="21"/>
    </row>
    <row r="21" spans="1:17" s="20" customFormat="1" ht="13.5" x14ac:dyDescent="0.25">
      <c r="A21" s="49">
        <v>1999</v>
      </c>
      <c r="B21" s="50">
        <v>347016</v>
      </c>
      <c r="C21" s="51"/>
      <c r="D21" s="50">
        <f t="shared" si="0"/>
        <v>0</v>
      </c>
      <c r="E21" s="50">
        <v>16296</v>
      </c>
      <c r="F21" s="50">
        <f t="shared" si="1"/>
        <v>4.6960370703368142</v>
      </c>
      <c r="G21" s="50">
        <f t="shared" si="2"/>
        <v>16296</v>
      </c>
      <c r="H21" s="18">
        <f t="shared" si="3"/>
        <v>4.6960370703368142</v>
      </c>
      <c r="I21" s="18">
        <f t="shared" si="4"/>
        <v>65971.133333333331</v>
      </c>
      <c r="J21" s="18">
        <f t="shared" si="5"/>
        <v>28.42064298966644</v>
      </c>
      <c r="K21" s="18">
        <f t="shared" si="6"/>
        <v>68505.399999999994</v>
      </c>
      <c r="L21" s="18">
        <f t="shared" si="7"/>
        <v>21.704859984589177</v>
      </c>
      <c r="M21" s="18">
        <f>IF(SUM(G$5:G21)&lt;&gt;0,SUM(G$5:G21)/COUNTIF(G$5:G21,"&lt;&gt;0")," ")</f>
        <v>68977.743749999994</v>
      </c>
      <c r="N21" s="18">
        <f>IF(SUM(G$5:G21)=0,0,M21*COUNTIF(G$5:G21,"&lt;&gt;0")/(SUM(B$5:B21))*100)</f>
        <v>24.405599354104389</v>
      </c>
      <c r="O21" s="19"/>
      <c r="Q21" s="21"/>
    </row>
    <row r="22" spans="1:17" s="20" customFormat="1" ht="13.5" x14ac:dyDescent="0.25">
      <c r="A22" s="49">
        <v>2000</v>
      </c>
      <c r="B22" s="50"/>
      <c r="C22" s="51">
        <v>2502.2800000000002</v>
      </c>
      <c r="D22" s="50" t="e">
        <f t="shared" si="0"/>
        <v>#DIV/0!</v>
      </c>
      <c r="E22" s="50"/>
      <c r="F22" s="50" t="e">
        <f t="shared" si="1"/>
        <v>#DIV/0!</v>
      </c>
      <c r="G22" s="50">
        <f t="shared" si="2"/>
        <v>-2502.2800000000002</v>
      </c>
      <c r="H22" s="18"/>
      <c r="I22" s="18">
        <f t="shared" si="4"/>
        <v>59120.373333333329</v>
      </c>
      <c r="J22" s="18">
        <f t="shared" si="5"/>
        <v>37.882457474347916</v>
      </c>
      <c r="K22" s="18">
        <f t="shared" si="6"/>
        <v>63404.943999999996</v>
      </c>
      <c r="L22" s="18">
        <f t="shared" si="7"/>
        <v>28.912607741225887</v>
      </c>
      <c r="M22" s="18">
        <f>IF(SUM(G$5:G22)&lt;&gt;0,SUM(G$5:G22)/COUNTIF(G$5:G22,"&lt;&gt;0")," ")</f>
        <v>64773.036470588231</v>
      </c>
      <c r="N22" s="18">
        <f>IF(SUM(G$5:G22)=0,0,M22*COUNTIF(G$5:G22,"&lt;&gt;0")/(SUM(B$5:B22))*100)</f>
        <v>24.350264799949933</v>
      </c>
      <c r="O22" s="19"/>
      <c r="Q22" s="21"/>
    </row>
    <row r="23" spans="1:17" s="20" customFormat="1" ht="13.5" x14ac:dyDescent="0.25">
      <c r="A23" s="49">
        <v>2001</v>
      </c>
      <c r="B23" s="50">
        <v>307248</v>
      </c>
      <c r="C23" s="51">
        <v>2844.07</v>
      </c>
      <c r="D23" s="50">
        <f t="shared" si="0"/>
        <v>0.92565940217674336</v>
      </c>
      <c r="E23" s="50">
        <v>170800</v>
      </c>
      <c r="F23" s="50">
        <f t="shared" si="1"/>
        <v>55.590272353278138</v>
      </c>
      <c r="G23" s="50">
        <f t="shared" si="2"/>
        <v>167955.93</v>
      </c>
      <c r="H23" s="18">
        <f t="shared" si="3"/>
        <v>54.66461295110139</v>
      </c>
      <c r="I23" s="18">
        <f t="shared" si="4"/>
        <v>60583.216666666667</v>
      </c>
      <c r="J23" s="18">
        <f t="shared" si="5"/>
        <v>27.779252717557441</v>
      </c>
      <c r="K23" s="18">
        <f t="shared" si="6"/>
        <v>72673.41</v>
      </c>
      <c r="L23" s="18">
        <f t="shared" si="7"/>
        <v>36.205640581096432</v>
      </c>
      <c r="M23" s="18">
        <f>IF(SUM(G$5:G23)&lt;&gt;0,SUM(G$5:G23)/COUNTIF(G$5:G23,"&lt;&gt;0")," ")</f>
        <v>70505.419444444429</v>
      </c>
      <c r="N23" s="18">
        <f>IF(SUM(G$5:G23)=0,0,M23*COUNTIF(G$5:G23,"&lt;&gt;0")/(SUM(B$5:B23))*100)</f>
        <v>26.278897058625596</v>
      </c>
      <c r="O23" s="19"/>
      <c r="Q23" s="21"/>
    </row>
    <row r="24" spans="1:17" s="20" customFormat="1" ht="13.5" x14ac:dyDescent="0.25">
      <c r="A24" s="49">
        <v>2002</v>
      </c>
      <c r="B24" s="50">
        <v>199154</v>
      </c>
      <c r="C24" s="51">
        <v>178.49</v>
      </c>
      <c r="D24" s="50">
        <f t="shared" si="0"/>
        <v>8.9624109985237566E-2</v>
      </c>
      <c r="E24" s="50">
        <v>20500</v>
      </c>
      <c r="F24" s="50">
        <f t="shared" si="1"/>
        <v>10.293541681311948</v>
      </c>
      <c r="G24" s="50">
        <f t="shared" si="2"/>
        <v>20321.509999999998</v>
      </c>
      <c r="H24" s="18">
        <f t="shared" si="3"/>
        <v>10.203917571326711</v>
      </c>
      <c r="I24" s="18">
        <f t="shared" si="4"/>
        <v>61925.053333333337</v>
      </c>
      <c r="J24" s="18">
        <f t="shared" si="5"/>
        <v>36.685313249157787</v>
      </c>
      <c r="K24" s="18">
        <f t="shared" si="6"/>
        <v>73127.712</v>
      </c>
      <c r="L24" s="18">
        <f t="shared" si="7"/>
        <v>37.517167219035699</v>
      </c>
      <c r="M24" s="18">
        <f>IF(SUM(G$5:G24)&lt;&gt;0,SUM(G$5:G24)/COUNTIF(G$5:G24,"&lt;&gt;0")," ")</f>
        <v>67864.161052631564</v>
      </c>
      <c r="N24" s="18">
        <f>IF(SUM(G$5:G24)=0,0,M24*COUNTIF(G$5:G24,"&lt;&gt;0")/(SUM(B$5:B24))*100)</f>
        <v>25.64224603981906</v>
      </c>
      <c r="O24" s="19"/>
      <c r="Q24" s="21"/>
    </row>
    <row r="25" spans="1:17" s="20" customFormat="1" ht="13.5" x14ac:dyDescent="0.25">
      <c r="A25" s="49">
        <v>2003</v>
      </c>
      <c r="B25" s="50">
        <v>236474</v>
      </c>
      <c r="C25" s="51"/>
      <c r="D25" s="50">
        <f t="shared" si="0"/>
        <v>0</v>
      </c>
      <c r="E25" s="50">
        <v>104000</v>
      </c>
      <c r="F25" s="50">
        <f t="shared" si="1"/>
        <v>43.979464972893432</v>
      </c>
      <c r="G25" s="50">
        <f t="shared" si="2"/>
        <v>104000</v>
      </c>
      <c r="H25" s="18">
        <f t="shared" si="3"/>
        <v>43.979464972893432</v>
      </c>
      <c r="I25" s="18">
        <f t="shared" si="4"/>
        <v>97425.813333333339</v>
      </c>
      <c r="J25" s="18">
        <f t="shared" si="5"/>
        <v>39.344041266644766</v>
      </c>
      <c r="K25" s="18">
        <f t="shared" si="6"/>
        <v>61214.232000000004</v>
      </c>
      <c r="L25" s="18">
        <f t="shared" si="7"/>
        <v>28.082705442374113</v>
      </c>
      <c r="M25" s="18">
        <f>IF(SUM(G$5:G25)&lt;&gt;0,SUM(G$5:G25)/COUNTIF(G$5:G25,"&lt;&gt;0")," ")</f>
        <v>69670.952999999994</v>
      </c>
      <c r="N25" s="18">
        <f>IF(SUM(G$5:G25)=0,0,M25*COUNTIF(G$5:G25,"&lt;&gt;0")/(SUM(B$5:B25))*100)</f>
        <v>26.465854974644671</v>
      </c>
      <c r="O25" s="19"/>
      <c r="Q25" s="21"/>
    </row>
    <row r="26" spans="1:17" s="20" customFormat="1" ht="13.5" x14ac:dyDescent="0.25">
      <c r="A26" s="49">
        <v>2004</v>
      </c>
      <c r="B26" s="50">
        <v>151628</v>
      </c>
      <c r="C26" s="51"/>
      <c r="D26" s="50">
        <f t="shared" si="0"/>
        <v>0</v>
      </c>
      <c r="E26" s="50">
        <v>10500</v>
      </c>
      <c r="F26" s="50">
        <f t="shared" si="1"/>
        <v>6.9248423773973142</v>
      </c>
      <c r="G26" s="50">
        <f>E26-C26</f>
        <v>10500</v>
      </c>
      <c r="H26" s="18">
        <f t="shared" si="3"/>
        <v>6.9248423773973142</v>
      </c>
      <c r="I26" s="18">
        <f t="shared" si="4"/>
        <v>44940.503333333334</v>
      </c>
      <c r="J26" s="18">
        <f t="shared" si="5"/>
        <v>22.957876973585627</v>
      </c>
      <c r="K26" s="18">
        <f t="shared" si="6"/>
        <v>60055.032000000007</v>
      </c>
      <c r="L26" s="18">
        <f t="shared" si="7"/>
        <v>33.568900753937378</v>
      </c>
      <c r="M26" s="18">
        <f>IF(SUM(G$5:G26)&lt;&gt;0,SUM(G$5:G26)/COUNTIF(G$5:G26,"&lt;&gt;0")," ")</f>
        <v>66853.288571428566</v>
      </c>
      <c r="N26" s="18">
        <f>IF(SUM(G$5:G26)=0,0,M26*COUNTIF(G$5:G26,"&lt;&gt;0")/(SUM(B$5:B26))*100)</f>
        <v>25.918839079222618</v>
      </c>
      <c r="O26" s="19"/>
      <c r="Q26" s="21"/>
    </row>
    <row r="27" spans="1:17" s="20" customFormat="1" ht="13.5" x14ac:dyDescent="0.25">
      <c r="A27" s="49">
        <v>2005</v>
      </c>
      <c r="B27" s="50">
        <v>287014</v>
      </c>
      <c r="C27" s="51"/>
      <c r="D27" s="50">
        <f t="shared" si="0"/>
        <v>0</v>
      </c>
      <c r="E27" s="50">
        <v>60240.62</v>
      </c>
      <c r="F27" s="50">
        <f t="shared" si="1"/>
        <v>20.988739225264275</v>
      </c>
      <c r="G27" s="50">
        <f t="shared" ref="G27:G40" si="8">E27-C27</f>
        <v>60240.62</v>
      </c>
      <c r="H27" s="18">
        <f t="shared" si="3"/>
        <v>20.988739225264275</v>
      </c>
      <c r="I27" s="18">
        <f t="shared" si="4"/>
        <v>58246.873333333329</v>
      </c>
      <c r="J27" s="18">
        <f t="shared" si="5"/>
        <v>25.88305120897742</v>
      </c>
      <c r="K27" s="18">
        <f t="shared" si="6"/>
        <v>72603.611999999994</v>
      </c>
      <c r="L27" s="18">
        <f t="shared" si="7"/>
        <v>30.724716847309985</v>
      </c>
      <c r="M27" s="18">
        <f>IF(SUM(G$5:G27)&lt;&gt;0,SUM(G$5:G27)/COUNTIF(G$5:G27,"&lt;&gt;0")," ")</f>
        <v>66552.712727272723</v>
      </c>
      <c r="N27" s="18">
        <f>IF(SUM(G$5:G27)=0,0,M27*COUNTIF(G$5:G27,"&lt;&gt;0")/(SUM(B$5:B27))*100)</f>
        <v>25.670749284970519</v>
      </c>
      <c r="O27" s="19"/>
      <c r="Q27" s="21"/>
    </row>
    <row r="28" spans="1:17" s="20" customFormat="1" ht="13.5" x14ac:dyDescent="0.25">
      <c r="A28" s="49">
        <v>2006</v>
      </c>
      <c r="B28" s="50">
        <v>207422</v>
      </c>
      <c r="C28" s="51"/>
      <c r="D28" s="50">
        <f t="shared" si="0"/>
        <v>0</v>
      </c>
      <c r="E28" s="50">
        <v>57376.04</v>
      </c>
      <c r="F28" s="50">
        <f t="shared" si="1"/>
        <v>27.661501672918014</v>
      </c>
      <c r="G28" s="50">
        <f t="shared" si="8"/>
        <v>57376.04</v>
      </c>
      <c r="H28" s="18">
        <f t="shared" si="3"/>
        <v>27.661501672918014</v>
      </c>
      <c r="I28" s="18">
        <f t="shared" si="4"/>
        <v>42705.553333333337</v>
      </c>
      <c r="J28" s="18">
        <f t="shared" si="5"/>
        <v>19.830335694296544</v>
      </c>
      <c r="K28" s="18">
        <f t="shared" si="6"/>
        <v>50487.634000000005</v>
      </c>
      <c r="L28" s="18">
        <f t="shared" si="7"/>
        <v>23.337342792587911</v>
      </c>
      <c r="M28" s="18">
        <f>IF(SUM(G$5:G28)&lt;&gt;0,SUM(G$5:G28)/COUNTIF(G$5:G28,"&lt;&gt;0")," ")</f>
        <v>66153.726956521743</v>
      </c>
      <c r="N28" s="18">
        <f>IF(SUM(G$5:G28)=0,0,M28*COUNTIF(G$5:G28,"&lt;&gt;0")/(SUM(B$5:B28))*100)</f>
        <v>25.740606083572874</v>
      </c>
      <c r="O28" s="19"/>
      <c r="Q28" s="21"/>
    </row>
    <row r="29" spans="1:17" s="20" customFormat="1" ht="13.5" x14ac:dyDescent="0.25">
      <c r="A29" s="49">
        <v>2007</v>
      </c>
      <c r="B29" s="50">
        <v>72900</v>
      </c>
      <c r="C29" s="51"/>
      <c r="D29" s="50">
        <f t="shared" si="0"/>
        <v>0</v>
      </c>
      <c r="E29" s="50">
        <v>69376.039999999994</v>
      </c>
      <c r="F29" s="50">
        <f t="shared" si="1"/>
        <v>95.166035665294913</v>
      </c>
      <c r="G29" s="50">
        <f t="shared" si="8"/>
        <v>69376.039999999994</v>
      </c>
      <c r="H29" s="18">
        <f t="shared" si="3"/>
        <v>95.166035665294913</v>
      </c>
      <c r="I29" s="18">
        <f t="shared" si="4"/>
        <v>62330.9</v>
      </c>
      <c r="J29" s="18">
        <f t="shared" si="5"/>
        <v>32.959780447565464</v>
      </c>
      <c r="K29" s="18">
        <f t="shared" si="6"/>
        <v>60298.54</v>
      </c>
      <c r="L29" s="18">
        <f t="shared" si="7"/>
        <v>31.555443681327304</v>
      </c>
      <c r="M29" s="18">
        <f>IF(SUM(G$5:G29)&lt;&gt;0,SUM(G$5:G29)/COUNTIF(G$5:G29,"&lt;&gt;0")," ")</f>
        <v>66287.990000000005</v>
      </c>
      <c r="N29" s="18">
        <f>IF(SUM(G$5:G29)=0,0,M29*COUNTIF(G$5:G29,"&lt;&gt;0")/(SUM(B$5:B29))*100)</f>
        <v>26.586389921143837</v>
      </c>
      <c r="O29" s="19"/>
      <c r="Q29" s="21"/>
    </row>
    <row r="30" spans="1:17" s="20" customFormat="1" ht="13.5" x14ac:dyDescent="0.25">
      <c r="A30" s="49">
        <v>2008</v>
      </c>
      <c r="B30" s="50">
        <v>157107</v>
      </c>
      <c r="C30" s="51"/>
      <c r="D30" s="50">
        <f t="shared" si="0"/>
        <v>0</v>
      </c>
      <c r="E30" s="50">
        <v>18150</v>
      </c>
      <c r="F30" s="50">
        <f t="shared" si="1"/>
        <v>11.552636101510435</v>
      </c>
      <c r="G30" s="50">
        <f t="shared" si="8"/>
        <v>18150</v>
      </c>
      <c r="H30" s="18">
        <f t="shared" si="3"/>
        <v>11.552636101510435</v>
      </c>
      <c r="I30" s="18">
        <f t="shared" si="4"/>
        <v>48300.693333333329</v>
      </c>
      <c r="J30" s="18">
        <f t="shared" si="5"/>
        <v>33.12585128100789</v>
      </c>
      <c r="K30" s="18">
        <f t="shared" si="6"/>
        <v>43128.54</v>
      </c>
      <c r="L30" s="18">
        <f t="shared" si="7"/>
        <v>24.614751544110007</v>
      </c>
      <c r="M30" s="18">
        <f>IF(SUM(G$5:G30)&lt;&gt;0,SUM(G$5:G30)/COUNTIF(G$5:G30,"&lt;&gt;0")," ")</f>
        <v>64362.470399999998</v>
      </c>
      <c r="N30" s="18">
        <f>IF(SUM(G$5:G30)=0,0,M30*COUNTIF(G$5:G30,"&lt;&gt;0")/(SUM(B$5:B30))*100)</f>
        <v>26.201779503146046</v>
      </c>
      <c r="O30" s="19"/>
      <c r="Q30" s="21"/>
    </row>
    <row r="31" spans="1:17" s="20" customFormat="1" ht="13.5" x14ac:dyDescent="0.25">
      <c r="A31" s="49">
        <v>2009</v>
      </c>
      <c r="B31" s="50">
        <v>545012</v>
      </c>
      <c r="C31" s="51"/>
      <c r="D31" s="50">
        <f t="shared" si="0"/>
        <v>0</v>
      </c>
      <c r="E31" s="50">
        <v>170548.56</v>
      </c>
      <c r="F31" s="50">
        <f t="shared" si="1"/>
        <v>31.2926247495468</v>
      </c>
      <c r="G31" s="50">
        <f t="shared" si="8"/>
        <v>170548.56</v>
      </c>
      <c r="H31" s="18">
        <f t="shared" si="3"/>
        <v>31.2926247495468</v>
      </c>
      <c r="I31" s="18">
        <f t="shared" si="4"/>
        <v>86024.866666666654</v>
      </c>
      <c r="J31" s="18">
        <f t="shared" si="5"/>
        <v>33.299132021279476</v>
      </c>
      <c r="K31" s="18">
        <f t="shared" si="6"/>
        <v>75138.252000000008</v>
      </c>
      <c r="L31" s="18">
        <f t="shared" si="7"/>
        <v>29.594689059478284</v>
      </c>
      <c r="M31" s="18">
        <f>IF(SUM(G$5:G31)&lt;&gt;0,SUM(G$5:G31)/COUNTIF(G$5:G31,"&lt;&gt;0")," ")</f>
        <v>68446.550769230773</v>
      </c>
      <c r="N31" s="18">
        <f>IF(SUM(G$5:G31)=0,0,M31*COUNTIF(G$5:G31,"&lt;&gt;0")/(SUM(B$5:B31))*100)</f>
        <v>26.616758589373816</v>
      </c>
      <c r="O31" s="19"/>
      <c r="Q31" s="21"/>
    </row>
    <row r="32" spans="1:17" s="20" customFormat="1" ht="13.5" x14ac:dyDescent="0.25">
      <c r="A32" s="49">
        <v>2010</v>
      </c>
      <c r="B32" s="50">
        <v>1100045.6599999999</v>
      </c>
      <c r="C32" s="51"/>
      <c r="D32" s="50">
        <f t="shared" si="0"/>
        <v>0</v>
      </c>
      <c r="E32" s="50">
        <v>113777.71</v>
      </c>
      <c r="F32" s="50">
        <f t="shared" si="1"/>
        <v>10.342998853338507</v>
      </c>
      <c r="G32" s="50">
        <f t="shared" si="8"/>
        <v>113777.71</v>
      </c>
      <c r="H32" s="18">
        <f t="shared" si="3"/>
        <v>10.342998853338507</v>
      </c>
      <c r="I32" s="18">
        <f t="shared" si="4"/>
        <v>100825.42333333334</v>
      </c>
      <c r="J32" s="18">
        <f t="shared" si="5"/>
        <v>16.784052906686121</v>
      </c>
      <c r="K32" s="18">
        <f t="shared" si="6"/>
        <v>85845.670000000013</v>
      </c>
      <c r="L32" s="18">
        <f t="shared" si="7"/>
        <v>20.611337313440465</v>
      </c>
      <c r="M32" s="18">
        <f>IF(SUM(G$5:G32)&lt;&gt;0,SUM(G$5:G32)/COUNTIF(G$5:G32,"&lt;&gt;0")," ")</f>
        <v>70125.482592592598</v>
      </c>
      <c r="N32" s="18">
        <f>IF(SUM(G$5:G32)=0,0,M32*COUNTIF(G$5:G32,"&lt;&gt;0")/(SUM(B$5:B32))*100)</f>
        <v>24.317547925541948</v>
      </c>
      <c r="O32" s="19"/>
      <c r="Q32" s="21"/>
    </row>
    <row r="33" spans="1:17" s="20" customFormat="1" ht="13.5" x14ac:dyDescent="0.25">
      <c r="A33" s="49">
        <v>2011</v>
      </c>
      <c r="B33" s="50">
        <v>2617302.81</v>
      </c>
      <c r="C33" s="51"/>
      <c r="D33" s="50">
        <f t="shared" si="0"/>
        <v>0</v>
      </c>
      <c r="E33" s="50">
        <v>366984.05</v>
      </c>
      <c r="F33" s="50">
        <f t="shared" si="1"/>
        <v>14.021459366407818</v>
      </c>
      <c r="G33" s="50">
        <f t="shared" si="8"/>
        <v>366984.05</v>
      </c>
      <c r="H33" s="18">
        <f t="shared" si="3"/>
        <v>14.021459366407818</v>
      </c>
      <c r="I33" s="18">
        <f t="shared" si="4"/>
        <v>217103.44000000003</v>
      </c>
      <c r="J33" s="18">
        <f t="shared" si="5"/>
        <v>15.280507704220526</v>
      </c>
      <c r="K33" s="18">
        <f t="shared" si="6"/>
        <v>147767.272</v>
      </c>
      <c r="L33" s="18">
        <f t="shared" si="7"/>
        <v>16.446480946493008</v>
      </c>
      <c r="M33" s="18">
        <f>IF(SUM(G$5:G33)&lt;&gt;0,SUM(G$5:G33)/COUNTIF(G$5:G33,"&lt;&gt;0")," ")</f>
        <v>80727.57428571429</v>
      </c>
      <c r="N33" s="18">
        <f>IF(SUM(G$5:G33)=0,0,M33*COUNTIF(G$5:G33,"&lt;&gt;0")/(SUM(B$5:B33))*100)</f>
        <v>21.727242804102108</v>
      </c>
      <c r="O33" s="19"/>
      <c r="Q33" s="21"/>
    </row>
    <row r="34" spans="1:17" s="20" customFormat="1" ht="13.5" x14ac:dyDescent="0.25">
      <c r="A34" s="49">
        <v>2012</v>
      </c>
      <c r="B34" s="50">
        <v>1818810.96</v>
      </c>
      <c r="C34" s="51"/>
      <c r="D34" s="50">
        <f t="shared" si="0"/>
        <v>0</v>
      </c>
      <c r="E34" s="50"/>
      <c r="F34" s="50">
        <f t="shared" si="1"/>
        <v>0</v>
      </c>
      <c r="G34" s="50">
        <f t="shared" si="8"/>
        <v>0</v>
      </c>
      <c r="H34" s="18">
        <f t="shared" si="3"/>
        <v>0</v>
      </c>
      <c r="I34" s="18">
        <f t="shared" si="4"/>
        <v>160253.92000000001</v>
      </c>
      <c r="J34" s="18">
        <f t="shared" si="5"/>
        <v>8.6840302574161967</v>
      </c>
      <c r="K34" s="18">
        <f t="shared" si="6"/>
        <v>133892.06400000001</v>
      </c>
      <c r="L34" s="18">
        <f t="shared" si="7"/>
        <v>10.731491508627647</v>
      </c>
      <c r="M34" s="18">
        <f>IF(SUM(G$5:G34)&lt;&gt;0,SUM(G$5:G34)/COUNTIF(G$5:G34,"&lt;&gt;0")," ")</f>
        <v>80727.57428571429</v>
      </c>
      <c r="N34" s="18">
        <f>IF(SUM(G$5:G34)=0,0,M34*COUNTIF(G$5:G34,"&lt;&gt;0")/(SUM(B$5:B34))*100)</f>
        <v>18.493969711993437</v>
      </c>
      <c r="O34" s="19"/>
      <c r="Q34" s="21"/>
    </row>
    <row r="35" spans="1:17" s="20" customFormat="1" ht="13.5" x14ac:dyDescent="0.25">
      <c r="A35" s="49">
        <v>2013</v>
      </c>
      <c r="B35" s="50">
        <v>2811972.59</v>
      </c>
      <c r="C35" s="51"/>
      <c r="D35" s="50">
        <f t="shared" si="0"/>
        <v>0</v>
      </c>
      <c r="E35" s="50">
        <v>574255.56999999995</v>
      </c>
      <c r="F35" s="50">
        <f t="shared" si="1"/>
        <v>20.421805391780151</v>
      </c>
      <c r="G35" s="50">
        <f t="shared" si="8"/>
        <v>574255.56999999995</v>
      </c>
      <c r="H35" s="18">
        <f t="shared" si="3"/>
        <v>20.421805391780151</v>
      </c>
      <c r="I35" s="18">
        <f t="shared" si="4"/>
        <v>313746.53999999998</v>
      </c>
      <c r="J35" s="18">
        <f t="shared" si="5"/>
        <v>12.986043118835026</v>
      </c>
      <c r="K35" s="18">
        <f t="shared" si="6"/>
        <v>245113.17800000001</v>
      </c>
      <c r="L35" s="18">
        <f t="shared" si="7"/>
        <v>13.781019257574107</v>
      </c>
      <c r="M35" s="18">
        <f>IF(SUM(G$5:G35)&lt;&gt;0,SUM(G$5:G35)/COUNTIF(G$5:G35,"&lt;&gt;0")," ")</f>
        <v>97745.781034482759</v>
      </c>
      <c r="N35" s="18">
        <f>IF(SUM(G$5:G35)=0,0,M35*COUNTIF(G$5:G35,"&lt;&gt;0")/(SUM(B$5:B35))*100)</f>
        <v>18.854549380459158</v>
      </c>
      <c r="O35" s="19"/>
      <c r="Q35" s="21"/>
    </row>
    <row r="36" spans="1:17" s="20" customFormat="1" ht="13.5" x14ac:dyDescent="0.25">
      <c r="A36" s="49">
        <v>2014</v>
      </c>
      <c r="B36" s="50">
        <v>852915.71</v>
      </c>
      <c r="C36" s="51"/>
      <c r="D36" s="50">
        <f t="shared" si="0"/>
        <v>0</v>
      </c>
      <c r="E36" s="50">
        <v>34350.61</v>
      </c>
      <c r="F36" s="50">
        <f t="shared" si="1"/>
        <v>4.0274331445952622</v>
      </c>
      <c r="G36" s="50">
        <f t="shared" si="8"/>
        <v>34350.61</v>
      </c>
      <c r="H36" s="18">
        <f t="shared" si="3"/>
        <v>4.0274331445952622</v>
      </c>
      <c r="I36" s="18">
        <f t="shared" si="4"/>
        <v>202868.72666666665</v>
      </c>
      <c r="J36" s="18">
        <f t="shared" si="5"/>
        <v>11.098460202575005</v>
      </c>
      <c r="K36" s="18">
        <f t="shared" si="6"/>
        <v>217873.58800000005</v>
      </c>
      <c r="L36" s="18">
        <f t="shared" si="7"/>
        <v>11.839607531304482</v>
      </c>
      <c r="M36" s="18">
        <f>IF(SUM(G$5:G36)&lt;&gt;0,SUM(G$5:G36)/COUNTIF(G$5:G36,"&lt;&gt;0")," ")</f>
        <v>95632.608666666652</v>
      </c>
      <c r="N36" s="18">
        <f>IF(SUM(G$5:G36)=0,0,M36*COUNTIF(G$5:G36,"&lt;&gt;0")/(SUM(B$5:B36))*100)</f>
        <v>18.058540002631428</v>
      </c>
      <c r="O36" s="19"/>
      <c r="Q36" s="21"/>
    </row>
    <row r="37" spans="1:17" s="20" customFormat="1" ht="13.5" x14ac:dyDescent="0.25">
      <c r="A37" s="49">
        <v>2015</v>
      </c>
      <c r="B37" s="50">
        <v>4631477.12</v>
      </c>
      <c r="C37" s="51"/>
      <c r="D37" s="50">
        <f t="shared" si="0"/>
        <v>0</v>
      </c>
      <c r="E37" s="50"/>
      <c r="F37" s="50">
        <f t="shared" si="1"/>
        <v>0</v>
      </c>
      <c r="G37" s="50">
        <f t="shared" si="8"/>
        <v>0</v>
      </c>
      <c r="H37" s="18">
        <f t="shared" si="3"/>
        <v>0</v>
      </c>
      <c r="I37" s="18">
        <f t="shared" si="4"/>
        <v>202868.72666666665</v>
      </c>
      <c r="J37" s="18">
        <f t="shared" si="5"/>
        <v>7.3358169413902203</v>
      </c>
      <c r="K37" s="18">
        <f t="shared" si="6"/>
        <v>195118.04599999997</v>
      </c>
      <c r="L37" s="18">
        <f t="shared" si="7"/>
        <v>7.6622173532882867</v>
      </c>
      <c r="M37" s="18">
        <f>IF(SUM(G$5:G37)&lt;&gt;0,SUM(G$5:G37)/COUNTIF(G$5:G37,"&lt;&gt;0")," ")</f>
        <v>95632.608666666652</v>
      </c>
      <c r="N37" s="18">
        <f>IF(SUM(G$5:G37)=0,0,M37*COUNTIF(G$5:G37,"&lt;&gt;0")/(SUM(B$5:B37))*100)</f>
        <v>13.982345271670241</v>
      </c>
      <c r="O37" s="19"/>
      <c r="P37" s="22"/>
      <c r="Q37" s="21"/>
    </row>
    <row r="38" spans="1:17" s="20" customFormat="1" ht="13.5" x14ac:dyDescent="0.25">
      <c r="A38" s="49">
        <v>2016</v>
      </c>
      <c r="B38" s="50">
        <v>1602276.9</v>
      </c>
      <c r="C38" s="51"/>
      <c r="D38" s="50">
        <f t="shared" si="0"/>
        <v>0</v>
      </c>
      <c r="E38" s="50">
        <v>-142759.29</v>
      </c>
      <c r="F38" s="50">
        <f t="shared" si="1"/>
        <v>-8.9097764562417403</v>
      </c>
      <c r="G38" s="50">
        <f t="shared" si="8"/>
        <v>-142759.29</v>
      </c>
      <c r="H38" s="18">
        <f t="shared" si="3"/>
        <v>-8.9097764562417403</v>
      </c>
      <c r="I38" s="18">
        <f t="shared" si="4"/>
        <v>-36136.226666666669</v>
      </c>
      <c r="J38" s="18">
        <f t="shared" si="5"/>
        <v>-1.5297549361031109</v>
      </c>
      <c r="K38" s="18">
        <f t="shared" si="6"/>
        <v>93169.377999999982</v>
      </c>
      <c r="L38" s="18">
        <f t="shared" si="7"/>
        <v>3.9756667158650698</v>
      </c>
      <c r="M38" s="18">
        <f>IF(SUM(G$5:G38)&lt;&gt;0,SUM(G$5:G38)/COUNTIF(G$5:G38,"&lt;&gt;0")," ")</f>
        <v>87942.547419354829</v>
      </c>
      <c r="N38" s="18">
        <f>IF(SUM(G$5:G38)=0,0,M38*COUNTIF(G$5:G38,"&lt;&gt;0")/(SUM(B$5:B38))*100)</f>
        <v>12.324203219326469</v>
      </c>
      <c r="O38" s="19"/>
      <c r="P38" s="22"/>
      <c r="Q38" s="21"/>
    </row>
    <row r="39" spans="1:17" s="20" customFormat="1" ht="13.5" x14ac:dyDescent="0.25">
      <c r="A39" s="49">
        <v>2017</v>
      </c>
      <c r="B39" s="50">
        <f>618296.56+326906</f>
        <v>945202.56</v>
      </c>
      <c r="C39" s="51"/>
      <c r="D39" s="50">
        <f t="shared" si="0"/>
        <v>0</v>
      </c>
      <c r="E39" s="50">
        <v>228013.53</v>
      </c>
      <c r="F39" s="50">
        <f t="shared" si="1"/>
        <v>24.123245074579568</v>
      </c>
      <c r="G39" s="50">
        <f t="shared" si="8"/>
        <v>228013.53</v>
      </c>
      <c r="H39" s="18">
        <f t="shared" si="3"/>
        <v>24.123245074579568</v>
      </c>
      <c r="I39" s="18">
        <f t="shared" si="4"/>
        <v>28418.079999999998</v>
      </c>
      <c r="J39" s="18">
        <f t="shared" si="5"/>
        <v>1.1875575377835756</v>
      </c>
      <c r="K39" s="18">
        <f t="shared" si="6"/>
        <v>138772.08399999997</v>
      </c>
      <c r="L39" s="18">
        <f t="shared" si="7"/>
        <v>6.3986568203288403</v>
      </c>
      <c r="M39" s="18">
        <f>IF(SUM(G$5:G39)&lt;&gt;0,SUM(G$5:G39)/COUNTIF(G$5:G39,"&lt;&gt;0")," ")</f>
        <v>92319.765624999985</v>
      </c>
      <c r="N39" s="18">
        <f>IF(SUM(G$5:G39)=0,0,M39*COUNTIF(G$5:G39,"&lt;&gt;0")/(SUM(B$5:B39))*100)</f>
        <v>12.807705228393242</v>
      </c>
      <c r="O39" s="19"/>
      <c r="P39" s="22"/>
      <c r="Q39" s="21"/>
    </row>
    <row r="40" spans="1:17" s="20" customFormat="1" ht="13.5" x14ac:dyDescent="0.25">
      <c r="A40" s="49">
        <v>2018</v>
      </c>
      <c r="B40" s="50">
        <f>154589.77+249456</f>
        <v>404045.77</v>
      </c>
      <c r="C40" s="51"/>
      <c r="D40" s="50">
        <f t="shared" si="0"/>
        <v>0</v>
      </c>
      <c r="E40" s="50">
        <v>91074.7</v>
      </c>
      <c r="F40" s="50">
        <f t="shared" si="1"/>
        <v>22.540688892745987</v>
      </c>
      <c r="G40" s="50">
        <f t="shared" si="8"/>
        <v>91074.7</v>
      </c>
      <c r="H40" s="18">
        <f t="shared" si="3"/>
        <v>22.540688892745987</v>
      </c>
      <c r="I40" s="18">
        <f t="shared" si="4"/>
        <v>58776.313333333332</v>
      </c>
      <c r="J40" s="18">
        <f t="shared" si="5"/>
        <v>5.9741633989013883</v>
      </c>
      <c r="K40" s="18">
        <f t="shared" si="6"/>
        <v>42135.909999999996</v>
      </c>
      <c r="L40" s="18">
        <f t="shared" si="7"/>
        <v>2.497411052378097</v>
      </c>
      <c r="M40" s="18">
        <f>IF(SUM(G$5:G40)&lt;&gt;0,SUM(G$5:G40)/COUNTIF(G$5:G40,"&lt;&gt;0")," ")</f>
        <v>92282.036363636362</v>
      </c>
      <c r="N40" s="18">
        <f>IF(SUM(G$5:G40)=0,0,M40*COUNTIF(G$5:G40,"&lt;&gt;0")/(SUM(B$5:B40))*100)</f>
        <v>12.975261844280825</v>
      </c>
      <c r="O40" s="19"/>
      <c r="P40" s="22"/>
      <c r="Q40" s="21"/>
    </row>
    <row r="41" spans="1:17" s="20" customFormat="1" ht="13.5" x14ac:dyDescent="0.25">
      <c r="A41" s="49">
        <v>2019</v>
      </c>
      <c r="B41" s="50">
        <f>621281.24+721816</f>
        <v>1343097.24</v>
      </c>
      <c r="C41" s="51"/>
      <c r="D41" s="50">
        <f t="shared" si="0"/>
        <v>0</v>
      </c>
      <c r="E41" s="50">
        <v>223081.52</v>
      </c>
      <c r="F41" s="50">
        <f t="shared" si="1"/>
        <v>16.609483911976469</v>
      </c>
      <c r="G41" s="50">
        <f>(E41-C41)+41784</f>
        <v>264865.52</v>
      </c>
      <c r="H41" s="18">
        <f t="shared" si="3"/>
        <v>19.720502143240203</v>
      </c>
      <c r="I41" s="18">
        <f t="shared" si="4"/>
        <v>194651.25</v>
      </c>
      <c r="J41" s="18">
        <f t="shared" si="5"/>
        <v>21.689405569137246</v>
      </c>
      <c r="K41" s="18">
        <f t="shared" si="6"/>
        <v>88238.892000000007</v>
      </c>
      <c r="L41" s="18">
        <f t="shared" si="7"/>
        <v>4.9427463311553756</v>
      </c>
      <c r="M41" s="18">
        <f>IF(SUM(G$5:G41)&lt;&gt;0,SUM(G$5:G41)/COUNTIF(G$5:G41,"&lt;&gt;0")," ")</f>
        <v>97358.021176470575</v>
      </c>
      <c r="N41" s="18">
        <f>IF(SUM(G$5:G41)=0,0,M41*COUNTIF(G$5:G41,"&lt;&gt;0")/(SUM(B$5:B41))*100)</f>
        <v>13.340370491168086</v>
      </c>
      <c r="O41" s="19"/>
      <c r="P41" s="22"/>
      <c r="Q41" s="21"/>
    </row>
    <row r="42" spans="1:17" s="20" customFormat="1" ht="13.5" x14ac:dyDescent="0.25">
      <c r="A42" s="49">
        <v>2020</v>
      </c>
      <c r="B42" s="50">
        <v>1202379</v>
      </c>
      <c r="C42" s="51"/>
      <c r="D42" s="50">
        <f t="shared" si="0"/>
        <v>0</v>
      </c>
      <c r="E42" s="50"/>
      <c r="F42" s="50">
        <f t="shared" si="1"/>
        <v>0</v>
      </c>
      <c r="G42" s="50">
        <f>(E42-C42)+54443</f>
        <v>54443</v>
      </c>
      <c r="H42" s="18">
        <f t="shared" si="3"/>
        <v>4.5279400255659823</v>
      </c>
      <c r="I42" s="18">
        <f t="shared" si="4"/>
        <v>136794.40666666668</v>
      </c>
      <c r="J42" s="18">
        <f t="shared" si="5"/>
        <v>13.913550012803602</v>
      </c>
      <c r="K42" s="18">
        <f t="shared" si="6"/>
        <v>99127.491999999998</v>
      </c>
      <c r="L42" s="18">
        <f t="shared" si="7"/>
        <v>9.0165058660608288</v>
      </c>
      <c r="M42" s="18">
        <f>IF(SUM(G$5:G42)&lt;&gt;0,SUM(G$5:G42)/COUNTIF(G$5:G42,"&lt;&gt;0")," ")</f>
        <v>96131.8777142857</v>
      </c>
      <c r="N42" s="18">
        <f>IF(SUM(G$5:G42)=0,0,M42*COUNTIF(G$5:G42,"&lt;&gt;0")/(SUM(B$5:B42))*100)</f>
        <v>12.933080628130353</v>
      </c>
      <c r="O42" s="19"/>
      <c r="P42" s="22"/>
      <c r="Q42" s="21"/>
    </row>
    <row r="43" spans="1:17" s="20" customFormat="1" ht="13.5" x14ac:dyDescent="0.25">
      <c r="A43" s="49">
        <v>2021</v>
      </c>
      <c r="B43" s="50">
        <v>7088407.3799999999</v>
      </c>
      <c r="C43" s="51"/>
      <c r="D43" s="50"/>
      <c r="E43" s="50"/>
      <c r="F43" s="50"/>
      <c r="G43" s="50">
        <v>49856.23</v>
      </c>
      <c r="H43" s="18">
        <f t="shared" si="3"/>
        <v>0.70334882473981064</v>
      </c>
      <c r="I43" s="18">
        <f t="shared" si="4"/>
        <v>123054.91666666667</v>
      </c>
      <c r="J43" s="18">
        <f t="shared" si="5"/>
        <v>3.8319411419254816</v>
      </c>
      <c r="K43" s="18">
        <f t="shared" si="6"/>
        <v>137650.59599999999</v>
      </c>
      <c r="L43" s="18">
        <f t="shared" si="7"/>
        <v>6.2664546245390422</v>
      </c>
      <c r="M43" s="18">
        <f>IF(SUM(G$5:G43)&lt;&gt;0,SUM(G$5:G43)/COUNTIF(G$5:G43,"&lt;&gt;0")," ")</f>
        <v>94846.443055555545</v>
      </c>
      <c r="N43" s="18">
        <f>IF(SUM(G$5:G43)=0,0,M43*COUNTIF(G$5:G43,"&lt;&gt;0")/(SUM(B$5:B43))*100)</f>
        <v>10.314383231503149</v>
      </c>
      <c r="O43" s="19"/>
      <c r="P43" s="22"/>
      <c r="Q43" s="21"/>
    </row>
    <row r="44" spans="1:17" s="20" customFormat="1" ht="13.5" x14ac:dyDescent="0.25">
      <c r="A44" s="23"/>
      <c r="B44" s="24"/>
      <c r="C44" s="24"/>
      <c r="D44" s="25"/>
      <c r="E44" s="50"/>
      <c r="F44" s="18"/>
      <c r="G44" s="50"/>
      <c r="H44" s="25"/>
      <c r="I44" s="18"/>
      <c r="J44" s="18"/>
      <c r="K44" s="18"/>
      <c r="L44" s="18"/>
      <c r="M44" s="18"/>
      <c r="N44" s="18"/>
      <c r="O44" s="19"/>
    </row>
    <row r="45" spans="1:17" s="32" customFormat="1" ht="30" customHeight="1" x14ac:dyDescent="0.3">
      <c r="A45" s="26" t="s">
        <v>17</v>
      </c>
      <c r="B45" s="27">
        <f>SUM(B5:B44)</f>
        <v>33103985.699999996</v>
      </c>
      <c r="C45" s="27">
        <f>SUM(C5:C44)</f>
        <v>6481.84</v>
      </c>
      <c r="D45" s="28">
        <f t="shared" si="0"/>
        <v>1.9580240454248388E-2</v>
      </c>
      <c r="E45" s="29">
        <f>SUM(E5:E44)</f>
        <v>3274870.5599999996</v>
      </c>
      <c r="F45" s="28">
        <f>E45/B45*100</f>
        <v>9.8926775454715106</v>
      </c>
      <c r="G45" s="29">
        <f>SUM(G5:G44)</f>
        <v>3414471.9499999997</v>
      </c>
      <c r="H45" s="28">
        <f t="shared" si="3"/>
        <v>10.314383231503149</v>
      </c>
      <c r="I45" s="30"/>
      <c r="J45" s="30"/>
      <c r="K45" s="30"/>
      <c r="L45" s="30"/>
      <c r="M45" s="30"/>
      <c r="N45" s="30"/>
      <c r="O45" s="31"/>
    </row>
    <row r="47" spans="1:17" x14ac:dyDescent="0.35">
      <c r="B47" s="38"/>
    </row>
    <row r="48" spans="1:17" x14ac:dyDescent="0.35">
      <c r="B48" s="38"/>
    </row>
  </sheetData>
  <conditionalFormatting sqref="A5:XFD43">
    <cfRule type="expression" dxfId="1" priority="2">
      <formula>MOD(ROW(),2)=0</formula>
    </cfRule>
  </conditionalFormatting>
  <conditionalFormatting sqref="A44:XFD45">
    <cfRule type="expression" dxfId="0" priority="1">
      <formula>MOD(ROW(),2)=0</formula>
    </cfRule>
  </conditionalFormatting>
  <printOptions horizontalCentered="1"/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04E99-FD28-4DB4-9D77-42BD12176E82}">
  <dimension ref="A1:T37"/>
  <sheetViews>
    <sheetView tabSelected="1" topLeftCell="A14" zoomScaleNormal="100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7" style="34" customWidth="1"/>
    <col min="3" max="3" width="13.81640625" style="34" hidden="1" customWidth="1"/>
    <col min="4" max="5" width="12.54296875" style="35" hidden="1" customWidth="1"/>
    <col min="6" max="6" width="0.453125" style="35" hidden="1" customWidth="1"/>
    <col min="7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19</v>
      </c>
      <c r="B2" s="40"/>
      <c r="C2" s="40"/>
      <c r="D2" s="40"/>
      <c r="E2" s="40"/>
      <c r="F2" s="40"/>
      <c r="G2" s="47"/>
      <c r="H2" s="41"/>
      <c r="I2" s="42"/>
      <c r="J2" s="42"/>
      <c r="K2" s="42"/>
      <c r="L2" s="42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45"/>
      <c r="K3" s="45"/>
      <c r="L3" s="45"/>
      <c r="M3" s="9"/>
      <c r="N3" s="9"/>
      <c r="O3" s="10"/>
    </row>
    <row r="4" spans="1:17" s="16" customFormat="1" ht="50.25" customHeigh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1994</v>
      </c>
      <c r="B5" s="50">
        <v>156006.95000000001</v>
      </c>
      <c r="C5" s="51">
        <v>67100.13</v>
      </c>
      <c r="D5" s="50">
        <f t="shared" ref="D5:D14" si="0">C5/B5*100</f>
        <v>43.010987651511677</v>
      </c>
      <c r="E5" s="50"/>
      <c r="F5" s="50">
        <f t="shared" ref="F5:F14" si="1">E5/B5*100</f>
        <v>0</v>
      </c>
      <c r="G5" s="50">
        <f t="shared" ref="G5:G14" si="2">E5-C5</f>
        <v>-67100.13</v>
      </c>
      <c r="H5" s="18">
        <f t="shared" ref="H5" si="3">G5/B5*100</f>
        <v>-43.010987651511677</v>
      </c>
      <c r="I5" s="18"/>
      <c r="J5" s="18"/>
      <c r="K5" s="18"/>
      <c r="L5" s="18"/>
      <c r="M5" s="18">
        <f>IF(SUM(G$5:G5)&lt;&gt;0,SUM(G$5:G5)/COUNTIF(G$5:G5,"&lt;&gt;0")," ")</f>
        <v>-67100.13</v>
      </c>
      <c r="N5" s="18">
        <f>IF(SUM(G$5:G5)=0,0,M5*COUNTIF(G$5:G5,"&lt;&gt;0")/(SUM(B$5:B5))*100)</f>
        <v>-43.010987651511677</v>
      </c>
      <c r="O5" s="19"/>
      <c r="Q5" s="21"/>
    </row>
    <row r="6" spans="1:17" s="20" customFormat="1" ht="13.5" x14ac:dyDescent="0.25">
      <c r="A6" s="49">
        <v>1995</v>
      </c>
      <c r="B6" s="50"/>
      <c r="C6" s="51"/>
      <c r="D6" s="50" t="e">
        <f t="shared" si="0"/>
        <v>#DIV/0!</v>
      </c>
      <c r="E6" s="50"/>
      <c r="F6" s="50" t="e">
        <f t="shared" si="1"/>
        <v>#DIV/0!</v>
      </c>
      <c r="G6" s="50">
        <f t="shared" si="2"/>
        <v>0</v>
      </c>
      <c r="H6" s="18"/>
      <c r="I6" s="18"/>
      <c r="J6" s="18"/>
      <c r="K6" s="18"/>
      <c r="L6" s="18"/>
      <c r="M6" s="18">
        <f>IF(SUM(G$5:G6)&lt;&gt;0,SUM(G$5:G6)/COUNTIF(G$5:G6,"&lt;&gt;0")," ")</f>
        <v>-67100.13</v>
      </c>
      <c r="N6" s="18">
        <f>IF(SUM(G$5:G6)=0,0,M6*COUNTIF(G$5:G6,"&lt;&gt;0")/(SUM(B$5:B6))*100)</f>
        <v>-43.010987651511677</v>
      </c>
      <c r="O6" s="19"/>
      <c r="Q6" s="21"/>
    </row>
    <row r="7" spans="1:17" s="20" customFormat="1" ht="13.5" x14ac:dyDescent="0.25">
      <c r="A7" s="49">
        <v>1996</v>
      </c>
      <c r="B7" s="50"/>
      <c r="C7" s="51"/>
      <c r="D7" s="50" t="e">
        <f t="shared" si="0"/>
        <v>#DIV/0!</v>
      </c>
      <c r="E7" s="50"/>
      <c r="F7" s="50" t="e">
        <f t="shared" si="1"/>
        <v>#DIV/0!</v>
      </c>
      <c r="G7" s="50">
        <f t="shared" si="2"/>
        <v>0</v>
      </c>
      <c r="H7" s="18"/>
      <c r="I7" s="18">
        <f>SUM(G5:G7)/3</f>
        <v>-22366.710000000003</v>
      </c>
      <c r="J7" s="18">
        <f>IF(SUM(B5:B7)=0,0,I7/(SUM(B5:B7)/3)*100)</f>
        <v>-43.010987651511677</v>
      </c>
      <c r="K7" s="18"/>
      <c r="L7" s="18"/>
      <c r="M7" s="18">
        <f>IF(SUM(G$5:G7)&lt;&gt;0,SUM(G$5:G7)/COUNTIF(G$5:G7,"&lt;&gt;0")," ")</f>
        <v>-67100.13</v>
      </c>
      <c r="N7" s="18">
        <f>IF(SUM(G$5:G7)=0,0,M7*COUNTIF(G$5:G7,"&lt;&gt;0")/(SUM(B$5:B7))*100)</f>
        <v>-43.010987651511677</v>
      </c>
      <c r="O7" s="19"/>
      <c r="Q7" s="21"/>
    </row>
    <row r="8" spans="1:17" s="20" customFormat="1" ht="13.5" x14ac:dyDescent="0.25">
      <c r="A8" s="49">
        <v>1997</v>
      </c>
      <c r="B8" s="50"/>
      <c r="C8" s="51"/>
      <c r="D8" s="50" t="e">
        <f t="shared" si="0"/>
        <v>#DIV/0!</v>
      </c>
      <c r="E8" s="50"/>
      <c r="F8" s="50" t="e">
        <f t="shared" si="1"/>
        <v>#DIV/0!</v>
      </c>
      <c r="G8" s="50">
        <f t="shared" si="2"/>
        <v>0</v>
      </c>
      <c r="H8" s="18"/>
      <c r="I8" s="18">
        <f t="shared" ref="I8:I32" si="4">SUM(G6:G8)/3</f>
        <v>0</v>
      </c>
      <c r="J8" s="18">
        <f t="shared" ref="J8:J32" si="5">IF(SUM(B6:B8)=0,0,I8/(SUM(B6:B8)/3)*100)</f>
        <v>0</v>
      </c>
      <c r="K8" s="18"/>
      <c r="L8" s="18"/>
      <c r="M8" s="18">
        <f>IF(SUM(G$5:G8)&lt;&gt;0,SUM(G$5:G8)/COUNTIF(G$5:G8,"&lt;&gt;0")," ")</f>
        <v>-67100.13</v>
      </c>
      <c r="N8" s="18">
        <f>IF(SUM(G$5:G8)=0,0,M8*COUNTIF(G$5:G8,"&lt;&gt;0")/(SUM(B$5:B8))*100)</f>
        <v>-43.010987651511677</v>
      </c>
      <c r="O8" s="19"/>
      <c r="Q8" s="21"/>
    </row>
    <row r="9" spans="1:17" s="20" customFormat="1" ht="13.5" x14ac:dyDescent="0.25">
      <c r="A9" s="49">
        <v>1998</v>
      </c>
      <c r="B9" s="50"/>
      <c r="C9" s="51">
        <v>13408.64</v>
      </c>
      <c r="D9" s="50" t="e">
        <f t="shared" si="0"/>
        <v>#DIV/0!</v>
      </c>
      <c r="E9" s="50"/>
      <c r="F9" s="50" t="e">
        <f t="shared" si="1"/>
        <v>#DIV/0!</v>
      </c>
      <c r="G9" s="50">
        <f t="shared" si="2"/>
        <v>-13408.64</v>
      </c>
      <c r="H9" s="18"/>
      <c r="I9" s="18">
        <f t="shared" si="4"/>
        <v>-4469.5466666666662</v>
      </c>
      <c r="J9" s="18">
        <f t="shared" si="5"/>
        <v>0</v>
      </c>
      <c r="K9" s="18">
        <f>SUM(G5:G9)/5</f>
        <v>-16101.754000000001</v>
      </c>
      <c r="L9" s="18">
        <f>IF(SUM(B5:B9)=0,0,K9/(SUM(B5:B9)/5)*100)</f>
        <v>-51.605886789018051</v>
      </c>
      <c r="M9" s="18">
        <f>IF(SUM(G$5:G9)&lt;&gt;0,SUM(G$5:G9)/COUNTIF(G$5:G9,"&lt;&gt;0")," ")</f>
        <v>-40254.385000000002</v>
      </c>
      <c r="N9" s="18">
        <f>IF(SUM(G$5:G9)=0,0,M9*COUNTIF(G$5:G9,"&lt;&gt;0")/(SUM(B$5:B9))*100)</f>
        <v>-51.605886789018051</v>
      </c>
      <c r="O9" s="19"/>
      <c r="Q9" s="21"/>
    </row>
    <row r="10" spans="1:17" s="20" customFormat="1" ht="13.5" x14ac:dyDescent="0.25">
      <c r="A10" s="49">
        <v>1999</v>
      </c>
      <c r="B10" s="50"/>
      <c r="C10" s="51"/>
      <c r="D10" s="50" t="e">
        <f t="shared" si="0"/>
        <v>#DIV/0!</v>
      </c>
      <c r="E10" s="50"/>
      <c r="F10" s="50" t="e">
        <f t="shared" si="1"/>
        <v>#DIV/0!</v>
      </c>
      <c r="G10" s="50">
        <f t="shared" si="2"/>
        <v>0</v>
      </c>
      <c r="H10" s="18"/>
      <c r="I10" s="18">
        <f t="shared" si="4"/>
        <v>-4469.5466666666662</v>
      </c>
      <c r="J10" s="18">
        <f t="shared" si="5"/>
        <v>0</v>
      </c>
      <c r="K10" s="18">
        <f t="shared" ref="K10:K32" si="6">SUM(G6:G10)/5</f>
        <v>-2681.7280000000001</v>
      </c>
      <c r="L10" s="18">
        <f t="shared" ref="L10:L32" si="7">IF(SUM(B6:B10)=0,0,K10/(SUM(B6:B10)/5)*100)</f>
        <v>0</v>
      </c>
      <c r="M10" s="18">
        <f>IF(SUM(G$5:G10)&lt;&gt;0,SUM(G$5:G10)/COUNTIF(G$5:G10,"&lt;&gt;0")," ")</f>
        <v>-40254.385000000002</v>
      </c>
      <c r="N10" s="18">
        <f>IF(SUM(G$5:G10)=0,0,M10*COUNTIF(G$5:G10,"&lt;&gt;0")/(SUM(B$5:B10))*100)</f>
        <v>-51.605886789018051</v>
      </c>
      <c r="O10" s="19"/>
      <c r="Q10" s="21"/>
    </row>
    <row r="11" spans="1:17" s="20" customFormat="1" ht="13.5" x14ac:dyDescent="0.25">
      <c r="A11" s="49">
        <v>2000</v>
      </c>
      <c r="B11" s="50"/>
      <c r="C11" s="51"/>
      <c r="D11" s="50" t="e">
        <f t="shared" si="0"/>
        <v>#DIV/0!</v>
      </c>
      <c r="E11" s="50"/>
      <c r="F11" s="50" t="e">
        <f t="shared" si="1"/>
        <v>#DIV/0!</v>
      </c>
      <c r="G11" s="50">
        <f t="shared" si="2"/>
        <v>0</v>
      </c>
      <c r="H11" s="18"/>
      <c r="I11" s="18">
        <f t="shared" si="4"/>
        <v>-4469.5466666666662</v>
      </c>
      <c r="J11" s="18">
        <f t="shared" si="5"/>
        <v>0</v>
      </c>
      <c r="K11" s="18">
        <f t="shared" si="6"/>
        <v>-2681.7280000000001</v>
      </c>
      <c r="L11" s="18">
        <f t="shared" si="7"/>
        <v>0</v>
      </c>
      <c r="M11" s="18">
        <f>IF(SUM(G$5:G11)&lt;&gt;0,SUM(G$5:G11)/COUNTIF(G$5:G11,"&lt;&gt;0")," ")</f>
        <v>-40254.385000000002</v>
      </c>
      <c r="N11" s="18">
        <f>IF(SUM(G$5:G11)=0,0,M11*COUNTIF(G$5:G11,"&lt;&gt;0")/(SUM(B$5:B11))*100)</f>
        <v>-51.605886789018051</v>
      </c>
      <c r="O11" s="19"/>
      <c r="Q11" s="21"/>
    </row>
    <row r="12" spans="1:17" s="20" customFormat="1" ht="13.5" x14ac:dyDescent="0.25">
      <c r="A12" s="49">
        <v>2001</v>
      </c>
      <c r="B12" s="50"/>
      <c r="C12" s="51"/>
      <c r="D12" s="50" t="e">
        <f t="shared" si="0"/>
        <v>#DIV/0!</v>
      </c>
      <c r="E12" s="50"/>
      <c r="F12" s="50" t="e">
        <f t="shared" si="1"/>
        <v>#DIV/0!</v>
      </c>
      <c r="G12" s="50">
        <f t="shared" si="2"/>
        <v>0</v>
      </c>
      <c r="H12" s="18"/>
      <c r="I12" s="18">
        <f t="shared" si="4"/>
        <v>0</v>
      </c>
      <c r="J12" s="18">
        <f t="shared" si="5"/>
        <v>0</v>
      </c>
      <c r="K12" s="18">
        <f t="shared" si="6"/>
        <v>-2681.7280000000001</v>
      </c>
      <c r="L12" s="18">
        <f t="shared" si="7"/>
        <v>0</v>
      </c>
      <c r="M12" s="18">
        <f>IF(SUM(G$5:G12)&lt;&gt;0,SUM(G$5:G12)/COUNTIF(G$5:G12,"&lt;&gt;0")," ")</f>
        <v>-40254.385000000002</v>
      </c>
      <c r="N12" s="18">
        <f>IF(SUM(G$5:G12)=0,0,M12*COUNTIF(G$5:G12,"&lt;&gt;0")/(SUM(B$5:B12))*100)</f>
        <v>-51.605886789018051</v>
      </c>
      <c r="O12" s="19"/>
      <c r="Q12" s="21"/>
    </row>
    <row r="13" spans="1:17" s="20" customFormat="1" ht="13.5" x14ac:dyDescent="0.25">
      <c r="A13" s="49">
        <v>2002</v>
      </c>
      <c r="B13" s="50"/>
      <c r="C13" s="51">
        <v>95263.79</v>
      </c>
      <c r="D13" s="50" t="e">
        <f t="shared" si="0"/>
        <v>#DIV/0!</v>
      </c>
      <c r="E13" s="50"/>
      <c r="F13" s="50" t="e">
        <f t="shared" si="1"/>
        <v>#DIV/0!</v>
      </c>
      <c r="G13" s="50">
        <f t="shared" si="2"/>
        <v>-95263.79</v>
      </c>
      <c r="H13" s="18"/>
      <c r="I13" s="18">
        <f t="shared" si="4"/>
        <v>-31754.596666666665</v>
      </c>
      <c r="J13" s="18">
        <f t="shared" si="5"/>
        <v>0</v>
      </c>
      <c r="K13" s="18">
        <f t="shared" si="6"/>
        <v>-21734.485999999997</v>
      </c>
      <c r="L13" s="18">
        <f t="shared" si="7"/>
        <v>0</v>
      </c>
      <c r="M13" s="18">
        <f>IF(SUM(G$5:G13)&lt;&gt;0,SUM(G$5:G13)/COUNTIF(G$5:G13,"&lt;&gt;0")," ")</f>
        <v>-58590.853333333333</v>
      </c>
      <c r="N13" s="18">
        <f>IF(SUM(G$5:G13)=0,0,M13*COUNTIF(G$5:G13,"&lt;&gt;0")/(SUM(B$5:B13))*100)</f>
        <v>-112.66969836920725</v>
      </c>
      <c r="O13" s="19"/>
      <c r="Q13" s="21"/>
    </row>
    <row r="14" spans="1:17" s="20" customFormat="1" ht="13.5" x14ac:dyDescent="0.25">
      <c r="A14" s="49">
        <v>2003</v>
      </c>
      <c r="B14" s="50"/>
      <c r="C14" s="51"/>
      <c r="D14" s="50" t="e">
        <f t="shared" si="0"/>
        <v>#DIV/0!</v>
      </c>
      <c r="E14" s="50"/>
      <c r="F14" s="50" t="e">
        <f t="shared" si="1"/>
        <v>#DIV/0!</v>
      </c>
      <c r="G14" s="50">
        <f t="shared" si="2"/>
        <v>0</v>
      </c>
      <c r="H14" s="18"/>
      <c r="I14" s="18">
        <f t="shared" si="4"/>
        <v>-31754.596666666665</v>
      </c>
      <c r="J14" s="18">
        <f t="shared" si="5"/>
        <v>0</v>
      </c>
      <c r="K14" s="18">
        <f t="shared" si="6"/>
        <v>-19052.757999999998</v>
      </c>
      <c r="L14" s="18">
        <f t="shared" si="7"/>
        <v>0</v>
      </c>
      <c r="M14" s="18">
        <f>IF(SUM(G$5:G14)&lt;&gt;0,SUM(G$5:G14)/COUNTIF(G$5:G14,"&lt;&gt;0")," ")</f>
        <v>-58590.853333333333</v>
      </c>
      <c r="N14" s="18">
        <f>IF(SUM(G$5:G14)=0,0,M14*COUNTIF(G$5:G14,"&lt;&gt;0")/(SUM(B$5:B14))*100)</f>
        <v>-112.66969836920725</v>
      </c>
      <c r="O14" s="19"/>
      <c r="Q14" s="21"/>
    </row>
    <row r="15" spans="1:17" s="20" customFormat="1" ht="13.5" x14ac:dyDescent="0.25">
      <c r="A15" s="49">
        <v>2004</v>
      </c>
      <c r="B15" s="50"/>
      <c r="C15" s="51"/>
      <c r="D15" s="50" t="e">
        <f t="shared" ref="D15" si="8">C15/B15*100</f>
        <v>#DIV/0!</v>
      </c>
      <c r="E15" s="50"/>
      <c r="F15" s="50" t="e">
        <f t="shared" ref="F15" si="9">E15/B15*100</f>
        <v>#DIV/0!</v>
      </c>
      <c r="G15" s="50">
        <f>E15-C15</f>
        <v>0</v>
      </c>
      <c r="H15" s="18"/>
      <c r="I15" s="18">
        <f t="shared" si="4"/>
        <v>-31754.596666666665</v>
      </c>
      <c r="J15" s="18">
        <f t="shared" si="5"/>
        <v>0</v>
      </c>
      <c r="K15" s="18">
        <f t="shared" si="6"/>
        <v>-19052.757999999998</v>
      </c>
      <c r="L15" s="18">
        <f t="shared" si="7"/>
        <v>0</v>
      </c>
      <c r="M15" s="18">
        <f>IF(SUM(G$5:G15)&lt;&gt;0,SUM(G$5:G15)/COUNTIF(G$5:G15,"&lt;&gt;0")," ")</f>
        <v>-58590.853333333333</v>
      </c>
      <c r="N15" s="18">
        <f>IF(SUM(G$5:G15)=0,0,M15*COUNTIF(G$5:G15,"&lt;&gt;0")/(SUM(B$5:B15))*100)</f>
        <v>-112.66969836920725</v>
      </c>
      <c r="O15" s="19"/>
      <c r="Q15" s="21"/>
    </row>
    <row r="16" spans="1:17" s="20" customFormat="1" ht="13.5" x14ac:dyDescent="0.25">
      <c r="A16" s="49">
        <v>2005</v>
      </c>
      <c r="B16" s="50"/>
      <c r="C16" s="51"/>
      <c r="D16" s="50" t="e">
        <f t="shared" ref="D16:D34" si="10">C16/B16*100</f>
        <v>#DIV/0!</v>
      </c>
      <c r="E16" s="50"/>
      <c r="F16" s="50" t="e">
        <f t="shared" ref="F16:F31" si="11">E16/B16*100</f>
        <v>#DIV/0!</v>
      </c>
      <c r="G16" s="50">
        <f t="shared" ref="G16:G29" si="12">E16-C16</f>
        <v>0</v>
      </c>
      <c r="H16" s="18"/>
      <c r="I16" s="18">
        <f t="shared" si="4"/>
        <v>0</v>
      </c>
      <c r="J16" s="18">
        <f t="shared" si="5"/>
        <v>0</v>
      </c>
      <c r="K16" s="18">
        <f t="shared" si="6"/>
        <v>-19052.757999999998</v>
      </c>
      <c r="L16" s="18">
        <f t="shared" si="7"/>
        <v>0</v>
      </c>
      <c r="M16" s="18">
        <f>IF(SUM(G$5:G16)&lt;&gt;0,SUM(G$5:G16)/COUNTIF(G$5:G16,"&lt;&gt;0")," ")</f>
        <v>-58590.853333333333</v>
      </c>
      <c r="N16" s="18">
        <f>IF(SUM(G$5:G16)=0,0,M16*COUNTIF(G$5:G16,"&lt;&gt;0")/(SUM(B$5:B16))*100)</f>
        <v>-112.66969836920725</v>
      </c>
      <c r="O16" s="19"/>
      <c r="Q16" s="21"/>
    </row>
    <row r="17" spans="1:20" s="20" customFormat="1" ht="13.5" x14ac:dyDescent="0.25">
      <c r="A17" s="49">
        <v>2006</v>
      </c>
      <c r="B17" s="50"/>
      <c r="C17" s="51"/>
      <c r="D17" s="50" t="e">
        <f t="shared" si="10"/>
        <v>#DIV/0!</v>
      </c>
      <c r="E17" s="50"/>
      <c r="F17" s="50" t="e">
        <f t="shared" si="11"/>
        <v>#DIV/0!</v>
      </c>
      <c r="G17" s="50">
        <f t="shared" si="12"/>
        <v>0</v>
      </c>
      <c r="H17" s="18"/>
      <c r="I17" s="18">
        <f t="shared" si="4"/>
        <v>0</v>
      </c>
      <c r="J17" s="18">
        <f t="shared" si="5"/>
        <v>0</v>
      </c>
      <c r="K17" s="18">
        <f t="shared" si="6"/>
        <v>-19052.757999999998</v>
      </c>
      <c r="L17" s="18">
        <f t="shared" si="7"/>
        <v>0</v>
      </c>
      <c r="M17" s="18">
        <f>IF(SUM(G$5:G17)&lt;&gt;0,SUM(G$5:G17)/COUNTIF(G$5:G17,"&lt;&gt;0")," ")</f>
        <v>-58590.853333333333</v>
      </c>
      <c r="N17" s="18">
        <f>IF(SUM(G$5:G17)=0,0,M17*COUNTIF(G$5:G17,"&lt;&gt;0")/(SUM(B$5:B17))*100)</f>
        <v>-112.66969836920725</v>
      </c>
      <c r="O17" s="19"/>
      <c r="Q17" s="21"/>
    </row>
    <row r="18" spans="1:20" s="20" customFormat="1" ht="13.5" x14ac:dyDescent="0.25">
      <c r="A18" s="49">
        <v>2007</v>
      </c>
      <c r="B18" s="50"/>
      <c r="C18" s="51"/>
      <c r="D18" s="50" t="e">
        <f t="shared" si="10"/>
        <v>#DIV/0!</v>
      </c>
      <c r="E18" s="50"/>
      <c r="F18" s="50" t="e">
        <f t="shared" si="11"/>
        <v>#DIV/0!</v>
      </c>
      <c r="G18" s="50">
        <f t="shared" si="12"/>
        <v>0</v>
      </c>
      <c r="H18" s="18"/>
      <c r="I18" s="18">
        <f t="shared" si="4"/>
        <v>0</v>
      </c>
      <c r="J18" s="18">
        <f t="shared" si="5"/>
        <v>0</v>
      </c>
      <c r="K18" s="18">
        <f t="shared" si="6"/>
        <v>0</v>
      </c>
      <c r="L18" s="18">
        <f t="shared" si="7"/>
        <v>0</v>
      </c>
      <c r="M18" s="18">
        <f>IF(SUM(G$5:G18)&lt;&gt;0,SUM(G$5:G18)/COUNTIF(G$5:G18,"&lt;&gt;0")," ")</f>
        <v>-58590.853333333333</v>
      </c>
      <c r="N18" s="18">
        <f>IF(SUM(G$5:G18)=0,0,M18*COUNTIF(G$5:G18,"&lt;&gt;0")/(SUM(B$5:B18))*100)</f>
        <v>-112.66969836920725</v>
      </c>
      <c r="O18" s="19"/>
      <c r="Q18" s="21"/>
    </row>
    <row r="19" spans="1:20" s="20" customFormat="1" ht="13.5" x14ac:dyDescent="0.25">
      <c r="A19" s="49">
        <v>2008</v>
      </c>
      <c r="B19" s="50"/>
      <c r="C19" s="51"/>
      <c r="D19" s="50" t="e">
        <f t="shared" si="10"/>
        <v>#DIV/0!</v>
      </c>
      <c r="E19" s="50"/>
      <c r="F19" s="50" t="e">
        <f t="shared" si="11"/>
        <v>#DIV/0!</v>
      </c>
      <c r="G19" s="50">
        <f t="shared" si="12"/>
        <v>0</v>
      </c>
      <c r="H19" s="18"/>
      <c r="I19" s="18">
        <f t="shared" si="4"/>
        <v>0</v>
      </c>
      <c r="J19" s="18">
        <f t="shared" si="5"/>
        <v>0</v>
      </c>
      <c r="K19" s="18">
        <f t="shared" si="6"/>
        <v>0</v>
      </c>
      <c r="L19" s="18">
        <f t="shared" si="7"/>
        <v>0</v>
      </c>
      <c r="M19" s="18">
        <f>IF(SUM(G$5:G19)&lt;&gt;0,SUM(G$5:G19)/COUNTIF(G$5:G19,"&lt;&gt;0")," ")</f>
        <v>-58590.853333333333</v>
      </c>
      <c r="N19" s="18">
        <f>IF(SUM(G$5:G19)=0,0,M19*COUNTIF(G$5:G19,"&lt;&gt;0")/(SUM(B$5:B19))*100)</f>
        <v>-112.66969836920725</v>
      </c>
      <c r="O19" s="19"/>
      <c r="Q19" s="21"/>
    </row>
    <row r="20" spans="1:20" s="20" customFormat="1" ht="13.5" x14ac:dyDescent="0.25">
      <c r="A20" s="49">
        <v>2009</v>
      </c>
      <c r="B20" s="50"/>
      <c r="C20" s="51">
        <v>732166.92</v>
      </c>
      <c r="D20" s="50" t="e">
        <f t="shared" si="10"/>
        <v>#DIV/0!</v>
      </c>
      <c r="E20" s="50"/>
      <c r="F20" s="50" t="e">
        <f t="shared" si="11"/>
        <v>#DIV/0!</v>
      </c>
      <c r="G20" s="50">
        <f t="shared" si="12"/>
        <v>-732166.92</v>
      </c>
      <c r="H20" s="18"/>
      <c r="I20" s="18">
        <f t="shared" si="4"/>
        <v>-244055.64</v>
      </c>
      <c r="J20" s="18">
        <f t="shared" si="5"/>
        <v>0</v>
      </c>
      <c r="K20" s="18">
        <f t="shared" si="6"/>
        <v>-146433.38400000002</v>
      </c>
      <c r="L20" s="18">
        <f t="shared" si="7"/>
        <v>0</v>
      </c>
      <c r="M20" s="18">
        <f>IF(SUM(G$5:G20)&lt;&gt;0,SUM(G$5:G20)/COUNTIF(G$5:G20,"&lt;&gt;0")," ")</f>
        <v>-226984.87</v>
      </c>
      <c r="N20" s="18">
        <f>IF(SUM(G$5:G20)=0,0,M20*COUNTIF(G$5:G20,"&lt;&gt;0")/(SUM(B$5:B20))*100)</f>
        <v>-581.98655893215005</v>
      </c>
      <c r="O20" s="19"/>
      <c r="Q20" s="21"/>
    </row>
    <row r="21" spans="1:20" s="20" customFormat="1" ht="13.5" x14ac:dyDescent="0.25">
      <c r="A21" s="49">
        <v>2010</v>
      </c>
      <c r="B21" s="50"/>
      <c r="C21" s="51">
        <v>60067.29</v>
      </c>
      <c r="D21" s="50" t="e">
        <f t="shared" si="10"/>
        <v>#DIV/0!</v>
      </c>
      <c r="E21" s="50"/>
      <c r="F21" s="50" t="e">
        <f t="shared" si="11"/>
        <v>#DIV/0!</v>
      </c>
      <c r="G21" s="50">
        <f>(E21-C21)+-35</f>
        <v>-60102.29</v>
      </c>
      <c r="H21" s="18"/>
      <c r="I21" s="18">
        <f t="shared" si="4"/>
        <v>-264089.73666666669</v>
      </c>
      <c r="J21" s="18">
        <f t="shared" si="5"/>
        <v>0</v>
      </c>
      <c r="K21" s="18">
        <f t="shared" si="6"/>
        <v>-158453.842</v>
      </c>
      <c r="L21" s="18">
        <f t="shared" si="7"/>
        <v>0</v>
      </c>
      <c r="M21" s="18">
        <f>IF(SUM(G$5:G21)&lt;&gt;0,SUM(G$5:G21)/COUNTIF(G$5:G21,"&lt;&gt;0")," ")</f>
        <v>-193608.35399999999</v>
      </c>
      <c r="N21" s="18">
        <f>IF(SUM(G$5:G21)=0,0,M21*COUNTIF(G$5:G21,"&lt;&gt;0")/(SUM(B$5:B21))*100)</f>
        <v>-620.51195155087635</v>
      </c>
      <c r="O21" s="19"/>
      <c r="Q21" s="21"/>
    </row>
    <row r="22" spans="1:20" s="20" customFormat="1" ht="13.5" x14ac:dyDescent="0.25">
      <c r="A22" s="49">
        <v>2011</v>
      </c>
      <c r="B22" s="50">
        <v>20133.09</v>
      </c>
      <c r="C22" s="51">
        <v>1497693.88</v>
      </c>
      <c r="D22" s="50">
        <f t="shared" si="10"/>
        <v>7438.9667954596134</v>
      </c>
      <c r="E22" s="50"/>
      <c r="F22" s="50">
        <f t="shared" si="11"/>
        <v>0</v>
      </c>
      <c r="G22" s="50">
        <f t="shared" si="12"/>
        <v>-1497693.88</v>
      </c>
      <c r="H22" s="18">
        <f t="shared" ref="H22:H34" si="13">G22/B22*100</f>
        <v>-7438.9667954596134</v>
      </c>
      <c r="I22" s="18">
        <f t="shared" si="4"/>
        <v>-763321.02999999991</v>
      </c>
      <c r="J22" s="18">
        <f t="shared" si="5"/>
        <v>-11374.126326361229</v>
      </c>
      <c r="K22" s="18">
        <f t="shared" si="6"/>
        <v>-457992.61799999996</v>
      </c>
      <c r="L22" s="18">
        <f t="shared" si="7"/>
        <v>-11374.126326361229</v>
      </c>
      <c r="M22" s="18">
        <f>IF(SUM(G$5:G22)&lt;&gt;0,SUM(G$5:G22)/COUNTIF(G$5:G22,"&lt;&gt;0")," ")</f>
        <v>-410955.94166666665</v>
      </c>
      <c r="N22" s="18">
        <f>IF(SUM(G$5:G22)=0,0,M22*COUNTIF(G$5:G22,"&lt;&gt;0")/(SUM(B$5:B22))*100)</f>
        <v>-1399.8723118264306</v>
      </c>
      <c r="O22" s="19"/>
      <c r="Q22" s="21"/>
    </row>
    <row r="23" spans="1:20" s="20" customFormat="1" ht="13.5" x14ac:dyDescent="0.25">
      <c r="A23" s="49">
        <v>2012</v>
      </c>
      <c r="B23" s="50"/>
      <c r="C23" s="51">
        <v>242483.99</v>
      </c>
      <c r="D23" s="50" t="e">
        <f t="shared" si="10"/>
        <v>#DIV/0!</v>
      </c>
      <c r="E23" s="50"/>
      <c r="F23" s="50" t="e">
        <f t="shared" si="11"/>
        <v>#DIV/0!</v>
      </c>
      <c r="G23" s="50">
        <f t="shared" si="12"/>
        <v>-242483.99</v>
      </c>
      <c r="H23" s="18"/>
      <c r="I23" s="18">
        <f t="shared" si="4"/>
        <v>-600093.3866666666</v>
      </c>
      <c r="J23" s="18">
        <f t="shared" si="5"/>
        <v>-8941.8969467677325</v>
      </c>
      <c r="K23" s="18">
        <f t="shared" si="6"/>
        <v>-506489.41600000003</v>
      </c>
      <c r="L23" s="18">
        <f t="shared" si="7"/>
        <v>-12578.531561722519</v>
      </c>
      <c r="M23" s="18">
        <f>IF(SUM(G$5:G23)&lt;&gt;0,SUM(G$5:G23)/COUNTIF(G$5:G23,"&lt;&gt;0")," ")</f>
        <v>-386888.51999999996</v>
      </c>
      <c r="N23" s="18">
        <f>IF(SUM(G$5:G23)=0,0,M23*COUNTIF(G$5:G23,"&lt;&gt;0")/(SUM(B$5:B23))*100)</f>
        <v>-1537.5377682439491</v>
      </c>
      <c r="O23" s="19"/>
      <c r="Q23" s="21"/>
    </row>
    <row r="24" spans="1:20" s="20" customFormat="1" ht="13.5" x14ac:dyDescent="0.25">
      <c r="A24" s="49">
        <v>2013</v>
      </c>
      <c r="B24" s="50">
        <v>6754.68</v>
      </c>
      <c r="C24" s="51"/>
      <c r="D24" s="50">
        <f t="shared" si="10"/>
        <v>0</v>
      </c>
      <c r="E24" s="50"/>
      <c r="F24" s="50">
        <f t="shared" si="11"/>
        <v>0</v>
      </c>
      <c r="G24" s="50">
        <f t="shared" si="12"/>
        <v>0</v>
      </c>
      <c r="H24" s="18">
        <f t="shared" si="13"/>
        <v>0</v>
      </c>
      <c r="I24" s="18">
        <f t="shared" si="4"/>
        <v>-580059.28999999992</v>
      </c>
      <c r="J24" s="18">
        <f t="shared" si="5"/>
        <v>-6472.0051904639167</v>
      </c>
      <c r="K24" s="18">
        <f t="shared" si="6"/>
        <v>-506489.41600000003</v>
      </c>
      <c r="L24" s="18">
        <f t="shared" si="7"/>
        <v>-9418.5835418854003</v>
      </c>
      <c r="M24" s="18">
        <f>IF(SUM(G$5:G24)&lt;&gt;0,SUM(G$5:G24)/COUNTIF(G$5:G24,"&lt;&gt;0")," ")</f>
        <v>-386888.51999999996</v>
      </c>
      <c r="N24" s="18">
        <f>IF(SUM(G$5:G24)=0,0,M24*COUNTIF(G$5:G24,"&lt;&gt;0")/(SUM(B$5:B24))*100)</f>
        <v>-1480.7533208175719</v>
      </c>
      <c r="O24" s="19"/>
      <c r="Q24" s="21"/>
    </row>
    <row r="25" spans="1:20" s="20" customFormat="1" ht="13.5" x14ac:dyDescent="0.25">
      <c r="A25" s="49">
        <v>2014</v>
      </c>
      <c r="B25" s="50"/>
      <c r="C25" s="51">
        <v>2937615.12</v>
      </c>
      <c r="D25" s="50" t="e">
        <f t="shared" si="10"/>
        <v>#DIV/0!</v>
      </c>
      <c r="E25" s="50"/>
      <c r="F25" s="50" t="e">
        <f t="shared" si="11"/>
        <v>#DIV/0!</v>
      </c>
      <c r="G25" s="50">
        <f t="shared" si="12"/>
        <v>-2937615.12</v>
      </c>
      <c r="H25" s="18"/>
      <c r="I25" s="18">
        <f t="shared" si="4"/>
        <v>-1060033.0366666669</v>
      </c>
      <c r="J25" s="18">
        <f t="shared" si="5"/>
        <v>-47079.937317533928</v>
      </c>
      <c r="K25" s="18">
        <f t="shared" si="6"/>
        <v>-947579.0560000001</v>
      </c>
      <c r="L25" s="18">
        <f t="shared" si="7"/>
        <v>-17621.004940164246</v>
      </c>
      <c r="M25" s="18">
        <f>IF(SUM(G$5:G25)&lt;&gt;0,SUM(G$5:G25)/COUNTIF(G$5:G25,"&lt;&gt;0")," ")</f>
        <v>-705729.34499999997</v>
      </c>
      <c r="N25" s="18">
        <f>IF(SUM(G$5:G25)=0,0,M25*COUNTIF(G$5:G25,"&lt;&gt;0")/(SUM(B$5:B25))*100)</f>
        <v>-3086.9315199476505</v>
      </c>
      <c r="O25" s="19"/>
      <c r="Q25" s="21"/>
    </row>
    <row r="26" spans="1:20" s="20" customFormat="1" ht="14.5" x14ac:dyDescent="0.35">
      <c r="A26" s="49">
        <v>2015</v>
      </c>
      <c r="B26" s="50">
        <v>3765716.87</v>
      </c>
      <c r="C26" s="51">
        <v>23984280.400000002</v>
      </c>
      <c r="D26" s="50">
        <f t="shared" si="10"/>
        <v>636.91140964615329</v>
      </c>
      <c r="E26" s="50"/>
      <c r="F26" s="50">
        <f t="shared" si="11"/>
        <v>0</v>
      </c>
      <c r="G26" s="50">
        <f t="shared" si="12"/>
        <v>-23984280.400000002</v>
      </c>
      <c r="H26" s="18">
        <f t="shared" si="13"/>
        <v>-636.91140964615329</v>
      </c>
      <c r="I26" s="18">
        <f t="shared" si="4"/>
        <v>-8973965.1733333338</v>
      </c>
      <c r="J26" s="18">
        <f t="shared" si="5"/>
        <v>-713.64078332148051</v>
      </c>
      <c r="K26" s="18">
        <f t="shared" si="6"/>
        <v>-5732414.6780000003</v>
      </c>
      <c r="L26" s="18">
        <f t="shared" si="7"/>
        <v>-755.73586257068973</v>
      </c>
      <c r="M26" s="18">
        <f>IF(SUM(G$5:G26)&lt;&gt;0,SUM(G$5:G26)/COUNTIF(G$5:G26,"&lt;&gt;0")," ")</f>
        <v>-3292235.0177777782</v>
      </c>
      <c r="N26" s="18">
        <f>IF(SUM(G$5:G26)=0,0,M26*COUNTIF(G$5:G26,"&lt;&gt;0")/(SUM(B$5:B26))*100)</f>
        <v>-750.39325810214723</v>
      </c>
      <c r="O26" s="19"/>
      <c r="P26" s="22"/>
      <c r="Q26" s="21"/>
      <c r="T26" s="17"/>
    </row>
    <row r="27" spans="1:20" s="20" customFormat="1" ht="13.5" x14ac:dyDescent="0.25">
      <c r="A27" s="49">
        <v>2016</v>
      </c>
      <c r="B27" s="50">
        <f>382144.92+783650</f>
        <v>1165794.92</v>
      </c>
      <c r="C27" s="51">
        <v>4172720.2300000004</v>
      </c>
      <c r="D27" s="50">
        <f t="shared" si="10"/>
        <v>357.92918277598955</v>
      </c>
      <c r="E27" s="50"/>
      <c r="F27" s="50">
        <f t="shared" si="11"/>
        <v>0</v>
      </c>
      <c r="G27" s="50">
        <f>(E27-C27)+-169212</f>
        <v>-4341932.2300000004</v>
      </c>
      <c r="H27" s="18">
        <f t="shared" si="13"/>
        <v>-372.44391406337581</v>
      </c>
      <c r="I27" s="18">
        <f t="shared" si="4"/>
        <v>-10421275.916666668</v>
      </c>
      <c r="J27" s="18">
        <f t="shared" si="5"/>
        <v>-633.96031645703522</v>
      </c>
      <c r="K27" s="18">
        <f t="shared" si="6"/>
        <v>-6301262.3480000002</v>
      </c>
      <c r="L27" s="18">
        <f t="shared" si="7"/>
        <v>-638.00347614696454</v>
      </c>
      <c r="M27" s="18">
        <f>IF(SUM(G$5:G27)&lt;&gt;0,SUM(G$5:G27)/COUNTIF(G$5:G27,"&lt;&gt;0")," ")</f>
        <v>-3397204.7390000001</v>
      </c>
      <c r="N27" s="18">
        <f>IF(SUM(G$5:G27)=0,0,M27*COUNTIF(G$5:G27,"&lt;&gt;0")/(SUM(B$5:B27))*100)</f>
        <v>-664.24222094148718</v>
      </c>
      <c r="O27" s="19"/>
      <c r="P27" s="22"/>
      <c r="Q27" s="21"/>
    </row>
    <row r="28" spans="1:20" s="20" customFormat="1" ht="13.5" x14ac:dyDescent="0.25">
      <c r="A28" s="49">
        <v>2017</v>
      </c>
      <c r="B28" s="50">
        <v>439422.75</v>
      </c>
      <c r="C28" s="51"/>
      <c r="D28" s="50">
        <f t="shared" si="10"/>
        <v>0</v>
      </c>
      <c r="E28" s="50"/>
      <c r="F28" s="50">
        <f t="shared" si="11"/>
        <v>0</v>
      </c>
      <c r="G28" s="50">
        <v>-6776.52</v>
      </c>
      <c r="H28" s="18">
        <f t="shared" si="13"/>
        <v>-1.5421413661445613</v>
      </c>
      <c r="I28" s="18">
        <f t="shared" si="4"/>
        <v>-9444329.7166666668</v>
      </c>
      <c r="J28" s="18">
        <f t="shared" si="5"/>
        <v>-527.52438032879093</v>
      </c>
      <c r="K28" s="18">
        <f t="shared" si="6"/>
        <v>-6254120.8540000003</v>
      </c>
      <c r="L28" s="18">
        <f t="shared" si="7"/>
        <v>-581.48775413987198</v>
      </c>
      <c r="M28" s="18">
        <f>IF(SUM(G$5:G28)&lt;&gt;0,SUM(G$5:G28)/COUNTIF(G$5:G28,"&lt;&gt;0")," ")</f>
        <v>-3088983.9918181822</v>
      </c>
      <c r="N28" s="18">
        <f>IF(SUM(G$5:G28)=0,0,M28*COUNTIF(G$5:G28,"&lt;&gt;0")/(SUM(B$5:B28))*100)</f>
        <v>-611.80893972963088</v>
      </c>
      <c r="O28" s="19"/>
      <c r="P28" s="22"/>
      <c r="Q28" s="21"/>
    </row>
    <row r="29" spans="1:20" s="20" customFormat="1" ht="13.5" x14ac:dyDescent="0.25">
      <c r="A29" s="49">
        <v>2018</v>
      </c>
      <c r="B29" s="50"/>
      <c r="C29" s="51"/>
      <c r="D29" s="50" t="e">
        <f t="shared" si="10"/>
        <v>#DIV/0!</v>
      </c>
      <c r="E29" s="50"/>
      <c r="F29" s="50" t="e">
        <f t="shared" si="11"/>
        <v>#DIV/0!</v>
      </c>
      <c r="G29" s="50">
        <f t="shared" si="12"/>
        <v>0</v>
      </c>
      <c r="H29" s="18"/>
      <c r="I29" s="18">
        <f t="shared" si="4"/>
        <v>-1449569.5833333333</v>
      </c>
      <c r="J29" s="18">
        <f t="shared" si="5"/>
        <v>-270.91084475789506</v>
      </c>
      <c r="K29" s="18">
        <f t="shared" si="6"/>
        <v>-6254120.8540000003</v>
      </c>
      <c r="L29" s="18">
        <f t="shared" si="7"/>
        <v>-582.21905400470587</v>
      </c>
      <c r="M29" s="18">
        <f>IF(SUM(G$5:G29)&lt;&gt;0,SUM(G$5:G29)/COUNTIF(G$5:G29,"&lt;&gt;0")," ")</f>
        <v>-3088983.9918181822</v>
      </c>
      <c r="N29" s="18">
        <f>IF(SUM(G$5:G29)=0,0,M29*COUNTIF(G$5:G29,"&lt;&gt;0")/(SUM(B$5:B29))*100)</f>
        <v>-611.80893972963088</v>
      </c>
      <c r="O29" s="19"/>
      <c r="P29" s="22"/>
      <c r="Q29" s="21"/>
    </row>
    <row r="30" spans="1:20" s="20" customFormat="1" ht="13.5" x14ac:dyDescent="0.25">
      <c r="A30" s="49">
        <v>2019</v>
      </c>
      <c r="B30" s="50">
        <v>2401819.2200000002</v>
      </c>
      <c r="C30" s="51"/>
      <c r="D30" s="50">
        <f t="shared" si="10"/>
        <v>0</v>
      </c>
      <c r="E30" s="50"/>
      <c r="F30" s="50">
        <f t="shared" si="11"/>
        <v>0</v>
      </c>
      <c r="G30" s="50">
        <v>-201574.34</v>
      </c>
      <c r="H30" s="18">
        <f t="shared" si="13"/>
        <v>-8.3925691959447288</v>
      </c>
      <c r="I30" s="18">
        <f t="shared" si="4"/>
        <v>-69450.286666666667</v>
      </c>
      <c r="J30" s="18">
        <f t="shared" si="5"/>
        <v>-7.3330910284983579</v>
      </c>
      <c r="K30" s="18">
        <f t="shared" si="6"/>
        <v>-5706912.6980000008</v>
      </c>
      <c r="L30" s="18">
        <f t="shared" si="7"/>
        <v>-367.11009213805335</v>
      </c>
      <c r="M30" s="18">
        <f>IF(SUM(G$5:G30)&lt;&gt;0,SUM(G$5:G30)/COUNTIF(G$5:G30,"&lt;&gt;0")," ")</f>
        <v>-2848366.520833334</v>
      </c>
      <c r="N30" s="18">
        <f>IF(SUM(G$5:G30)=0,0,M30*COUNTIF(G$5:G30,"&lt;&gt;0")/(SUM(B$5:B30))*100)</f>
        <v>-429.63685909360345</v>
      </c>
      <c r="O30" s="19"/>
      <c r="P30" s="22"/>
      <c r="Q30" s="21"/>
    </row>
    <row r="31" spans="1:20" s="20" customFormat="1" ht="13.5" x14ac:dyDescent="0.25">
      <c r="A31" s="49">
        <v>2020</v>
      </c>
      <c r="B31" s="51">
        <v>68999.289999999994</v>
      </c>
      <c r="C31" s="51"/>
      <c r="D31" s="50">
        <f t="shared" si="10"/>
        <v>0</v>
      </c>
      <c r="E31" s="50"/>
      <c r="F31" s="50">
        <f t="shared" si="11"/>
        <v>0</v>
      </c>
      <c r="G31" s="50">
        <v>-189379.48</v>
      </c>
      <c r="H31" s="18">
        <f t="shared" si="13"/>
        <v>-274.46583870645628</v>
      </c>
      <c r="I31" s="18">
        <f t="shared" si="4"/>
        <v>-130317.94</v>
      </c>
      <c r="J31" s="18">
        <f t="shared" si="5"/>
        <v>-15.822846494702681</v>
      </c>
      <c r="K31" s="18">
        <f t="shared" si="6"/>
        <v>-947932.51400000008</v>
      </c>
      <c r="L31" s="18">
        <f t="shared" si="7"/>
        <v>-116.28117025202658</v>
      </c>
      <c r="M31" s="18">
        <f>IF(SUM(G$5:G31)&lt;&gt;0,SUM(G$5:G31)/COUNTIF(G$5:G31,"&lt;&gt;0")," ")</f>
        <v>-2643829.0561538464</v>
      </c>
      <c r="N31" s="18">
        <f>IF(SUM(G$5:G31)=0,0,M31*COUNTIF(G$5:G31,"&lt;&gt;0")/(SUM(B$5:B31))*100)</f>
        <v>-428.3026335248108</v>
      </c>
      <c r="O31" s="19"/>
      <c r="P31" s="22"/>
      <c r="Q31" s="21"/>
    </row>
    <row r="32" spans="1:20" s="20" customFormat="1" ht="13.5" x14ac:dyDescent="0.25">
      <c r="A32" s="49">
        <v>2021</v>
      </c>
      <c r="B32" s="51">
        <v>6989103.7599999998</v>
      </c>
      <c r="C32" s="51"/>
      <c r="D32" s="50"/>
      <c r="E32" s="50"/>
      <c r="F32" s="50"/>
      <c r="G32" s="50">
        <v>-208338.39</v>
      </c>
      <c r="H32" s="18">
        <f t="shared" si="13"/>
        <v>-2.9809028046251242</v>
      </c>
      <c r="I32" s="18">
        <f t="shared" si="4"/>
        <v>-199764.06999999998</v>
      </c>
      <c r="J32" s="18">
        <f t="shared" si="5"/>
        <v>-6.3350648440370323</v>
      </c>
      <c r="K32" s="18">
        <f t="shared" si="6"/>
        <v>-121213.746</v>
      </c>
      <c r="L32" s="18">
        <f t="shared" si="7"/>
        <v>-6.1223114132858054</v>
      </c>
      <c r="M32" s="18">
        <f>IF(SUM(G$5:G32)&lt;&gt;0,SUM(G$5:G32)/COUNTIF(G$5:G32,"&lt;&gt;0")," ")</f>
        <v>-2469865.4371428574</v>
      </c>
      <c r="N32" s="18">
        <f>IF(SUM(G$5:G32)=0,0,M32*COUNTIF(G$5:G32,"&lt;&gt;0")/(SUM(B$5:B32))*100)</f>
        <v>-230.30963347772948</v>
      </c>
      <c r="O32" s="19"/>
      <c r="P32" s="22"/>
      <c r="Q32" s="21"/>
    </row>
    <row r="33" spans="1:15" s="20" customFormat="1" ht="13.5" x14ac:dyDescent="0.25">
      <c r="A33" s="23"/>
      <c r="B33" s="24"/>
      <c r="C33" s="24"/>
      <c r="D33" s="25"/>
      <c r="E33" s="50"/>
      <c r="F33" s="18"/>
      <c r="G33" s="50"/>
      <c r="H33" s="25"/>
      <c r="I33" s="18"/>
      <c r="J33" s="18"/>
      <c r="K33" s="18"/>
      <c r="L33" s="18"/>
      <c r="M33" s="18"/>
      <c r="N33" s="18"/>
      <c r="O33" s="19"/>
    </row>
    <row r="34" spans="1:15" s="32" customFormat="1" ht="30" customHeight="1" x14ac:dyDescent="0.3">
      <c r="A34" s="26" t="s">
        <v>17</v>
      </c>
      <c r="B34" s="27">
        <f>SUM(B5:B33)</f>
        <v>15013751.530000001</v>
      </c>
      <c r="C34" s="27">
        <f>SUM(C5:C33)</f>
        <v>33802800.390000001</v>
      </c>
      <c r="D34" s="28">
        <f t="shared" si="10"/>
        <v>225.14559617199151</v>
      </c>
      <c r="E34" s="29">
        <f>SUM(E5:E33)</f>
        <v>0</v>
      </c>
      <c r="F34" s="28">
        <f>E34/B34*100</f>
        <v>0</v>
      </c>
      <c r="G34" s="29">
        <f>SUM(G5:G33)</f>
        <v>-34578116.120000005</v>
      </c>
      <c r="H34" s="28">
        <f t="shared" si="13"/>
        <v>-230.30963347772948</v>
      </c>
      <c r="I34" s="30"/>
      <c r="J34" s="30"/>
      <c r="K34" s="30"/>
      <c r="L34" s="30"/>
      <c r="M34" s="30"/>
      <c r="N34" s="30"/>
      <c r="O34" s="31"/>
    </row>
    <row r="36" spans="1:15" x14ac:dyDescent="0.35">
      <c r="B36" s="38"/>
    </row>
    <row r="37" spans="1:15" x14ac:dyDescent="0.35">
      <c r="B37" s="38"/>
    </row>
  </sheetData>
  <conditionalFormatting sqref="A5:XFD21 A23:XFD23 A22 C22:XFD22 A24 C24:XFD24 A31:A32 C31:F32 A29:XFD29 A28:F28 H28:XFD28 A30:F30 A25:XFD27 H30:XFD32">
    <cfRule type="expression" dxfId="65" priority="7">
      <formula>MOD(ROW(),2)=0</formula>
    </cfRule>
  </conditionalFormatting>
  <conditionalFormatting sqref="A33:XFD34">
    <cfRule type="expression" dxfId="64" priority="6">
      <formula>MOD(ROW(),2)=0</formula>
    </cfRule>
  </conditionalFormatting>
  <conditionalFormatting sqref="B22">
    <cfRule type="expression" dxfId="63" priority="5">
      <formula>MOD(ROW(),2)=0</formula>
    </cfRule>
  </conditionalFormatting>
  <conditionalFormatting sqref="B24">
    <cfRule type="expression" dxfId="62" priority="4">
      <formula>MOD(ROW(),2)=0</formula>
    </cfRule>
  </conditionalFormatting>
  <conditionalFormatting sqref="B31:B32">
    <cfRule type="expression" dxfId="61" priority="3">
      <formula>MOD(ROW(),2)=0</formula>
    </cfRule>
  </conditionalFormatting>
  <conditionalFormatting sqref="G28">
    <cfRule type="expression" dxfId="60" priority="2">
      <formula>MOD(ROW(),2)=0</formula>
    </cfRule>
  </conditionalFormatting>
  <conditionalFormatting sqref="G30:G32">
    <cfRule type="expression" dxfId="59" priority="1">
      <formula>MOD(ROW(),2)=0</formula>
    </cfRule>
  </conditionalFormatting>
  <printOptions horizontalCentered="1"/>
  <pageMargins left="0.7" right="0.7" top="0.75" bottom="0.75" header="0.3" footer="0.3"/>
  <pageSetup scale="90" orientation="landscape" r:id="rId1"/>
  <rowBreaks count="1" manualBreakCount="1">
    <brk id="30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B8E4E-ED22-4AB8-B082-B1224A9ABA0D}">
  <dimension ref="A1:Q35"/>
  <sheetViews>
    <sheetView tabSelected="1" topLeftCell="A7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6.1796875" style="34" bestFit="1" customWidth="1"/>
    <col min="3" max="3" width="13.81640625" style="34" hidden="1" customWidth="1"/>
    <col min="4" max="6" width="12.54296875" style="35" hidden="1" customWidth="1"/>
    <col min="7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20</v>
      </c>
      <c r="B2" s="40"/>
      <c r="C2" s="40"/>
      <c r="D2" s="40"/>
      <c r="E2" s="40"/>
      <c r="F2" s="40"/>
      <c r="G2" s="47"/>
      <c r="H2" s="41"/>
      <c r="I2" s="42"/>
      <c r="J2" s="42"/>
      <c r="K2" s="42"/>
      <c r="L2" s="42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45"/>
      <c r="K3" s="45"/>
      <c r="L3" s="45"/>
      <c r="M3" s="9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1996</v>
      </c>
      <c r="B5" s="50">
        <v>81441.87</v>
      </c>
      <c r="C5" s="51">
        <v>90734.97</v>
      </c>
      <c r="D5" s="50">
        <f t="shared" ref="D5:D32" si="0">C5/B5*100</f>
        <v>111.41071539737484</v>
      </c>
      <c r="E5" s="50">
        <v>89045.42</v>
      </c>
      <c r="F5" s="50">
        <f t="shared" ref="F5:F29" si="1">E5/B5*100</f>
        <v>109.33616823876957</v>
      </c>
      <c r="G5" s="50">
        <f t="shared" ref="G5:G12" si="2">E5-C5</f>
        <v>-1689.5500000000029</v>
      </c>
      <c r="H5" s="18">
        <f t="shared" ref="H5:H32" si="3">G5/B5*100</f>
        <v>-2.0745471586052764</v>
      </c>
      <c r="I5" s="18"/>
      <c r="J5" s="18"/>
      <c r="K5" s="18"/>
      <c r="L5" s="18"/>
      <c r="M5" s="18">
        <f>IF(SUM(G$5:G5)&lt;&gt;0,SUM(G$5:G5)/COUNTIF(G$5:G5,"&lt;&gt;0")," ")</f>
        <v>-1689.5500000000029</v>
      </c>
      <c r="N5" s="18">
        <f>IF(SUM(G$5:G5)=0,0,M5*COUNTIF(G$5:G5,"&lt;&gt;0")/(SUM(B$5:B5))*100)</f>
        <v>-2.0745471586052764</v>
      </c>
      <c r="O5" s="19"/>
      <c r="Q5" s="21"/>
    </row>
    <row r="6" spans="1:17" s="20" customFormat="1" ht="13.5" x14ac:dyDescent="0.25">
      <c r="A6" s="49">
        <v>1997</v>
      </c>
      <c r="B6" s="50"/>
      <c r="C6" s="51"/>
      <c r="D6" s="50" t="e">
        <f t="shared" si="0"/>
        <v>#DIV/0!</v>
      </c>
      <c r="E6" s="50"/>
      <c r="F6" s="50" t="e">
        <f t="shared" si="1"/>
        <v>#DIV/0!</v>
      </c>
      <c r="G6" s="50">
        <f t="shared" si="2"/>
        <v>0</v>
      </c>
      <c r="H6" s="18"/>
      <c r="I6" s="18"/>
      <c r="J6" s="18"/>
      <c r="K6" s="18"/>
      <c r="L6" s="18"/>
      <c r="M6" s="18">
        <f>IF(SUM(G$5:G6)&lt;&gt;0,SUM(G$5:G6)/COUNTIF(G$5:G6,"&lt;&gt;0")," ")</f>
        <v>-1689.5500000000029</v>
      </c>
      <c r="N6" s="18">
        <f>IF(SUM(G$5:G6)=0,0,M6*COUNTIF(G$5:G6,"&lt;&gt;0")/(SUM(B$5:B6))*100)</f>
        <v>-2.0745471586052764</v>
      </c>
      <c r="O6" s="19"/>
      <c r="Q6" s="21"/>
    </row>
    <row r="7" spans="1:17" s="20" customFormat="1" ht="13.5" x14ac:dyDescent="0.25">
      <c r="A7" s="49">
        <v>1998</v>
      </c>
      <c r="B7" s="50"/>
      <c r="C7" s="51"/>
      <c r="D7" s="50" t="e">
        <f t="shared" si="0"/>
        <v>#DIV/0!</v>
      </c>
      <c r="E7" s="50"/>
      <c r="F7" s="50" t="e">
        <f t="shared" si="1"/>
        <v>#DIV/0!</v>
      </c>
      <c r="G7" s="50">
        <f t="shared" si="2"/>
        <v>0</v>
      </c>
      <c r="H7" s="18"/>
      <c r="I7" s="18">
        <f t="shared" ref="I7:I30" si="4">SUM(G5:G7)/3</f>
        <v>-563.1833333333343</v>
      </c>
      <c r="J7" s="18">
        <f t="shared" ref="J7:J30" si="5">IF(SUM(B5:B7)=0,0,I7/(SUM(B5:B7)/3)*100)</f>
        <v>-2.0745471586052764</v>
      </c>
      <c r="K7" s="18"/>
      <c r="L7" s="18"/>
      <c r="M7" s="18">
        <f>IF(SUM(G$5:G7)&lt;&gt;0,SUM(G$5:G7)/COUNTIF(G$5:G7,"&lt;&gt;0")," ")</f>
        <v>-1689.5500000000029</v>
      </c>
      <c r="N7" s="18">
        <f>IF(SUM(G$5:G7)=0,0,M7*COUNTIF(G$5:G7,"&lt;&gt;0")/(SUM(B$5:B7))*100)</f>
        <v>-2.0745471586052764</v>
      </c>
      <c r="O7" s="19"/>
      <c r="Q7" s="21"/>
    </row>
    <row r="8" spans="1:17" s="20" customFormat="1" ht="13.5" x14ac:dyDescent="0.25">
      <c r="A8" s="49">
        <v>1999</v>
      </c>
      <c r="B8" s="50"/>
      <c r="C8" s="51"/>
      <c r="D8" s="50" t="e">
        <f t="shared" si="0"/>
        <v>#DIV/0!</v>
      </c>
      <c r="E8" s="50"/>
      <c r="F8" s="50" t="e">
        <f t="shared" si="1"/>
        <v>#DIV/0!</v>
      </c>
      <c r="G8" s="50">
        <f t="shared" si="2"/>
        <v>0</v>
      </c>
      <c r="H8" s="18"/>
      <c r="I8" s="18">
        <f t="shared" si="4"/>
        <v>0</v>
      </c>
      <c r="J8" s="18">
        <f t="shared" si="5"/>
        <v>0</v>
      </c>
      <c r="K8" s="18"/>
      <c r="L8" s="18"/>
      <c r="M8" s="18">
        <f>IF(SUM(G$5:G8)&lt;&gt;0,SUM(G$5:G8)/COUNTIF(G$5:G8,"&lt;&gt;0")," ")</f>
        <v>-1689.5500000000029</v>
      </c>
      <c r="N8" s="18">
        <f>IF(SUM(G$5:G8)=0,0,M8*COUNTIF(G$5:G8,"&lt;&gt;0")/(SUM(B$5:B8))*100)</f>
        <v>-2.0745471586052764</v>
      </c>
      <c r="O8" s="19"/>
      <c r="Q8" s="21"/>
    </row>
    <row r="9" spans="1:17" s="20" customFormat="1" ht="13.5" x14ac:dyDescent="0.25">
      <c r="A9" s="49">
        <v>2000</v>
      </c>
      <c r="B9" s="50"/>
      <c r="C9" s="51"/>
      <c r="D9" s="50" t="e">
        <f t="shared" si="0"/>
        <v>#DIV/0!</v>
      </c>
      <c r="E9" s="50"/>
      <c r="F9" s="50" t="e">
        <f t="shared" si="1"/>
        <v>#DIV/0!</v>
      </c>
      <c r="G9" s="50">
        <f t="shared" si="2"/>
        <v>0</v>
      </c>
      <c r="H9" s="18"/>
      <c r="I9" s="18">
        <f t="shared" si="4"/>
        <v>0</v>
      </c>
      <c r="J9" s="18">
        <f t="shared" si="5"/>
        <v>0</v>
      </c>
      <c r="K9" s="18">
        <f t="shared" ref="K9:K30" si="6">SUM(G5:G9)/5</f>
        <v>-337.91000000000059</v>
      </c>
      <c r="L9" s="18">
        <f t="shared" ref="L9:L30" si="7">IF(SUM(B5:B9)=0,0,K9/(SUM(B5:B9)/5)*100)</f>
        <v>-2.0745471586052764</v>
      </c>
      <c r="M9" s="18">
        <f>IF(SUM(G$5:G9)&lt;&gt;0,SUM(G$5:G9)/COUNTIF(G$5:G9,"&lt;&gt;0")," ")</f>
        <v>-1689.5500000000029</v>
      </c>
      <c r="N9" s="18">
        <f>IF(SUM(G$5:G9)=0,0,M9*COUNTIF(G$5:G9,"&lt;&gt;0")/(SUM(B$5:B9))*100)</f>
        <v>-2.0745471586052764</v>
      </c>
      <c r="O9" s="19"/>
      <c r="Q9" s="21"/>
    </row>
    <row r="10" spans="1:17" s="20" customFormat="1" ht="13.5" x14ac:dyDescent="0.25">
      <c r="A10" s="49">
        <v>2001</v>
      </c>
      <c r="B10" s="50"/>
      <c r="C10" s="51"/>
      <c r="D10" s="50" t="e">
        <f t="shared" si="0"/>
        <v>#DIV/0!</v>
      </c>
      <c r="E10" s="50"/>
      <c r="F10" s="50" t="e">
        <f t="shared" si="1"/>
        <v>#DIV/0!</v>
      </c>
      <c r="G10" s="50">
        <f t="shared" si="2"/>
        <v>0</v>
      </c>
      <c r="H10" s="18"/>
      <c r="I10" s="18">
        <f t="shared" si="4"/>
        <v>0</v>
      </c>
      <c r="J10" s="18">
        <f t="shared" si="5"/>
        <v>0</v>
      </c>
      <c r="K10" s="18">
        <f t="shared" si="6"/>
        <v>0</v>
      </c>
      <c r="L10" s="18">
        <f t="shared" si="7"/>
        <v>0</v>
      </c>
      <c r="M10" s="18">
        <f>IF(SUM(G$5:G10)&lt;&gt;0,SUM(G$5:G10)/COUNTIF(G$5:G10,"&lt;&gt;0")," ")</f>
        <v>-1689.5500000000029</v>
      </c>
      <c r="N10" s="18">
        <f>IF(SUM(G$5:G10)=0,0,M10*COUNTIF(G$5:G10,"&lt;&gt;0")/(SUM(B$5:B10))*100)</f>
        <v>-2.0745471586052764</v>
      </c>
      <c r="O10" s="19"/>
      <c r="Q10" s="21"/>
    </row>
    <row r="11" spans="1:17" s="20" customFormat="1" ht="13.5" x14ac:dyDescent="0.25">
      <c r="A11" s="49">
        <v>2002</v>
      </c>
      <c r="B11" s="50"/>
      <c r="C11" s="51"/>
      <c r="D11" s="50" t="e">
        <f t="shared" si="0"/>
        <v>#DIV/0!</v>
      </c>
      <c r="E11" s="50"/>
      <c r="F11" s="50" t="e">
        <f t="shared" si="1"/>
        <v>#DIV/0!</v>
      </c>
      <c r="G11" s="50">
        <f t="shared" si="2"/>
        <v>0</v>
      </c>
      <c r="H11" s="18"/>
      <c r="I11" s="18">
        <f t="shared" si="4"/>
        <v>0</v>
      </c>
      <c r="J11" s="18">
        <f t="shared" si="5"/>
        <v>0</v>
      </c>
      <c r="K11" s="18">
        <f t="shared" si="6"/>
        <v>0</v>
      </c>
      <c r="L11" s="18">
        <f t="shared" si="7"/>
        <v>0</v>
      </c>
      <c r="M11" s="18">
        <f>IF(SUM(G$5:G11)&lt;&gt;0,SUM(G$5:G11)/COUNTIF(G$5:G11,"&lt;&gt;0")," ")</f>
        <v>-1689.5500000000029</v>
      </c>
      <c r="N11" s="18">
        <f>IF(SUM(G$5:G11)=0,0,M11*COUNTIF(G$5:G11,"&lt;&gt;0")/(SUM(B$5:B11))*100)</f>
        <v>-2.0745471586052764</v>
      </c>
      <c r="O11" s="19"/>
      <c r="Q11" s="21"/>
    </row>
    <row r="12" spans="1:17" s="20" customFormat="1" ht="13.5" x14ac:dyDescent="0.25">
      <c r="A12" s="49">
        <v>2003</v>
      </c>
      <c r="B12" s="50"/>
      <c r="C12" s="51"/>
      <c r="D12" s="50" t="e">
        <f t="shared" si="0"/>
        <v>#DIV/0!</v>
      </c>
      <c r="E12" s="50"/>
      <c r="F12" s="50" t="e">
        <f t="shared" si="1"/>
        <v>#DIV/0!</v>
      </c>
      <c r="G12" s="50">
        <f t="shared" si="2"/>
        <v>0</v>
      </c>
      <c r="H12" s="18"/>
      <c r="I12" s="18">
        <f t="shared" si="4"/>
        <v>0</v>
      </c>
      <c r="J12" s="18">
        <f t="shared" si="5"/>
        <v>0</v>
      </c>
      <c r="K12" s="18">
        <f t="shared" si="6"/>
        <v>0</v>
      </c>
      <c r="L12" s="18">
        <f t="shared" si="7"/>
        <v>0</v>
      </c>
      <c r="M12" s="18">
        <f>IF(SUM(G$5:G12)&lt;&gt;0,SUM(G$5:G12)/COUNTIF(G$5:G12,"&lt;&gt;0")," ")</f>
        <v>-1689.5500000000029</v>
      </c>
      <c r="N12" s="18">
        <f>IF(SUM(G$5:G12)=0,0,M12*COUNTIF(G$5:G12,"&lt;&gt;0")/(SUM(B$5:B12))*100)</f>
        <v>-2.0745471586052764</v>
      </c>
      <c r="O12" s="19"/>
      <c r="Q12" s="21"/>
    </row>
    <row r="13" spans="1:17" s="20" customFormat="1" ht="13.5" x14ac:dyDescent="0.25">
      <c r="A13" s="49">
        <v>2004</v>
      </c>
      <c r="B13" s="50"/>
      <c r="C13" s="51"/>
      <c r="D13" s="50" t="e">
        <f t="shared" si="0"/>
        <v>#DIV/0!</v>
      </c>
      <c r="E13" s="50"/>
      <c r="F13" s="50" t="e">
        <f t="shared" si="1"/>
        <v>#DIV/0!</v>
      </c>
      <c r="G13" s="50">
        <f>E13-C13</f>
        <v>0</v>
      </c>
      <c r="H13" s="18"/>
      <c r="I13" s="18">
        <f t="shared" si="4"/>
        <v>0</v>
      </c>
      <c r="J13" s="18">
        <f t="shared" si="5"/>
        <v>0</v>
      </c>
      <c r="K13" s="18">
        <f t="shared" si="6"/>
        <v>0</v>
      </c>
      <c r="L13" s="18">
        <f t="shared" si="7"/>
        <v>0</v>
      </c>
      <c r="M13" s="18">
        <f>IF(SUM(G$5:G13)&lt;&gt;0,SUM(G$5:G13)/COUNTIF(G$5:G13,"&lt;&gt;0")," ")</f>
        <v>-1689.5500000000029</v>
      </c>
      <c r="N13" s="18">
        <f>IF(SUM(G$5:G13)=0,0,M13*COUNTIF(G$5:G13,"&lt;&gt;0")/(SUM(B$5:B13))*100)</f>
        <v>-2.0745471586052764</v>
      </c>
      <c r="O13" s="19"/>
      <c r="Q13" s="21"/>
    </row>
    <row r="14" spans="1:17" s="20" customFormat="1" ht="13.5" x14ac:dyDescent="0.25">
      <c r="A14" s="49">
        <v>2005</v>
      </c>
      <c r="B14" s="50"/>
      <c r="C14" s="51"/>
      <c r="D14" s="50" t="e">
        <f t="shared" si="0"/>
        <v>#DIV/0!</v>
      </c>
      <c r="E14" s="50"/>
      <c r="F14" s="50" t="e">
        <f t="shared" si="1"/>
        <v>#DIV/0!</v>
      </c>
      <c r="G14" s="50">
        <f t="shared" ref="G14:G29" si="8">E14-C14</f>
        <v>0</v>
      </c>
      <c r="H14" s="18"/>
      <c r="I14" s="18">
        <f t="shared" si="4"/>
        <v>0</v>
      </c>
      <c r="J14" s="18">
        <f t="shared" si="5"/>
        <v>0</v>
      </c>
      <c r="K14" s="18">
        <f t="shared" si="6"/>
        <v>0</v>
      </c>
      <c r="L14" s="18">
        <f t="shared" si="7"/>
        <v>0</v>
      </c>
      <c r="M14" s="18">
        <f>IF(SUM(G$5:G14)&lt;&gt;0,SUM(G$5:G14)/COUNTIF(G$5:G14,"&lt;&gt;0")," ")</f>
        <v>-1689.5500000000029</v>
      </c>
      <c r="N14" s="18">
        <f>IF(SUM(G$5:G14)=0,0,M14*COUNTIF(G$5:G14,"&lt;&gt;0")/(SUM(B$5:B14))*100)</f>
        <v>-2.0745471586052764</v>
      </c>
      <c r="O14" s="19"/>
      <c r="Q14" s="21"/>
    </row>
    <row r="15" spans="1:17" s="20" customFormat="1" ht="13.5" x14ac:dyDescent="0.25">
      <c r="A15" s="49">
        <v>2006</v>
      </c>
      <c r="B15" s="50"/>
      <c r="C15" s="51"/>
      <c r="D15" s="50" t="e">
        <f t="shared" si="0"/>
        <v>#DIV/0!</v>
      </c>
      <c r="E15" s="50"/>
      <c r="F15" s="50" t="e">
        <f t="shared" si="1"/>
        <v>#DIV/0!</v>
      </c>
      <c r="G15" s="50">
        <f t="shared" si="8"/>
        <v>0</v>
      </c>
      <c r="H15" s="18"/>
      <c r="I15" s="18">
        <f t="shared" si="4"/>
        <v>0</v>
      </c>
      <c r="J15" s="18">
        <f t="shared" si="5"/>
        <v>0</v>
      </c>
      <c r="K15" s="18">
        <f t="shared" si="6"/>
        <v>0</v>
      </c>
      <c r="L15" s="18">
        <f t="shared" si="7"/>
        <v>0</v>
      </c>
      <c r="M15" s="18">
        <f>IF(SUM(G$5:G15)&lt;&gt;0,SUM(G$5:G15)/COUNTIF(G$5:G15,"&lt;&gt;0")," ")</f>
        <v>-1689.5500000000029</v>
      </c>
      <c r="N15" s="18">
        <f>IF(SUM(G$5:G15)=0,0,M15*COUNTIF(G$5:G15,"&lt;&gt;0")/(SUM(B$5:B15))*100)</f>
        <v>-2.0745471586052764</v>
      </c>
      <c r="O15" s="19"/>
      <c r="Q15" s="21"/>
    </row>
    <row r="16" spans="1:17" s="20" customFormat="1" ht="13.5" x14ac:dyDescent="0.25">
      <c r="A16" s="49">
        <v>2007</v>
      </c>
      <c r="B16" s="50"/>
      <c r="C16" s="51"/>
      <c r="D16" s="50" t="e">
        <f t="shared" si="0"/>
        <v>#DIV/0!</v>
      </c>
      <c r="E16" s="50"/>
      <c r="F16" s="50" t="e">
        <f t="shared" si="1"/>
        <v>#DIV/0!</v>
      </c>
      <c r="G16" s="50">
        <f t="shared" si="8"/>
        <v>0</v>
      </c>
      <c r="H16" s="18"/>
      <c r="I16" s="18">
        <f t="shared" si="4"/>
        <v>0</v>
      </c>
      <c r="J16" s="18">
        <f t="shared" si="5"/>
        <v>0</v>
      </c>
      <c r="K16" s="18">
        <f t="shared" si="6"/>
        <v>0</v>
      </c>
      <c r="L16" s="18">
        <f t="shared" si="7"/>
        <v>0</v>
      </c>
      <c r="M16" s="18">
        <f>IF(SUM(G$5:G16)&lt;&gt;0,SUM(G$5:G16)/COUNTIF(G$5:G16,"&lt;&gt;0")," ")</f>
        <v>-1689.5500000000029</v>
      </c>
      <c r="N16" s="18">
        <f>IF(SUM(G$5:G16)=0,0,M16*COUNTIF(G$5:G16,"&lt;&gt;0")/(SUM(B$5:B16))*100)</f>
        <v>-2.0745471586052764</v>
      </c>
      <c r="O16" s="19"/>
      <c r="Q16" s="21"/>
    </row>
    <row r="17" spans="1:17" s="20" customFormat="1" ht="13.5" x14ac:dyDescent="0.25">
      <c r="A17" s="49">
        <v>2008</v>
      </c>
      <c r="B17" s="50"/>
      <c r="C17" s="51"/>
      <c r="D17" s="50" t="e">
        <f t="shared" si="0"/>
        <v>#DIV/0!</v>
      </c>
      <c r="E17" s="50"/>
      <c r="F17" s="50" t="e">
        <f t="shared" si="1"/>
        <v>#DIV/0!</v>
      </c>
      <c r="G17" s="50">
        <f t="shared" si="8"/>
        <v>0</v>
      </c>
      <c r="H17" s="18"/>
      <c r="I17" s="18">
        <f t="shared" si="4"/>
        <v>0</v>
      </c>
      <c r="J17" s="18">
        <f t="shared" si="5"/>
        <v>0</v>
      </c>
      <c r="K17" s="18">
        <f t="shared" si="6"/>
        <v>0</v>
      </c>
      <c r="L17" s="18">
        <f t="shared" si="7"/>
        <v>0</v>
      </c>
      <c r="M17" s="18">
        <f>IF(SUM(G$5:G17)&lt;&gt;0,SUM(G$5:G17)/COUNTIF(G$5:G17,"&lt;&gt;0")," ")</f>
        <v>-1689.5500000000029</v>
      </c>
      <c r="N17" s="18">
        <f>IF(SUM(G$5:G17)=0,0,M17*COUNTIF(G$5:G17,"&lt;&gt;0")/(SUM(B$5:B17))*100)</f>
        <v>-2.0745471586052764</v>
      </c>
      <c r="O17" s="19"/>
      <c r="Q17" s="21"/>
    </row>
    <row r="18" spans="1:17" s="20" customFormat="1" ht="13.5" x14ac:dyDescent="0.25">
      <c r="A18" s="49">
        <v>2009</v>
      </c>
      <c r="B18" s="50"/>
      <c r="C18" s="51"/>
      <c r="D18" s="50" t="e">
        <f t="shared" si="0"/>
        <v>#DIV/0!</v>
      </c>
      <c r="E18" s="50"/>
      <c r="F18" s="50" t="e">
        <f t="shared" si="1"/>
        <v>#DIV/0!</v>
      </c>
      <c r="G18" s="50">
        <f t="shared" si="8"/>
        <v>0</v>
      </c>
      <c r="H18" s="18"/>
      <c r="I18" s="18">
        <f t="shared" si="4"/>
        <v>0</v>
      </c>
      <c r="J18" s="18">
        <f t="shared" si="5"/>
        <v>0</v>
      </c>
      <c r="K18" s="18">
        <f t="shared" si="6"/>
        <v>0</v>
      </c>
      <c r="L18" s="18">
        <f t="shared" si="7"/>
        <v>0</v>
      </c>
      <c r="M18" s="18">
        <f>IF(SUM(G$5:G18)&lt;&gt;0,SUM(G$5:G18)/COUNTIF(G$5:G18,"&lt;&gt;0")," ")</f>
        <v>-1689.5500000000029</v>
      </c>
      <c r="N18" s="18">
        <f>IF(SUM(G$5:G18)=0,0,M18*COUNTIF(G$5:G18,"&lt;&gt;0")/(SUM(B$5:B18))*100)</f>
        <v>-2.0745471586052764</v>
      </c>
      <c r="O18" s="19"/>
      <c r="Q18" s="21"/>
    </row>
    <row r="19" spans="1:17" s="20" customFormat="1" ht="13.5" x14ac:dyDescent="0.25">
      <c r="A19" s="49">
        <v>2010</v>
      </c>
      <c r="B19" s="50"/>
      <c r="C19" s="51"/>
      <c r="D19" s="50" t="e">
        <f t="shared" si="0"/>
        <v>#DIV/0!</v>
      </c>
      <c r="E19" s="50"/>
      <c r="F19" s="50" t="e">
        <f t="shared" si="1"/>
        <v>#DIV/0!</v>
      </c>
      <c r="G19" s="50">
        <f t="shared" si="8"/>
        <v>0</v>
      </c>
      <c r="H19" s="18"/>
      <c r="I19" s="18">
        <f t="shared" si="4"/>
        <v>0</v>
      </c>
      <c r="J19" s="18">
        <f t="shared" si="5"/>
        <v>0</v>
      </c>
      <c r="K19" s="18">
        <f t="shared" si="6"/>
        <v>0</v>
      </c>
      <c r="L19" s="18">
        <f t="shared" si="7"/>
        <v>0</v>
      </c>
      <c r="M19" s="18">
        <f>IF(SUM(G$5:G19)&lt;&gt;0,SUM(G$5:G19)/COUNTIF(G$5:G19,"&lt;&gt;0")," ")</f>
        <v>-1689.5500000000029</v>
      </c>
      <c r="N19" s="18">
        <f>IF(SUM(G$5:G19)=0,0,M19*COUNTIF(G$5:G19,"&lt;&gt;0")/(SUM(B$5:B19))*100)</f>
        <v>-2.0745471586052764</v>
      </c>
      <c r="O19" s="19"/>
      <c r="Q19" s="21"/>
    </row>
    <row r="20" spans="1:17" s="20" customFormat="1" ht="13.5" x14ac:dyDescent="0.25">
      <c r="A20" s="49">
        <v>2011</v>
      </c>
      <c r="B20" s="50">
        <v>4576.37</v>
      </c>
      <c r="C20" s="51"/>
      <c r="D20" s="50">
        <f t="shared" si="0"/>
        <v>0</v>
      </c>
      <c r="E20" s="50"/>
      <c r="F20" s="50">
        <f t="shared" si="1"/>
        <v>0</v>
      </c>
      <c r="G20" s="50">
        <f t="shared" si="8"/>
        <v>0</v>
      </c>
      <c r="H20" s="18"/>
      <c r="I20" s="18">
        <f t="shared" si="4"/>
        <v>0</v>
      </c>
      <c r="J20" s="18">
        <f t="shared" si="5"/>
        <v>0</v>
      </c>
      <c r="K20" s="18">
        <f t="shared" si="6"/>
        <v>0</v>
      </c>
      <c r="L20" s="18">
        <f t="shared" si="7"/>
        <v>0</v>
      </c>
      <c r="M20" s="18">
        <f>IF(SUM(G$5:G20)&lt;&gt;0,SUM(G$5:G20)/COUNTIF(G$5:G20,"&lt;&gt;0")," ")</f>
        <v>-1689.5500000000029</v>
      </c>
      <c r="N20" s="18">
        <f>IF(SUM(G$5:G20)=0,0,M20*COUNTIF(G$5:G20,"&lt;&gt;0")/(SUM(B$5:B20))*100)</f>
        <v>-1.9641764351374813</v>
      </c>
      <c r="O20" s="19"/>
      <c r="Q20" s="21"/>
    </row>
    <row r="21" spans="1:17" s="20" customFormat="1" ht="13.5" x14ac:dyDescent="0.25">
      <c r="A21" s="49">
        <v>2012</v>
      </c>
      <c r="B21" s="50"/>
      <c r="C21" s="51">
        <v>820413.36</v>
      </c>
      <c r="D21" s="50" t="e">
        <f t="shared" si="0"/>
        <v>#DIV/0!</v>
      </c>
      <c r="E21" s="50"/>
      <c r="F21" s="50" t="e">
        <f t="shared" si="1"/>
        <v>#DIV/0!</v>
      </c>
      <c r="G21" s="50">
        <f t="shared" si="8"/>
        <v>-820413.36</v>
      </c>
      <c r="H21" s="18"/>
      <c r="I21" s="18">
        <f t="shared" si="4"/>
        <v>-273471.12</v>
      </c>
      <c r="J21" s="18">
        <f t="shared" si="5"/>
        <v>-17927.164106049117</v>
      </c>
      <c r="K21" s="18">
        <f t="shared" si="6"/>
        <v>-164082.67199999999</v>
      </c>
      <c r="L21" s="18">
        <f t="shared" si="7"/>
        <v>-17927.164106049117</v>
      </c>
      <c r="M21" s="18">
        <f>IF(SUM(G$5:G21)&lt;&gt;0,SUM(G$5:G21)/COUNTIF(G$5:G21,"&lt;&gt;0")," ")</f>
        <v>-411051.45500000002</v>
      </c>
      <c r="N21" s="18">
        <f>IF(SUM(G$5:G21)=0,0,M21*COUNTIF(G$5:G21,"&lt;&gt;0")/(SUM(B$5:B21))*100)</f>
        <v>-955.73091242043574</v>
      </c>
      <c r="O21" s="19"/>
      <c r="Q21" s="21"/>
    </row>
    <row r="22" spans="1:17" s="20" customFormat="1" ht="13.5" x14ac:dyDescent="0.25">
      <c r="A22" s="49">
        <v>2013</v>
      </c>
      <c r="B22" s="50"/>
      <c r="C22" s="51">
        <v>500351.46</v>
      </c>
      <c r="D22" s="50" t="e">
        <f t="shared" si="0"/>
        <v>#DIV/0!</v>
      </c>
      <c r="E22" s="50"/>
      <c r="F22" s="50" t="e">
        <f t="shared" si="1"/>
        <v>#DIV/0!</v>
      </c>
      <c r="G22" s="50">
        <f t="shared" si="8"/>
        <v>-500351.46</v>
      </c>
      <c r="H22" s="18"/>
      <c r="I22" s="18">
        <f t="shared" si="4"/>
        <v>-440254.94</v>
      </c>
      <c r="J22" s="18">
        <f t="shared" si="5"/>
        <v>-28860.534004025023</v>
      </c>
      <c r="K22" s="18">
        <f t="shared" si="6"/>
        <v>-264152.96400000004</v>
      </c>
      <c r="L22" s="18">
        <f t="shared" si="7"/>
        <v>-28860.534004025027</v>
      </c>
      <c r="M22" s="18">
        <f>IF(SUM(G$5:G22)&lt;&gt;0,SUM(G$5:G22)/COUNTIF(G$5:G22,"&lt;&gt;0")," ")</f>
        <v>-440818.12333333335</v>
      </c>
      <c r="N22" s="18">
        <f>IF(SUM(G$5:G22)=0,0,M22*COUNTIF(G$5:G22,"&lt;&gt;0")/(SUM(B$5:B22))*100)</f>
        <v>-1537.4115652680177</v>
      </c>
      <c r="O22" s="19"/>
      <c r="Q22" s="21"/>
    </row>
    <row r="23" spans="1:17" s="20" customFormat="1" ht="13.5" x14ac:dyDescent="0.25">
      <c r="A23" s="49">
        <v>2014</v>
      </c>
      <c r="B23" s="50">
        <v>95637.97</v>
      </c>
      <c r="C23" s="51">
        <v>74375.66</v>
      </c>
      <c r="D23" s="50">
        <f t="shared" si="0"/>
        <v>77.767920000811401</v>
      </c>
      <c r="E23" s="50"/>
      <c r="F23" s="50">
        <f t="shared" si="1"/>
        <v>0</v>
      </c>
      <c r="G23" s="50">
        <f t="shared" si="8"/>
        <v>-74375.66</v>
      </c>
      <c r="H23" s="18"/>
      <c r="I23" s="18">
        <f t="shared" si="4"/>
        <v>-465046.82666666666</v>
      </c>
      <c r="J23" s="18">
        <f t="shared" si="5"/>
        <v>-1458.7725774606047</v>
      </c>
      <c r="K23" s="18">
        <f t="shared" si="6"/>
        <v>-279028.09600000002</v>
      </c>
      <c r="L23" s="18">
        <f t="shared" si="7"/>
        <v>-1392.156531689976</v>
      </c>
      <c r="M23" s="18">
        <f>IF(SUM(G$5:G23)&lt;&gt;0,SUM(G$5:G23)/COUNTIF(G$5:G23,"&lt;&gt;0")," ")</f>
        <v>-349207.50750000001</v>
      </c>
      <c r="N23" s="18">
        <f>IF(SUM(G$5:G23)=0,0,M23*COUNTIF(G$5:G23,"&lt;&gt;0")/(SUM(B$5:B23))*100)</f>
        <v>-768.94152421213676</v>
      </c>
      <c r="O23" s="19"/>
      <c r="Q23" s="21"/>
    </row>
    <row r="24" spans="1:17" s="20" customFormat="1" ht="13.5" x14ac:dyDescent="0.25">
      <c r="A24" s="49">
        <v>2015</v>
      </c>
      <c r="B24" s="50">
        <v>302955.52000000002</v>
      </c>
      <c r="C24" s="51">
        <v>42.990000000000038</v>
      </c>
      <c r="D24" s="50">
        <f t="shared" si="0"/>
        <v>1.4190201914789351E-2</v>
      </c>
      <c r="E24" s="50"/>
      <c r="F24" s="50">
        <f t="shared" si="1"/>
        <v>0</v>
      </c>
      <c r="G24" s="50">
        <f t="shared" si="8"/>
        <v>-42.990000000000038</v>
      </c>
      <c r="H24" s="18">
        <f t="shared" si="3"/>
        <v>-1.4190201914789351E-2</v>
      </c>
      <c r="I24" s="18">
        <f t="shared" si="4"/>
        <v>-191590.03666666665</v>
      </c>
      <c r="J24" s="18">
        <f t="shared" si="5"/>
        <v>-144.19957285303377</v>
      </c>
      <c r="K24" s="18">
        <f t="shared" si="6"/>
        <v>-279036.69400000002</v>
      </c>
      <c r="L24" s="18">
        <f t="shared" si="7"/>
        <v>-346.05351451618935</v>
      </c>
      <c r="M24" s="18">
        <f>IF(SUM(G$5:G24)&lt;&gt;0,SUM(G$5:G24)/COUNTIF(G$5:G24,"&lt;&gt;0")," ")</f>
        <v>-279374.60399999999</v>
      </c>
      <c r="N24" s="18">
        <f>IF(SUM(G$5:G24)=0,0,M24*COUNTIF(G$5:G24,"&lt;&gt;0")/(SUM(B$5:B24))*100)</f>
        <v>-288.24581278707393</v>
      </c>
      <c r="O24" s="19"/>
      <c r="P24" s="22"/>
      <c r="Q24" s="21"/>
    </row>
    <row r="25" spans="1:17" s="20" customFormat="1" ht="13.5" x14ac:dyDescent="0.25">
      <c r="A25" s="49">
        <v>2016</v>
      </c>
      <c r="B25" s="50">
        <v>1004604.42</v>
      </c>
      <c r="C25" s="51">
        <v>409389.95999999996</v>
      </c>
      <c r="D25" s="50">
        <f t="shared" si="0"/>
        <v>40.751359624716756</v>
      </c>
      <c r="E25" s="50"/>
      <c r="F25" s="50">
        <f t="shared" si="1"/>
        <v>0</v>
      </c>
      <c r="G25" s="50">
        <f t="shared" si="8"/>
        <v>-409389.95999999996</v>
      </c>
      <c r="H25" s="18">
        <f t="shared" si="3"/>
        <v>-40.751359624716756</v>
      </c>
      <c r="I25" s="18">
        <f t="shared" si="4"/>
        <v>-161269.53666666665</v>
      </c>
      <c r="J25" s="18">
        <f t="shared" si="5"/>
        <v>-34.479000186082082</v>
      </c>
      <c r="K25" s="18">
        <f t="shared" si="6"/>
        <v>-360914.68599999999</v>
      </c>
      <c r="L25" s="18">
        <f t="shared" si="7"/>
        <v>-128.60434135053691</v>
      </c>
      <c r="M25" s="18">
        <f>IF(SUM(G$5:G25)&lt;&gt;0,SUM(G$5:G25)/COUNTIF(G$5:G25,"&lt;&gt;0")," ")</f>
        <v>-301043.83</v>
      </c>
      <c r="N25" s="18">
        <f>IF(SUM(G$5:G25)=0,0,M25*COUNTIF(G$5:G25,"&lt;&gt;0")/(SUM(B$5:B25))*100)</f>
        <v>-121.28951059253555</v>
      </c>
      <c r="O25" s="19"/>
      <c r="P25" s="22"/>
      <c r="Q25" s="21"/>
    </row>
    <row r="26" spans="1:17" s="20" customFormat="1" ht="13.5" x14ac:dyDescent="0.25">
      <c r="A26" s="49">
        <v>2017</v>
      </c>
      <c r="B26" s="50">
        <v>258080.02</v>
      </c>
      <c r="C26" s="51"/>
      <c r="D26" s="50">
        <f t="shared" si="0"/>
        <v>0</v>
      </c>
      <c r="E26" s="50"/>
      <c r="F26" s="50">
        <f t="shared" si="1"/>
        <v>0</v>
      </c>
      <c r="G26" s="50">
        <f t="shared" si="8"/>
        <v>0</v>
      </c>
      <c r="H26" s="18">
        <f t="shared" si="3"/>
        <v>0</v>
      </c>
      <c r="I26" s="18">
        <f t="shared" si="4"/>
        <v>-136477.65</v>
      </c>
      <c r="J26" s="18">
        <f t="shared" si="5"/>
        <v>-26.151156106158663</v>
      </c>
      <c r="K26" s="18">
        <f t="shared" si="6"/>
        <v>-196832.014</v>
      </c>
      <c r="L26" s="18">
        <f t="shared" si="7"/>
        <v>-59.241145158655058</v>
      </c>
      <c r="M26" s="18">
        <f>IF(SUM(G$5:G26)&lt;&gt;0,SUM(G$5:G26)/COUNTIF(G$5:G26,"&lt;&gt;0")," ")</f>
        <v>-301043.83</v>
      </c>
      <c r="N26" s="18">
        <f>IF(SUM(G$5:G26)=0,0,M26*COUNTIF(G$5:G26,"&lt;&gt;0")/(SUM(B$5:B26))*100)</f>
        <v>-103.37474613705587</v>
      </c>
      <c r="O26" s="19"/>
      <c r="P26" s="22"/>
      <c r="Q26" s="21"/>
    </row>
    <row r="27" spans="1:17" s="20" customFormat="1" ht="13.5" x14ac:dyDescent="0.25">
      <c r="A27" s="49">
        <v>2018</v>
      </c>
      <c r="B27" s="50">
        <v>1523662.3</v>
      </c>
      <c r="C27" s="51"/>
      <c r="D27" s="50">
        <f t="shared" si="0"/>
        <v>0</v>
      </c>
      <c r="E27" s="50"/>
      <c r="F27" s="50">
        <f t="shared" si="1"/>
        <v>0</v>
      </c>
      <c r="G27" s="50">
        <f t="shared" si="8"/>
        <v>0</v>
      </c>
      <c r="H27" s="18">
        <f t="shared" si="3"/>
        <v>0</v>
      </c>
      <c r="I27" s="18">
        <f t="shared" si="4"/>
        <v>-136463.31999999998</v>
      </c>
      <c r="J27" s="18">
        <f t="shared" si="5"/>
        <v>-14.692714087694625</v>
      </c>
      <c r="K27" s="18">
        <f t="shared" si="6"/>
        <v>-96761.721999999994</v>
      </c>
      <c r="L27" s="18">
        <f t="shared" si="7"/>
        <v>-15.190508300370833</v>
      </c>
      <c r="M27" s="18">
        <f>IF(SUM(G$5:G27)&lt;&gt;0,SUM(G$5:G27)/COUNTIF(G$5:G27,"&lt;&gt;0")," ")</f>
        <v>-301043.83</v>
      </c>
      <c r="N27" s="18">
        <f>IF(SUM(G$5:G27)=0,0,M27*COUNTIF(G$5:G27,"&lt;&gt;0")/(SUM(B$5:B27))*100)</f>
        <v>-55.221214104867556</v>
      </c>
      <c r="O27" s="19"/>
      <c r="P27" s="22"/>
      <c r="Q27" s="21"/>
    </row>
    <row r="28" spans="1:17" s="20" customFormat="1" ht="13.5" x14ac:dyDescent="0.25">
      <c r="A28" s="49">
        <v>2019</v>
      </c>
      <c r="B28" s="50"/>
      <c r="C28" s="51"/>
      <c r="D28" s="50" t="e">
        <f t="shared" si="0"/>
        <v>#DIV/0!</v>
      </c>
      <c r="E28" s="50"/>
      <c r="F28" s="50" t="e">
        <f t="shared" si="1"/>
        <v>#DIV/0!</v>
      </c>
      <c r="G28" s="50">
        <f t="shared" si="8"/>
        <v>0</v>
      </c>
      <c r="H28" s="18"/>
      <c r="I28" s="18">
        <f t="shared" si="4"/>
        <v>0</v>
      </c>
      <c r="J28" s="18">
        <f t="shared" si="5"/>
        <v>0</v>
      </c>
      <c r="K28" s="18">
        <f t="shared" si="6"/>
        <v>-81886.59</v>
      </c>
      <c r="L28" s="18">
        <f t="shared" si="7"/>
        <v>-13.253249942593834</v>
      </c>
      <c r="M28" s="18">
        <f>IF(SUM(G$5:G28)&lt;&gt;0,SUM(G$5:G28)/COUNTIF(G$5:G28,"&lt;&gt;0")," ")</f>
        <v>-301043.83</v>
      </c>
      <c r="N28" s="18">
        <f>IF(SUM(G$5:G28)=0,0,M28*COUNTIF(G$5:G28,"&lt;&gt;0")/(SUM(B$5:B28))*100)</f>
        <v>-55.221214104867556</v>
      </c>
      <c r="O28" s="19"/>
      <c r="P28" s="22"/>
      <c r="Q28" s="21"/>
    </row>
    <row r="29" spans="1:17" s="20" customFormat="1" ht="13.5" x14ac:dyDescent="0.25">
      <c r="A29" s="49">
        <v>2020</v>
      </c>
      <c r="B29" s="50"/>
      <c r="C29" s="51"/>
      <c r="D29" s="50" t="e">
        <f t="shared" si="0"/>
        <v>#DIV/0!</v>
      </c>
      <c r="E29" s="50"/>
      <c r="F29" s="50" t="e">
        <f t="shared" si="1"/>
        <v>#DIV/0!</v>
      </c>
      <c r="G29" s="50">
        <f t="shared" si="8"/>
        <v>0</v>
      </c>
      <c r="H29" s="18"/>
      <c r="I29" s="18">
        <f t="shared" si="4"/>
        <v>0</v>
      </c>
      <c r="J29" s="18">
        <f t="shared" si="5"/>
        <v>0</v>
      </c>
      <c r="K29" s="18">
        <f t="shared" si="6"/>
        <v>-81877.991999999998</v>
      </c>
      <c r="L29" s="18">
        <f t="shared" si="7"/>
        <v>-14.692714087694627</v>
      </c>
      <c r="M29" s="18">
        <f>IF(SUM(G$5:G29)&lt;&gt;0,SUM(G$5:G29)/COUNTIF(G$5:G29,"&lt;&gt;0")," ")</f>
        <v>-301043.83</v>
      </c>
      <c r="N29" s="18">
        <f>IF(SUM(G$5:G29)=0,0,M29*COUNTIF(G$5:G29,"&lt;&gt;0")/(SUM(B$5:B29))*100)</f>
        <v>-55.221214104867556</v>
      </c>
      <c r="O29" s="19"/>
      <c r="P29" s="22"/>
      <c r="Q29" s="21"/>
    </row>
    <row r="30" spans="1:17" s="20" customFormat="1" ht="13.5" x14ac:dyDescent="0.25">
      <c r="A30" s="49">
        <v>2021</v>
      </c>
      <c r="B30" s="50">
        <v>1467724.55</v>
      </c>
      <c r="C30" s="51"/>
      <c r="D30" s="50"/>
      <c r="E30" s="50"/>
      <c r="F30" s="50"/>
      <c r="G30" s="50">
        <v>0</v>
      </c>
      <c r="H30" s="18">
        <f t="shared" si="3"/>
        <v>0</v>
      </c>
      <c r="I30" s="18">
        <f t="shared" si="4"/>
        <v>0</v>
      </c>
      <c r="J30" s="18">
        <f t="shared" si="5"/>
        <v>0</v>
      </c>
      <c r="K30" s="18">
        <f t="shared" si="6"/>
        <v>0</v>
      </c>
      <c r="L30" s="18">
        <f t="shared" si="7"/>
        <v>0</v>
      </c>
      <c r="M30" s="18">
        <f>IF(SUM(G$5:G30)&lt;&gt;0,SUM(G$5:G30)/COUNTIF(G$5:G30,"&lt;&gt;0")," ")</f>
        <v>-301043.83</v>
      </c>
      <c r="N30" s="18">
        <f>IF(SUM(G$5:G30)=0,0,M30*COUNTIF(G$5:G30,"&lt;&gt;0")/(SUM(B$5:B30))*100)</f>
        <v>-38.11740461171425</v>
      </c>
      <c r="O30" s="19"/>
      <c r="P30" s="22"/>
      <c r="Q30" s="21"/>
    </row>
    <row r="31" spans="1:17" s="20" customFormat="1" ht="13.5" x14ac:dyDescent="0.25">
      <c r="A31" s="23"/>
      <c r="B31" s="24"/>
      <c r="C31" s="24"/>
      <c r="D31" s="25"/>
      <c r="E31" s="50"/>
      <c r="F31" s="18"/>
      <c r="G31" s="50"/>
      <c r="H31" s="25"/>
      <c r="I31" s="18"/>
      <c r="J31" s="18"/>
      <c r="K31" s="18"/>
      <c r="L31" s="18"/>
      <c r="M31" s="18"/>
      <c r="N31" s="18"/>
      <c r="O31" s="19"/>
    </row>
    <row r="32" spans="1:17" s="32" customFormat="1" ht="30" customHeight="1" x14ac:dyDescent="0.3">
      <c r="A32" s="26" t="s">
        <v>17</v>
      </c>
      <c r="B32" s="27">
        <f>SUM(B5:B31)</f>
        <v>4738683.0199999996</v>
      </c>
      <c r="C32" s="27">
        <f>SUM(C5:C31)</f>
        <v>1895308.4</v>
      </c>
      <c r="D32" s="28">
        <f t="shared" si="0"/>
        <v>39.996522071653573</v>
      </c>
      <c r="E32" s="29">
        <f>SUM(E5:E31)</f>
        <v>89045.42</v>
      </c>
      <c r="F32" s="28">
        <f>E32/B32*100</f>
        <v>1.879117459939323</v>
      </c>
      <c r="G32" s="29">
        <f>SUM(G5:G31)</f>
        <v>-1806262.98</v>
      </c>
      <c r="H32" s="28">
        <f t="shared" si="3"/>
        <v>-38.11740461171425</v>
      </c>
      <c r="I32" s="30"/>
      <c r="J32" s="30"/>
      <c r="K32" s="30"/>
      <c r="L32" s="30"/>
      <c r="M32" s="30"/>
      <c r="N32" s="30"/>
      <c r="O32" s="31"/>
    </row>
    <row r="34" spans="2:2" x14ac:dyDescent="0.35">
      <c r="B34" s="38"/>
    </row>
    <row r="35" spans="2:2" x14ac:dyDescent="0.35">
      <c r="B35" s="38"/>
    </row>
  </sheetData>
  <conditionalFormatting sqref="A5:XFD29 A30:M30 O30:XFD30 N30:N31">
    <cfRule type="expression" dxfId="58" priority="2">
      <formula>MOD(ROW(),2)=0</formula>
    </cfRule>
  </conditionalFormatting>
  <conditionalFormatting sqref="A32:XFD32 A31:M31 O31:XFD31">
    <cfRule type="expression" dxfId="57" priority="1">
      <formula>MOD(ROW(),2)=0</formula>
    </cfRule>
  </conditionalFormatting>
  <printOptions horizontalCentered="1"/>
  <pageMargins left="0.7" right="0.7" top="0.75" bottom="0.7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E79A-911F-4ADB-980A-856CEA1317C7}">
  <dimension ref="A1:Q38"/>
  <sheetViews>
    <sheetView tabSelected="1" topLeftCell="A11" zoomScale="95" zoomScaleNormal="95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6.1796875" style="34" bestFit="1" customWidth="1"/>
    <col min="3" max="3" width="13.81640625" style="34" hidden="1" customWidth="1"/>
    <col min="4" max="6" width="12.54296875" style="35" hidden="1" customWidth="1"/>
    <col min="7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21</v>
      </c>
      <c r="B2" s="40"/>
      <c r="C2" s="40"/>
      <c r="D2" s="40"/>
      <c r="E2" s="40"/>
      <c r="F2" s="40"/>
      <c r="G2" s="47"/>
      <c r="H2" s="41"/>
      <c r="I2" s="42"/>
      <c r="J2" s="42"/>
      <c r="K2" s="42"/>
      <c r="L2" s="42"/>
      <c r="M2" s="42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45"/>
      <c r="K3" s="45"/>
      <c r="L3" s="45"/>
      <c r="M3" s="45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1993</v>
      </c>
      <c r="B5" s="50"/>
      <c r="C5" s="51"/>
      <c r="D5" s="50" t="e">
        <f t="shared" ref="D5:D35" si="0">C5/B5*100</f>
        <v>#DIV/0!</v>
      </c>
      <c r="E5" s="50">
        <v>13166</v>
      </c>
      <c r="F5" s="50" t="e">
        <f t="shared" ref="F5:F32" si="1">E5/B5*100</f>
        <v>#DIV/0!</v>
      </c>
      <c r="G5" s="50">
        <f t="shared" ref="G5:G15" si="2">E5-C5</f>
        <v>13166</v>
      </c>
      <c r="H5" s="18"/>
      <c r="I5" s="18"/>
      <c r="J5" s="18"/>
      <c r="K5" s="18"/>
      <c r="L5" s="18"/>
      <c r="M5" s="18">
        <f>IF(SUM(G$5:G5)&lt;&gt;0,SUM(G$5:G5)/COUNTIF(G$5:G5,"&lt;&gt;0")," ")</f>
        <v>13166</v>
      </c>
      <c r="N5" s="18">
        <v>0</v>
      </c>
      <c r="O5" s="19"/>
      <c r="Q5" s="21"/>
    </row>
    <row r="6" spans="1:17" s="20" customFormat="1" ht="13.5" x14ac:dyDescent="0.25">
      <c r="A6" s="49">
        <v>1994</v>
      </c>
      <c r="B6" s="50"/>
      <c r="C6" s="51"/>
      <c r="D6" s="50" t="e">
        <f t="shared" ref="D6" si="3">C6/B6*100</f>
        <v>#DIV/0!</v>
      </c>
      <c r="E6" s="50"/>
      <c r="F6" s="50" t="e">
        <f t="shared" ref="F6" si="4">E6/B6*100</f>
        <v>#DIV/0!</v>
      </c>
      <c r="G6" s="50">
        <f t="shared" ref="G6" si="5">E6-C6</f>
        <v>0</v>
      </c>
      <c r="H6" s="18"/>
      <c r="I6" s="18"/>
      <c r="J6" s="18"/>
      <c r="K6" s="18"/>
      <c r="L6" s="18"/>
      <c r="M6" s="18">
        <f>IF(SUM(G$5:G6)&lt;&gt;0,SUM(G$5:G6)/COUNTIF(G$5:G6,"&lt;&gt;0")," ")</f>
        <v>13166</v>
      </c>
      <c r="N6" s="18">
        <v>0</v>
      </c>
      <c r="O6" s="19"/>
      <c r="Q6" s="21"/>
    </row>
    <row r="7" spans="1:17" s="20" customFormat="1" ht="13.5" x14ac:dyDescent="0.25">
      <c r="A7" s="49">
        <v>1995</v>
      </c>
      <c r="B7" s="50"/>
      <c r="C7" s="51"/>
      <c r="D7" s="50" t="e">
        <f t="shared" si="0"/>
        <v>#DIV/0!</v>
      </c>
      <c r="E7" s="50"/>
      <c r="F7" s="50" t="e">
        <f t="shared" si="1"/>
        <v>#DIV/0!</v>
      </c>
      <c r="G7" s="50">
        <f t="shared" si="2"/>
        <v>0</v>
      </c>
      <c r="H7" s="18"/>
      <c r="I7" s="18">
        <f>SUM(G5:G7)/3</f>
        <v>4388.666666666667</v>
      </c>
      <c r="J7" s="18">
        <f>IF(SUM(B5:B7)=0,0,I7/(SUM(B5:B7)/3)*100)</f>
        <v>0</v>
      </c>
      <c r="K7" s="18"/>
      <c r="L7" s="18"/>
      <c r="M7" s="18">
        <f>IF(SUM(G$5:G7)&lt;&gt;0,SUM(G$5:G7)/COUNTIF(G$5:G7,"&lt;&gt;0")," ")</f>
        <v>13166</v>
      </c>
      <c r="N7" s="18">
        <v>0</v>
      </c>
      <c r="O7" s="19"/>
      <c r="Q7" s="21"/>
    </row>
    <row r="8" spans="1:17" s="20" customFormat="1" ht="13.5" x14ac:dyDescent="0.25">
      <c r="A8" s="49">
        <v>1996</v>
      </c>
      <c r="B8" s="50"/>
      <c r="C8" s="51"/>
      <c r="D8" s="50" t="e">
        <f t="shared" si="0"/>
        <v>#DIV/0!</v>
      </c>
      <c r="E8" s="50"/>
      <c r="F8" s="50" t="e">
        <f t="shared" si="1"/>
        <v>#DIV/0!</v>
      </c>
      <c r="G8" s="50">
        <f t="shared" si="2"/>
        <v>0</v>
      </c>
      <c r="H8" s="18"/>
      <c r="I8" s="18">
        <f t="shared" ref="I8:I33" si="6">SUM(G6:G8)/3</f>
        <v>0</v>
      </c>
      <c r="J8" s="18">
        <f t="shared" ref="J8:J33" si="7">IF(SUM(B6:B8)=0,0,I8/(SUM(B6:B8)/3)*100)</f>
        <v>0</v>
      </c>
      <c r="K8" s="18"/>
      <c r="L8" s="18"/>
      <c r="M8" s="18">
        <f>IF(SUM(G$5:G8)&lt;&gt;0,SUM(G$5:G8)/COUNTIF(G$5:G8,"&lt;&gt;0")," ")</f>
        <v>13166</v>
      </c>
      <c r="N8" s="18">
        <v>0</v>
      </c>
      <c r="O8" s="19"/>
      <c r="Q8" s="21"/>
    </row>
    <row r="9" spans="1:17" s="20" customFormat="1" ht="13.5" x14ac:dyDescent="0.25">
      <c r="A9" s="49">
        <v>1997</v>
      </c>
      <c r="B9" s="50"/>
      <c r="C9" s="51"/>
      <c r="D9" s="50" t="e">
        <f t="shared" si="0"/>
        <v>#DIV/0!</v>
      </c>
      <c r="E9" s="50"/>
      <c r="F9" s="50" t="e">
        <f t="shared" si="1"/>
        <v>#DIV/0!</v>
      </c>
      <c r="G9" s="50">
        <f t="shared" si="2"/>
        <v>0</v>
      </c>
      <c r="H9" s="18"/>
      <c r="I9" s="18">
        <f t="shared" si="6"/>
        <v>0</v>
      </c>
      <c r="J9" s="18">
        <f t="shared" si="7"/>
        <v>0</v>
      </c>
      <c r="K9" s="18">
        <f>SUM(G5:G9)/5</f>
        <v>2633.2</v>
      </c>
      <c r="L9" s="18">
        <f>IF(SUM(B5:B9)=0,0,K9/(SUM(B5:B9)/5)*100)</f>
        <v>0</v>
      </c>
      <c r="M9" s="18">
        <f>IF(SUM(G$5:G9)&lt;&gt;0,SUM(G$5:G9)/COUNTIF(G$5:G9,"&lt;&gt;0")," ")</f>
        <v>13166</v>
      </c>
      <c r="N9" s="18">
        <v>0</v>
      </c>
      <c r="O9" s="19"/>
      <c r="Q9" s="21"/>
    </row>
    <row r="10" spans="1:17" s="20" customFormat="1" ht="13.5" x14ac:dyDescent="0.25">
      <c r="A10" s="49">
        <v>1998</v>
      </c>
      <c r="B10" s="50"/>
      <c r="C10" s="51"/>
      <c r="D10" s="50" t="e">
        <f t="shared" si="0"/>
        <v>#DIV/0!</v>
      </c>
      <c r="E10" s="50"/>
      <c r="F10" s="50" t="e">
        <f t="shared" si="1"/>
        <v>#DIV/0!</v>
      </c>
      <c r="G10" s="50">
        <f t="shared" si="2"/>
        <v>0</v>
      </c>
      <c r="H10" s="18"/>
      <c r="I10" s="18">
        <f t="shared" si="6"/>
        <v>0</v>
      </c>
      <c r="J10" s="18">
        <f t="shared" si="7"/>
        <v>0</v>
      </c>
      <c r="K10" s="18">
        <f t="shared" ref="K10:K33" si="8">SUM(G6:G10)/5</f>
        <v>0</v>
      </c>
      <c r="L10" s="18">
        <f t="shared" ref="L10:L33" si="9">IF(SUM(B6:B10)=0,0,K10/(SUM(B6:B10)/5)*100)</f>
        <v>0</v>
      </c>
      <c r="M10" s="18">
        <f>IF(SUM(G$5:G10)&lt;&gt;0,SUM(G$5:G10)/COUNTIF(G$5:G10,"&lt;&gt;0")," ")</f>
        <v>13166</v>
      </c>
      <c r="N10" s="18">
        <v>0</v>
      </c>
      <c r="O10" s="19"/>
      <c r="Q10" s="21"/>
    </row>
    <row r="11" spans="1:17" s="20" customFormat="1" ht="13.5" x14ac:dyDescent="0.25">
      <c r="A11" s="49">
        <v>1999</v>
      </c>
      <c r="B11" s="50"/>
      <c r="C11" s="51"/>
      <c r="D11" s="50" t="e">
        <f t="shared" si="0"/>
        <v>#DIV/0!</v>
      </c>
      <c r="E11" s="50"/>
      <c r="F11" s="50" t="e">
        <f t="shared" si="1"/>
        <v>#DIV/0!</v>
      </c>
      <c r="G11" s="50">
        <f t="shared" si="2"/>
        <v>0</v>
      </c>
      <c r="H11" s="18"/>
      <c r="I11" s="18">
        <f t="shared" si="6"/>
        <v>0</v>
      </c>
      <c r="J11" s="18">
        <f t="shared" si="7"/>
        <v>0</v>
      </c>
      <c r="K11" s="18">
        <f t="shared" si="8"/>
        <v>0</v>
      </c>
      <c r="L11" s="18">
        <f t="shared" si="9"/>
        <v>0</v>
      </c>
      <c r="M11" s="18">
        <f>IF(SUM(G$5:G11)&lt;&gt;0,SUM(G$5:G11)/COUNTIF(G$5:G11,"&lt;&gt;0")," ")</f>
        <v>13166</v>
      </c>
      <c r="N11" s="18">
        <v>0</v>
      </c>
      <c r="O11" s="19"/>
      <c r="Q11" s="21"/>
    </row>
    <row r="12" spans="1:17" s="20" customFormat="1" ht="13.5" x14ac:dyDescent="0.25">
      <c r="A12" s="49">
        <v>2000</v>
      </c>
      <c r="B12" s="50"/>
      <c r="C12" s="51"/>
      <c r="D12" s="50" t="e">
        <f t="shared" si="0"/>
        <v>#DIV/0!</v>
      </c>
      <c r="E12" s="50"/>
      <c r="F12" s="50" t="e">
        <f t="shared" si="1"/>
        <v>#DIV/0!</v>
      </c>
      <c r="G12" s="50">
        <f t="shared" si="2"/>
        <v>0</v>
      </c>
      <c r="H12" s="18"/>
      <c r="I12" s="18">
        <f t="shared" si="6"/>
        <v>0</v>
      </c>
      <c r="J12" s="18">
        <f t="shared" si="7"/>
        <v>0</v>
      </c>
      <c r="K12" s="18">
        <f t="shared" si="8"/>
        <v>0</v>
      </c>
      <c r="L12" s="18">
        <f t="shared" si="9"/>
        <v>0</v>
      </c>
      <c r="M12" s="18">
        <f>IF(SUM(G$5:G12)&lt;&gt;0,SUM(G$5:G12)/COUNTIF(G$5:G12,"&lt;&gt;0")," ")</f>
        <v>13166</v>
      </c>
      <c r="N12" s="18">
        <v>0</v>
      </c>
      <c r="O12" s="19"/>
      <c r="Q12" s="21"/>
    </row>
    <row r="13" spans="1:17" s="20" customFormat="1" ht="13.5" x14ac:dyDescent="0.25">
      <c r="A13" s="49">
        <v>2001</v>
      </c>
      <c r="B13" s="50"/>
      <c r="C13" s="51"/>
      <c r="D13" s="50" t="e">
        <f t="shared" si="0"/>
        <v>#DIV/0!</v>
      </c>
      <c r="E13" s="50"/>
      <c r="F13" s="50" t="e">
        <f t="shared" si="1"/>
        <v>#DIV/0!</v>
      </c>
      <c r="G13" s="50">
        <f t="shared" si="2"/>
        <v>0</v>
      </c>
      <c r="H13" s="18"/>
      <c r="I13" s="18">
        <f t="shared" si="6"/>
        <v>0</v>
      </c>
      <c r="J13" s="18">
        <f t="shared" si="7"/>
        <v>0</v>
      </c>
      <c r="K13" s="18">
        <f t="shared" si="8"/>
        <v>0</v>
      </c>
      <c r="L13" s="18">
        <f t="shared" si="9"/>
        <v>0</v>
      </c>
      <c r="M13" s="18">
        <f>IF(SUM(G$5:G13)&lt;&gt;0,SUM(G$5:G13)/COUNTIF(G$5:G13,"&lt;&gt;0")," ")</f>
        <v>13166</v>
      </c>
      <c r="N13" s="18">
        <v>0</v>
      </c>
      <c r="O13" s="19"/>
      <c r="Q13" s="21"/>
    </row>
    <row r="14" spans="1:17" s="20" customFormat="1" ht="13.5" x14ac:dyDescent="0.25">
      <c r="A14" s="49">
        <v>2002</v>
      </c>
      <c r="B14" s="50"/>
      <c r="C14" s="51"/>
      <c r="D14" s="50" t="e">
        <f t="shared" si="0"/>
        <v>#DIV/0!</v>
      </c>
      <c r="E14" s="50"/>
      <c r="F14" s="50" t="e">
        <f t="shared" si="1"/>
        <v>#DIV/0!</v>
      </c>
      <c r="G14" s="50">
        <f t="shared" si="2"/>
        <v>0</v>
      </c>
      <c r="H14" s="18"/>
      <c r="I14" s="18">
        <f t="shared" si="6"/>
        <v>0</v>
      </c>
      <c r="J14" s="18">
        <f t="shared" si="7"/>
        <v>0</v>
      </c>
      <c r="K14" s="18">
        <f t="shared" si="8"/>
        <v>0</v>
      </c>
      <c r="L14" s="18">
        <f t="shared" si="9"/>
        <v>0</v>
      </c>
      <c r="M14" s="18">
        <f>IF(SUM(G$5:G14)&lt;&gt;0,SUM(G$5:G14)/COUNTIF(G$5:G14,"&lt;&gt;0")," ")</f>
        <v>13166</v>
      </c>
      <c r="N14" s="18">
        <v>0</v>
      </c>
      <c r="O14" s="19"/>
      <c r="Q14" s="21"/>
    </row>
    <row r="15" spans="1:17" s="20" customFormat="1" ht="13.5" x14ac:dyDescent="0.25">
      <c r="A15" s="49">
        <v>2003</v>
      </c>
      <c r="B15" s="50"/>
      <c r="C15" s="51"/>
      <c r="D15" s="50" t="e">
        <f t="shared" si="0"/>
        <v>#DIV/0!</v>
      </c>
      <c r="E15" s="50"/>
      <c r="F15" s="50" t="e">
        <f t="shared" si="1"/>
        <v>#DIV/0!</v>
      </c>
      <c r="G15" s="50">
        <f t="shared" si="2"/>
        <v>0</v>
      </c>
      <c r="H15" s="18"/>
      <c r="I15" s="18">
        <f t="shared" si="6"/>
        <v>0</v>
      </c>
      <c r="J15" s="18">
        <f t="shared" si="7"/>
        <v>0</v>
      </c>
      <c r="K15" s="18">
        <f t="shared" si="8"/>
        <v>0</v>
      </c>
      <c r="L15" s="18">
        <f t="shared" si="9"/>
        <v>0</v>
      </c>
      <c r="M15" s="18">
        <f>IF(SUM(G$5:G15)&lt;&gt;0,SUM(G$5:G15)/COUNTIF(G$5:G15,"&lt;&gt;0")," ")</f>
        <v>13166</v>
      </c>
      <c r="N15" s="18">
        <v>0</v>
      </c>
      <c r="O15" s="19"/>
      <c r="Q15" s="21"/>
    </row>
    <row r="16" spans="1:17" s="20" customFormat="1" ht="13.5" x14ac:dyDescent="0.25">
      <c r="A16" s="49">
        <v>2004</v>
      </c>
      <c r="B16" s="50"/>
      <c r="C16" s="51"/>
      <c r="D16" s="50" t="e">
        <f t="shared" si="0"/>
        <v>#DIV/0!</v>
      </c>
      <c r="E16" s="50"/>
      <c r="F16" s="50" t="e">
        <f t="shared" si="1"/>
        <v>#DIV/0!</v>
      </c>
      <c r="G16" s="50">
        <f>E16-C16</f>
        <v>0</v>
      </c>
      <c r="H16" s="18"/>
      <c r="I16" s="18">
        <f t="shared" si="6"/>
        <v>0</v>
      </c>
      <c r="J16" s="18">
        <f t="shared" si="7"/>
        <v>0</v>
      </c>
      <c r="K16" s="18">
        <f t="shared" si="8"/>
        <v>0</v>
      </c>
      <c r="L16" s="18">
        <f t="shared" si="9"/>
        <v>0</v>
      </c>
      <c r="M16" s="18">
        <f>IF(SUM(G$5:G16)&lt;&gt;0,SUM(G$5:G16)/COUNTIF(G$5:G16,"&lt;&gt;0")," ")</f>
        <v>13166</v>
      </c>
      <c r="N16" s="18">
        <v>0</v>
      </c>
      <c r="O16" s="19"/>
      <c r="Q16" s="21"/>
    </row>
    <row r="17" spans="1:17" s="20" customFormat="1" ht="13.5" x14ac:dyDescent="0.25">
      <c r="A17" s="49">
        <v>2005</v>
      </c>
      <c r="B17" s="50"/>
      <c r="C17" s="51"/>
      <c r="D17" s="50" t="e">
        <f t="shared" si="0"/>
        <v>#DIV/0!</v>
      </c>
      <c r="E17" s="50"/>
      <c r="F17" s="50" t="e">
        <f t="shared" si="1"/>
        <v>#DIV/0!</v>
      </c>
      <c r="G17" s="50">
        <f t="shared" ref="G17:G27" si="10">E17-C17</f>
        <v>0</v>
      </c>
      <c r="H17" s="18"/>
      <c r="I17" s="18">
        <f t="shared" si="6"/>
        <v>0</v>
      </c>
      <c r="J17" s="18">
        <f t="shared" si="7"/>
        <v>0</v>
      </c>
      <c r="K17" s="18">
        <f t="shared" si="8"/>
        <v>0</v>
      </c>
      <c r="L17" s="18">
        <f t="shared" si="9"/>
        <v>0</v>
      </c>
      <c r="M17" s="18">
        <f>IF(SUM(G$5:G17)&lt;&gt;0,SUM(G$5:G17)/COUNTIF(G$5:G17,"&lt;&gt;0")," ")</f>
        <v>13166</v>
      </c>
      <c r="N17" s="18">
        <v>0</v>
      </c>
      <c r="O17" s="19"/>
      <c r="Q17" s="21"/>
    </row>
    <row r="18" spans="1:17" s="20" customFormat="1" ht="13.5" x14ac:dyDescent="0.25">
      <c r="A18" s="49">
        <v>2006</v>
      </c>
      <c r="B18" s="50"/>
      <c r="C18" s="51"/>
      <c r="D18" s="50" t="e">
        <f t="shared" si="0"/>
        <v>#DIV/0!</v>
      </c>
      <c r="E18" s="50"/>
      <c r="F18" s="50" t="e">
        <f t="shared" si="1"/>
        <v>#DIV/0!</v>
      </c>
      <c r="G18" s="50">
        <f t="shared" si="10"/>
        <v>0</v>
      </c>
      <c r="H18" s="18"/>
      <c r="I18" s="18">
        <f t="shared" si="6"/>
        <v>0</v>
      </c>
      <c r="J18" s="18">
        <f t="shared" si="7"/>
        <v>0</v>
      </c>
      <c r="K18" s="18">
        <f t="shared" si="8"/>
        <v>0</v>
      </c>
      <c r="L18" s="18">
        <f t="shared" si="9"/>
        <v>0</v>
      </c>
      <c r="M18" s="18">
        <f>IF(SUM(G$5:G18)&lt;&gt;0,SUM(G$5:G18)/COUNTIF(G$5:G18,"&lt;&gt;0")," ")</f>
        <v>13166</v>
      </c>
      <c r="N18" s="18">
        <v>0</v>
      </c>
      <c r="O18" s="19"/>
      <c r="Q18" s="21"/>
    </row>
    <row r="19" spans="1:17" s="20" customFormat="1" ht="13.5" x14ac:dyDescent="0.25">
      <c r="A19" s="49">
        <v>2007</v>
      </c>
      <c r="B19" s="50"/>
      <c r="C19" s="51"/>
      <c r="D19" s="50" t="e">
        <f t="shared" si="0"/>
        <v>#DIV/0!</v>
      </c>
      <c r="E19" s="50"/>
      <c r="F19" s="50" t="e">
        <f t="shared" si="1"/>
        <v>#DIV/0!</v>
      </c>
      <c r="G19" s="50">
        <f t="shared" si="10"/>
        <v>0</v>
      </c>
      <c r="H19" s="18"/>
      <c r="I19" s="18">
        <f t="shared" si="6"/>
        <v>0</v>
      </c>
      <c r="J19" s="18">
        <f t="shared" si="7"/>
        <v>0</v>
      </c>
      <c r="K19" s="18">
        <f t="shared" si="8"/>
        <v>0</v>
      </c>
      <c r="L19" s="18">
        <f t="shared" si="9"/>
        <v>0</v>
      </c>
      <c r="M19" s="18">
        <f>IF(SUM(G$5:G19)&lt;&gt;0,SUM(G$5:G19)/COUNTIF(G$5:G19,"&lt;&gt;0")," ")</f>
        <v>13166</v>
      </c>
      <c r="N19" s="18">
        <v>0</v>
      </c>
      <c r="O19" s="19"/>
      <c r="Q19" s="21"/>
    </row>
    <row r="20" spans="1:17" s="20" customFormat="1" ht="13.5" x14ac:dyDescent="0.25">
      <c r="A20" s="49">
        <v>2008</v>
      </c>
      <c r="B20" s="50"/>
      <c r="C20" s="51"/>
      <c r="D20" s="50" t="e">
        <f t="shared" si="0"/>
        <v>#DIV/0!</v>
      </c>
      <c r="E20" s="50"/>
      <c r="F20" s="50" t="e">
        <f t="shared" si="1"/>
        <v>#DIV/0!</v>
      </c>
      <c r="G20" s="50">
        <f t="shared" si="10"/>
        <v>0</v>
      </c>
      <c r="H20" s="18"/>
      <c r="I20" s="18">
        <f t="shared" si="6"/>
        <v>0</v>
      </c>
      <c r="J20" s="18">
        <f t="shared" si="7"/>
        <v>0</v>
      </c>
      <c r="K20" s="18">
        <f t="shared" si="8"/>
        <v>0</v>
      </c>
      <c r="L20" s="18">
        <f t="shared" si="9"/>
        <v>0</v>
      </c>
      <c r="M20" s="18">
        <f>IF(SUM(G$5:G20)&lt;&gt;0,SUM(G$5:G20)/COUNTIF(G$5:G20,"&lt;&gt;0")," ")</f>
        <v>13166</v>
      </c>
      <c r="N20" s="18">
        <v>0</v>
      </c>
      <c r="O20" s="19"/>
      <c r="Q20" s="21"/>
    </row>
    <row r="21" spans="1:17" s="20" customFormat="1" ht="13.5" x14ac:dyDescent="0.25">
      <c r="A21" s="49">
        <v>2009</v>
      </c>
      <c r="B21" s="50"/>
      <c r="C21" s="51"/>
      <c r="D21" s="50" t="e">
        <f t="shared" si="0"/>
        <v>#DIV/0!</v>
      </c>
      <c r="E21" s="50"/>
      <c r="F21" s="50" t="e">
        <f t="shared" si="1"/>
        <v>#DIV/0!</v>
      </c>
      <c r="G21" s="50">
        <f t="shared" si="10"/>
        <v>0</v>
      </c>
      <c r="H21" s="18"/>
      <c r="I21" s="18">
        <f t="shared" si="6"/>
        <v>0</v>
      </c>
      <c r="J21" s="18">
        <f t="shared" si="7"/>
        <v>0</v>
      </c>
      <c r="K21" s="18">
        <f t="shared" si="8"/>
        <v>0</v>
      </c>
      <c r="L21" s="18">
        <f t="shared" si="9"/>
        <v>0</v>
      </c>
      <c r="M21" s="18">
        <f>IF(SUM(G$5:G21)&lt;&gt;0,SUM(G$5:G21)/COUNTIF(G$5:G21,"&lt;&gt;0")," ")</f>
        <v>13166</v>
      </c>
      <c r="N21" s="18">
        <v>0</v>
      </c>
      <c r="O21" s="19"/>
      <c r="Q21" s="21"/>
    </row>
    <row r="22" spans="1:17" s="20" customFormat="1" ht="13.5" x14ac:dyDescent="0.25">
      <c r="A22" s="49">
        <v>2010</v>
      </c>
      <c r="B22" s="50">
        <v>10615185.52</v>
      </c>
      <c r="C22" s="51"/>
      <c r="D22" s="50">
        <f t="shared" si="0"/>
        <v>0</v>
      </c>
      <c r="E22" s="50"/>
      <c r="F22" s="50">
        <f t="shared" si="1"/>
        <v>0</v>
      </c>
      <c r="G22" s="50">
        <v>-13206.85</v>
      </c>
      <c r="H22" s="18">
        <f t="shared" ref="H22:H35" si="11">G22/B22*100</f>
        <v>-0.12441468851502466</v>
      </c>
      <c r="I22" s="18">
        <f t="shared" si="6"/>
        <v>-4402.2833333333338</v>
      </c>
      <c r="J22" s="18">
        <f t="shared" si="7"/>
        <v>-0.12441468851502467</v>
      </c>
      <c r="K22" s="18">
        <f t="shared" si="8"/>
        <v>-2641.37</v>
      </c>
      <c r="L22" s="18">
        <f t="shared" si="9"/>
        <v>-0.12441468851502466</v>
      </c>
      <c r="M22" s="18">
        <f>IF(SUM(G$5:G22)&lt;&gt;0,SUM(G$5:G22)/COUNTIF(G$5:G22,"&lt;&gt;0")," ")</f>
        <v>-20.425000000000182</v>
      </c>
      <c r="N22" s="18">
        <f>IF(SUM(G$5:G22)=0,0,M22*COUNTIF(G$5:G22,"&lt;&gt;0")/(SUM(B$5:B22))*100)</f>
        <v>-3.8482605813186359E-4</v>
      </c>
      <c r="O22" s="19"/>
      <c r="Q22" s="21"/>
    </row>
    <row r="23" spans="1:17" s="20" customFormat="1" ht="13.5" x14ac:dyDescent="0.25">
      <c r="A23" s="49">
        <v>2011</v>
      </c>
      <c r="B23" s="50">
        <v>1286546.6399999999</v>
      </c>
      <c r="C23" s="51"/>
      <c r="D23" s="50">
        <f t="shared" si="0"/>
        <v>0</v>
      </c>
      <c r="E23" s="50"/>
      <c r="F23" s="50">
        <f t="shared" si="1"/>
        <v>0</v>
      </c>
      <c r="G23" s="50">
        <v>-2019064.79</v>
      </c>
      <c r="H23" s="18">
        <f t="shared" si="11"/>
        <v>-156.93677378070026</v>
      </c>
      <c r="I23" s="18">
        <f t="shared" si="6"/>
        <v>-677423.88</v>
      </c>
      <c r="J23" s="18">
        <f t="shared" si="7"/>
        <v>-17.075427447696821</v>
      </c>
      <c r="K23" s="18">
        <f t="shared" si="8"/>
        <v>-406454.32800000004</v>
      </c>
      <c r="L23" s="18">
        <f t="shared" si="9"/>
        <v>-17.075427447696825</v>
      </c>
      <c r="M23" s="18">
        <f>IF(SUM(G$5:G23)&lt;&gt;0,SUM(G$5:G23)/COUNTIF(G$5:G23,"&lt;&gt;0")," ")</f>
        <v>-673035.21333333338</v>
      </c>
      <c r="N23" s="18">
        <f>IF(SUM(G$5:G23)=0,0,M23*COUNTIF(G$5:G23,"&lt;&gt;0")/(SUM(B$5:B23))*100)</f>
        <v>-16.964804894416311</v>
      </c>
      <c r="O23" s="19"/>
      <c r="Q23" s="21"/>
    </row>
    <row r="24" spans="1:17" s="20" customFormat="1" ht="13.5" x14ac:dyDescent="0.25">
      <c r="A24" s="49">
        <v>2012</v>
      </c>
      <c r="B24" s="50">
        <v>3703483.86</v>
      </c>
      <c r="C24" s="51"/>
      <c r="D24" s="50">
        <f t="shared" si="0"/>
        <v>0</v>
      </c>
      <c r="E24" s="50"/>
      <c r="F24" s="50">
        <f t="shared" si="1"/>
        <v>0</v>
      </c>
      <c r="G24" s="50">
        <v>0</v>
      </c>
      <c r="H24" s="18">
        <f t="shared" si="11"/>
        <v>0</v>
      </c>
      <c r="I24" s="18">
        <f t="shared" si="6"/>
        <v>-677423.88</v>
      </c>
      <c r="J24" s="18">
        <f t="shared" si="7"/>
        <v>-13.023027924736155</v>
      </c>
      <c r="K24" s="18">
        <f t="shared" si="8"/>
        <v>-406454.32800000004</v>
      </c>
      <c r="L24" s="18">
        <f t="shared" si="9"/>
        <v>-13.023027924736155</v>
      </c>
      <c r="M24" s="18">
        <f>IF(SUM(G$5:G24)&lt;&gt;0,SUM(G$5:G24)/COUNTIF(G$5:G24,"&lt;&gt;0")," ")</f>
        <v>-673035.21333333338</v>
      </c>
      <c r="N24" s="18">
        <f>IF(SUM(G$5:G24)=0,0,M24*COUNTIF(G$5:G24,"&lt;&gt;0")/(SUM(B$5:B24))*100)</f>
        <v>-12.93865869855482</v>
      </c>
      <c r="O24" s="19"/>
      <c r="Q24" s="21"/>
    </row>
    <row r="25" spans="1:17" s="20" customFormat="1" ht="13.5" x14ac:dyDescent="0.25">
      <c r="A25" s="49">
        <v>2013</v>
      </c>
      <c r="B25" s="50">
        <v>1118061.18</v>
      </c>
      <c r="C25" s="51"/>
      <c r="D25" s="50">
        <f t="shared" si="0"/>
        <v>0</v>
      </c>
      <c r="E25" s="50"/>
      <c r="F25" s="50">
        <f t="shared" si="1"/>
        <v>0</v>
      </c>
      <c r="G25" s="50">
        <v>-161737.65</v>
      </c>
      <c r="H25" s="18">
        <f t="shared" si="11"/>
        <v>-14.465903377487804</v>
      </c>
      <c r="I25" s="18">
        <f t="shared" si="6"/>
        <v>-726934.14666666661</v>
      </c>
      <c r="J25" s="18">
        <f t="shared" si="7"/>
        <v>-35.703498805374842</v>
      </c>
      <c r="K25" s="18">
        <f t="shared" si="8"/>
        <v>-438801.85800000001</v>
      </c>
      <c r="L25" s="18">
        <f t="shared" si="9"/>
        <v>-13.119493648051234</v>
      </c>
      <c r="M25" s="18">
        <f>IF(SUM(G$5:G25)&lt;&gt;0,SUM(G$5:G25)/COUNTIF(G$5:G25,"&lt;&gt;0")," ")</f>
        <v>-545210.82250000001</v>
      </c>
      <c r="N25" s="18">
        <f>IF(SUM(G$5:G25)=0,0,M25*COUNTIF(G$5:G25,"&lt;&gt;0")/(SUM(B$5:B25))*100)</f>
        <v>-13.04076506009241</v>
      </c>
      <c r="O25" s="19"/>
      <c r="Q25" s="21"/>
    </row>
    <row r="26" spans="1:17" s="20" customFormat="1" ht="13.5" x14ac:dyDescent="0.25">
      <c r="A26" s="49">
        <v>2014</v>
      </c>
      <c r="B26" s="50">
        <v>252087.57</v>
      </c>
      <c r="C26" s="51"/>
      <c r="D26" s="50">
        <f t="shared" si="0"/>
        <v>0</v>
      </c>
      <c r="E26" s="50"/>
      <c r="F26" s="50">
        <f t="shared" si="1"/>
        <v>0</v>
      </c>
      <c r="G26" s="50">
        <v>-49746.09</v>
      </c>
      <c r="H26" s="18">
        <f t="shared" si="11"/>
        <v>-19.733654459837112</v>
      </c>
      <c r="I26" s="18">
        <f t="shared" si="6"/>
        <v>-70494.58</v>
      </c>
      <c r="J26" s="18">
        <f t="shared" si="7"/>
        <v>-4.1682903800163009</v>
      </c>
      <c r="K26" s="18">
        <f t="shared" si="8"/>
        <v>-448751.076</v>
      </c>
      <c r="L26" s="18">
        <f t="shared" si="9"/>
        <v>-13.217715262091536</v>
      </c>
      <c r="M26" s="18">
        <f>IF(SUM(G$5:G26)&lt;&gt;0,SUM(G$5:G26)/COUNTIF(G$5:G26,"&lt;&gt;0")," ")</f>
        <v>-446117.87599999999</v>
      </c>
      <c r="N26" s="18">
        <f>IF(SUM(G$5:G26)=0,0,M26*COUNTIF(G$5:G26,"&lt;&gt;0")/(SUM(B$5:B26))*100)</f>
        <v>-13.140155809447151</v>
      </c>
      <c r="O26" s="19"/>
      <c r="Q26" s="21"/>
    </row>
    <row r="27" spans="1:17" s="20" customFormat="1" ht="13.5" x14ac:dyDescent="0.25">
      <c r="A27" s="49">
        <v>2015</v>
      </c>
      <c r="B27" s="50">
        <f>4047898+12447</f>
        <v>4060345</v>
      </c>
      <c r="C27" s="51">
        <v>153.67000000000007</v>
      </c>
      <c r="D27" s="50">
        <f t="shared" si="0"/>
        <v>3.7846537671059987E-3</v>
      </c>
      <c r="E27" s="50"/>
      <c r="F27" s="50">
        <f t="shared" si="1"/>
        <v>0</v>
      </c>
      <c r="G27" s="50">
        <f t="shared" si="10"/>
        <v>-153.67000000000007</v>
      </c>
      <c r="H27" s="18">
        <f t="shared" si="11"/>
        <v>-3.7846537671059987E-3</v>
      </c>
      <c r="I27" s="18">
        <f t="shared" si="6"/>
        <v>-70545.80333333333</v>
      </c>
      <c r="J27" s="18">
        <f t="shared" si="7"/>
        <v>-3.8972038223964436</v>
      </c>
      <c r="K27" s="18">
        <f t="shared" si="8"/>
        <v>-446140.43999999994</v>
      </c>
      <c r="L27" s="18">
        <f t="shared" si="9"/>
        <v>-21.406813577541453</v>
      </c>
      <c r="M27" s="18">
        <f>IF(SUM(G$5:G27)&lt;&gt;0,SUM(G$5:G27)/COUNTIF(G$5:G27,"&lt;&gt;0")," ")</f>
        <v>-371790.5083333333</v>
      </c>
      <c r="N27" s="18">
        <f>IF(SUM(G$5:G27)=0,0,M27*COUNTIF(G$5:G27,"&lt;&gt;0")/(SUM(B$5:B27))*100)</f>
        <v>-10.604553278165902</v>
      </c>
      <c r="O27" s="19"/>
      <c r="P27" s="22"/>
      <c r="Q27" s="21"/>
    </row>
    <row r="28" spans="1:17" s="20" customFormat="1" ht="13.5" x14ac:dyDescent="0.25">
      <c r="A28" s="49">
        <v>2016</v>
      </c>
      <c r="B28" s="54">
        <v>1745</v>
      </c>
      <c r="C28" s="51"/>
      <c r="D28" s="50">
        <f t="shared" si="0"/>
        <v>0</v>
      </c>
      <c r="E28" s="50"/>
      <c r="F28" s="50">
        <f t="shared" si="1"/>
        <v>0</v>
      </c>
      <c r="G28" s="50">
        <v>-17131.939999999999</v>
      </c>
      <c r="H28" s="18">
        <f t="shared" si="11"/>
        <v>-981.77306590257876</v>
      </c>
      <c r="I28" s="18">
        <f t="shared" si="6"/>
        <v>-22343.899999999998</v>
      </c>
      <c r="J28" s="18">
        <f t="shared" si="7"/>
        <v>-1.5537538479205433</v>
      </c>
      <c r="K28" s="18">
        <f t="shared" si="8"/>
        <v>-45753.87</v>
      </c>
      <c r="L28" s="18">
        <f t="shared" si="9"/>
        <v>-2.5041188285378562</v>
      </c>
      <c r="M28" s="18">
        <f>IF(SUM(G$5:G28)&lt;&gt;0,SUM(G$5:G28)/COUNTIF(G$5:G28,"&lt;&gt;0")," ")</f>
        <v>-321124.99857142853</v>
      </c>
      <c r="N28" s="18">
        <f>IF(SUM(G$5:G28)=0,0,M28*COUNTIF(G$5:G28,"&lt;&gt;0")/(SUM(B$5:B28))*100)</f>
        <v>-10.685109080807306</v>
      </c>
      <c r="O28" s="19"/>
      <c r="P28" s="22"/>
      <c r="Q28" s="21"/>
    </row>
    <row r="29" spans="1:17" s="20" customFormat="1" ht="13.5" x14ac:dyDescent="0.25">
      <c r="A29" s="49">
        <v>2017</v>
      </c>
      <c r="B29" s="50"/>
      <c r="C29" s="51"/>
      <c r="D29" s="50" t="e">
        <f t="shared" si="0"/>
        <v>#DIV/0!</v>
      </c>
      <c r="E29" s="50"/>
      <c r="F29" s="50" t="e">
        <f t="shared" si="1"/>
        <v>#DIV/0!</v>
      </c>
      <c r="G29" s="50">
        <v>-65442.83</v>
      </c>
      <c r="H29" s="18"/>
      <c r="I29" s="18">
        <f t="shared" si="6"/>
        <v>-27576.146666666667</v>
      </c>
      <c r="J29" s="18">
        <f t="shared" si="7"/>
        <v>-2.0365979089581967</v>
      </c>
      <c r="K29" s="18">
        <f t="shared" si="8"/>
        <v>-58842.436000000002</v>
      </c>
      <c r="L29" s="18">
        <f t="shared" si="9"/>
        <v>-5.4160391974671587</v>
      </c>
      <c r="M29" s="18">
        <f>IF(SUM(G$5:G29)&lt;&gt;0,SUM(G$5:G29)/COUNTIF(G$5:G29,"&lt;&gt;0")," ")</f>
        <v>-289164.72749999998</v>
      </c>
      <c r="N29" s="18">
        <f>IF(SUM(G$5:G29)=0,0,M29*COUNTIF(G$5:G29,"&lt;&gt;0")/(SUM(B$5:B29))*100)</f>
        <v>-10.996186778729792</v>
      </c>
      <c r="O29" s="19"/>
      <c r="P29" s="22"/>
      <c r="Q29" s="21"/>
    </row>
    <row r="30" spans="1:17" s="20" customFormat="1" ht="13.5" x14ac:dyDescent="0.25">
      <c r="A30" s="49">
        <v>2018</v>
      </c>
      <c r="B30" s="50">
        <v>21926588.16</v>
      </c>
      <c r="C30" s="51"/>
      <c r="D30" s="50">
        <f t="shared" si="0"/>
        <v>0</v>
      </c>
      <c r="E30" s="50"/>
      <c r="F30" s="50">
        <f t="shared" si="1"/>
        <v>0</v>
      </c>
      <c r="G30" s="50">
        <v>-4321018.17</v>
      </c>
      <c r="H30" s="18">
        <f t="shared" si="11"/>
        <v>-19.706751175646652</v>
      </c>
      <c r="I30" s="18">
        <f t="shared" si="6"/>
        <v>-1467864.3133333332</v>
      </c>
      <c r="J30" s="18">
        <f t="shared" si="7"/>
        <v>-20.081749524093784</v>
      </c>
      <c r="K30" s="18">
        <f t="shared" si="8"/>
        <v>-890698.54</v>
      </c>
      <c r="L30" s="18">
        <f t="shared" si="9"/>
        <v>-16.97165679471199</v>
      </c>
      <c r="M30" s="18">
        <f>IF(SUM(G$5:G30)&lt;&gt;0,SUM(G$5:G30)/COUNTIF(G$5:G30,"&lt;&gt;0")," ")</f>
        <v>-737148.44333333336</v>
      </c>
      <c r="N30" s="18">
        <f>IF(SUM(G$5:G30)=0,0,M30*COUNTIF(G$5:G30,"&lt;&gt;0")/(SUM(B$5:B30))*100)</f>
        <v>-15.441600784193241</v>
      </c>
      <c r="O30" s="19"/>
      <c r="P30" s="22"/>
      <c r="Q30" s="21"/>
    </row>
    <row r="31" spans="1:17" s="20" customFormat="1" ht="13.5" x14ac:dyDescent="0.25">
      <c r="A31" s="49">
        <v>2019</v>
      </c>
      <c r="B31" s="50">
        <v>1046805.56</v>
      </c>
      <c r="C31" s="51"/>
      <c r="D31" s="50">
        <f t="shared" si="0"/>
        <v>0</v>
      </c>
      <c r="E31" s="50"/>
      <c r="F31" s="50">
        <f t="shared" si="1"/>
        <v>0</v>
      </c>
      <c r="G31" s="50">
        <v>-559711.94999999995</v>
      </c>
      <c r="H31" s="18">
        <f t="shared" si="11"/>
        <v>-53.468568699615993</v>
      </c>
      <c r="I31" s="18">
        <f t="shared" si="6"/>
        <v>-1648724.3166666667</v>
      </c>
      <c r="J31" s="18">
        <f t="shared" si="7"/>
        <v>-21.530005580734027</v>
      </c>
      <c r="K31" s="18">
        <f t="shared" si="8"/>
        <v>-992691.71200000006</v>
      </c>
      <c r="L31" s="18">
        <f t="shared" si="9"/>
        <v>-18.359052167904029</v>
      </c>
      <c r="M31" s="18">
        <f>IF(SUM(G$5:G31)&lt;&gt;0,SUM(G$5:G31)/COUNTIF(G$5:G31,"&lt;&gt;0")," ")</f>
        <v>-719404.79399999999</v>
      </c>
      <c r="N31" s="18">
        <f>IF(SUM(G$5:G31)=0,0,M31*COUNTIF(G$5:G31,"&lt;&gt;0")/(SUM(B$5:B31))*100)</f>
        <v>-16.346078721101247</v>
      </c>
      <c r="O31" s="19"/>
      <c r="P31" s="22"/>
      <c r="Q31" s="21"/>
    </row>
    <row r="32" spans="1:17" s="20" customFormat="1" ht="13.5" x14ac:dyDescent="0.25">
      <c r="A32" s="49">
        <v>2020</v>
      </c>
      <c r="B32" s="50">
        <v>2079480.04</v>
      </c>
      <c r="C32" s="51"/>
      <c r="D32" s="50">
        <f t="shared" si="0"/>
        <v>0</v>
      </c>
      <c r="E32" s="50"/>
      <c r="F32" s="50">
        <f t="shared" si="1"/>
        <v>0</v>
      </c>
      <c r="G32" s="50">
        <v>-564463.71</v>
      </c>
      <c r="H32" s="18">
        <f t="shared" si="11"/>
        <v>-27.144463959365535</v>
      </c>
      <c r="I32" s="18">
        <f t="shared" si="6"/>
        <v>-1815064.61</v>
      </c>
      <c r="J32" s="18">
        <f t="shared" si="7"/>
        <v>-21.734807280647875</v>
      </c>
      <c r="K32" s="18">
        <f t="shared" si="8"/>
        <v>-1105553.72</v>
      </c>
      <c r="L32" s="18">
        <f t="shared" si="9"/>
        <v>-22.062872530414033</v>
      </c>
      <c r="M32" s="18">
        <f>IF(SUM(G$5:G32)&lt;&gt;0,SUM(G$5:G32)/COUNTIF(G$5:G32,"&lt;&gt;0")," ")</f>
        <v>-705319.24090909096</v>
      </c>
      <c r="N32" s="18">
        <f>IF(SUM(G$5:G32)=0,0,M32*COUNTIF(G$5:G32,"&lt;&gt;0")/(SUM(B$5:B32))*100)</f>
        <v>-16.833274783342059</v>
      </c>
      <c r="O32" s="19"/>
      <c r="P32" s="22"/>
      <c r="Q32" s="21"/>
    </row>
    <row r="33" spans="1:17" s="20" customFormat="1" ht="13.5" x14ac:dyDescent="0.25">
      <c r="A33" s="49">
        <v>2021</v>
      </c>
      <c r="B33" s="50">
        <v>5094703.5599999996</v>
      </c>
      <c r="C33" s="51"/>
      <c r="D33" s="50"/>
      <c r="E33" s="50"/>
      <c r="F33" s="50"/>
      <c r="G33" s="50">
        <v>-564584.95999999996</v>
      </c>
      <c r="H33" s="18">
        <f t="shared" si="11"/>
        <v>-11.081801980251035</v>
      </c>
      <c r="I33" s="18">
        <f t="shared" si="6"/>
        <v>-562920.20666666667</v>
      </c>
      <c r="J33" s="18">
        <f t="shared" si="7"/>
        <v>-20.542061145352488</v>
      </c>
      <c r="K33" s="18">
        <f t="shared" si="8"/>
        <v>-1215044.324</v>
      </c>
      <c r="L33" s="18">
        <f t="shared" si="9"/>
        <v>-20.151608056311971</v>
      </c>
      <c r="M33" s="18">
        <f>IF(SUM(G$5:G33)&lt;&gt;0,SUM(G$5:G33)/COUNTIF(G$5:G33,"&lt;&gt;0")," ")</f>
        <v>-693591.38416666666</v>
      </c>
      <c r="N33" s="18">
        <f>IF(SUM(G$5:G33)=0,0,M33*COUNTIF(G$5:G33,"&lt;&gt;0")/(SUM(B$5:B33))*100)</f>
        <v>-16.260801781593646</v>
      </c>
      <c r="O33" s="19"/>
      <c r="P33" s="22"/>
      <c r="Q33" s="21"/>
    </row>
    <row r="34" spans="1:17" s="20" customFormat="1" ht="13.5" x14ac:dyDescent="0.25">
      <c r="A34" s="23"/>
      <c r="B34" s="24"/>
      <c r="C34" s="24"/>
      <c r="D34" s="25"/>
      <c r="E34" s="50"/>
      <c r="F34" s="18"/>
      <c r="G34" s="50"/>
      <c r="H34" s="25"/>
      <c r="I34" s="18"/>
      <c r="J34" s="18"/>
      <c r="K34" s="18"/>
      <c r="L34" s="18"/>
      <c r="M34" s="18"/>
      <c r="N34" s="18"/>
      <c r="O34" s="19"/>
    </row>
    <row r="35" spans="1:17" s="32" customFormat="1" ht="30" customHeight="1" x14ac:dyDescent="0.3">
      <c r="A35" s="26" t="s">
        <v>17</v>
      </c>
      <c r="B35" s="27">
        <f>SUM(B5:B34)</f>
        <v>51185032.090000004</v>
      </c>
      <c r="C35" s="27">
        <f>SUM(C5:C34)</f>
        <v>153.67000000000007</v>
      </c>
      <c r="D35" s="28">
        <f t="shared" si="0"/>
        <v>3.0022448697462575E-4</v>
      </c>
      <c r="E35" s="29">
        <f>SUM(E5:E34)</f>
        <v>13166</v>
      </c>
      <c r="F35" s="28">
        <f>E35/B35*100</f>
        <v>2.5722363476982632E-2</v>
      </c>
      <c r="G35" s="29">
        <f>SUM(G5:G34)</f>
        <v>-8323096.6100000003</v>
      </c>
      <c r="H35" s="28">
        <f t="shared" si="11"/>
        <v>-16.260801781593649</v>
      </c>
      <c r="I35" s="30"/>
      <c r="J35" s="30"/>
      <c r="K35" s="30"/>
      <c r="L35" s="30"/>
      <c r="M35" s="30"/>
      <c r="N35" s="30"/>
      <c r="O35" s="31"/>
    </row>
    <row r="37" spans="1:17" x14ac:dyDescent="0.35">
      <c r="B37" s="38"/>
    </row>
    <row r="38" spans="1:17" x14ac:dyDescent="0.35">
      <c r="B38" s="38"/>
    </row>
  </sheetData>
  <conditionalFormatting sqref="A27:XFD27 A22:A26 C22:F26 A31:F31 A28:A30 C28:F30 A32:A33 C32:F33 H22:XFD26 A5:XFD21 H28:XFD33">
    <cfRule type="expression" dxfId="56" priority="7">
      <formula>MOD(ROW(),2)=0</formula>
    </cfRule>
  </conditionalFormatting>
  <conditionalFormatting sqref="A34:XFD35">
    <cfRule type="expression" dxfId="55" priority="6">
      <formula>MOD(ROW(),2)=0</formula>
    </cfRule>
  </conditionalFormatting>
  <conditionalFormatting sqref="B22:B26">
    <cfRule type="expression" dxfId="54" priority="5">
      <formula>MOD(ROW(),2)=0</formula>
    </cfRule>
  </conditionalFormatting>
  <conditionalFormatting sqref="B28:B30">
    <cfRule type="expression" dxfId="53" priority="4">
      <formula>MOD(ROW(),2)=0</formula>
    </cfRule>
  </conditionalFormatting>
  <conditionalFormatting sqref="B32:B33">
    <cfRule type="expression" dxfId="52" priority="3">
      <formula>MOD(ROW(),2)=0</formula>
    </cfRule>
  </conditionalFormatting>
  <conditionalFormatting sqref="G22:G26">
    <cfRule type="expression" dxfId="51" priority="2">
      <formula>MOD(ROW(),2)=0</formula>
    </cfRule>
  </conditionalFormatting>
  <conditionalFormatting sqref="G28:G33">
    <cfRule type="expression" dxfId="50" priority="1">
      <formula>MOD(ROW(),2)=0</formula>
    </cfRule>
  </conditionalFormatting>
  <printOptions horizontalCentered="1"/>
  <pageMargins left="0.7" right="0.7" top="0.75" bottom="0.75" header="0.3" footer="0.3"/>
  <pageSetup scale="90" orientation="landscape" r:id="rId1"/>
  <rowBreaks count="1" manualBreakCount="1">
    <brk id="31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D77A-67CB-44AD-897F-55D15067C6DB}">
  <dimension ref="A1:Q36"/>
  <sheetViews>
    <sheetView tabSelected="1" view="pageBreakPreview" zoomScale="60" zoomScaleNormal="100" workbookViewId="0"/>
  </sheetViews>
  <sheetFormatPr defaultColWidth="9" defaultRowHeight="16" x14ac:dyDescent="0.35"/>
  <cols>
    <col min="1" max="1" width="6.54296875" style="33" customWidth="1"/>
    <col min="2" max="2" width="26.1796875" style="34" bestFit="1" customWidth="1"/>
    <col min="3" max="3" width="13.81640625" style="34" hidden="1" customWidth="1"/>
    <col min="4" max="6" width="12.54296875" style="35" hidden="1" customWidth="1"/>
    <col min="7" max="7" width="14.36328125" style="35" customWidth="1"/>
    <col min="8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22</v>
      </c>
      <c r="B2" s="40"/>
      <c r="C2" s="40"/>
      <c r="D2" s="40"/>
      <c r="E2" s="40"/>
      <c r="F2" s="40"/>
      <c r="G2" s="47"/>
      <c r="H2" s="41"/>
      <c r="I2" s="42"/>
      <c r="J2" s="42"/>
      <c r="K2" s="42"/>
      <c r="L2" s="42"/>
      <c r="M2" s="42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45"/>
      <c r="K3" s="45"/>
      <c r="L3" s="45"/>
      <c r="M3" s="45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1995</v>
      </c>
      <c r="B5" s="50"/>
      <c r="C5" s="51"/>
      <c r="D5" s="50" t="e">
        <f t="shared" ref="D5:D33" si="0">C5/B5*100</f>
        <v>#DIV/0!</v>
      </c>
      <c r="E5" s="50">
        <v>108</v>
      </c>
      <c r="F5" s="50" t="e">
        <f t="shared" ref="F5:F30" si="1">E5/B5*100</f>
        <v>#DIV/0!</v>
      </c>
      <c r="G5" s="50">
        <f t="shared" ref="G5:G13" si="2">E5-C5</f>
        <v>108</v>
      </c>
      <c r="H5" s="18"/>
      <c r="I5" s="18"/>
      <c r="J5" s="18"/>
      <c r="K5" s="18"/>
      <c r="L5" s="18"/>
      <c r="M5" s="18">
        <f>IF(SUM(G$5:G5)&lt;&gt;0,SUM(G$5:G5)/COUNTIF(G$5:G5,"&lt;&gt;0")," ")</f>
        <v>108</v>
      </c>
      <c r="N5" s="18">
        <v>0</v>
      </c>
      <c r="O5" s="19"/>
      <c r="Q5" s="21"/>
    </row>
    <row r="6" spans="1:17" s="20" customFormat="1" ht="13.5" x14ac:dyDescent="0.25">
      <c r="A6" s="49">
        <v>1996</v>
      </c>
      <c r="B6" s="50"/>
      <c r="C6" s="51"/>
      <c r="D6" s="50" t="e">
        <f t="shared" si="0"/>
        <v>#DIV/0!</v>
      </c>
      <c r="E6" s="50"/>
      <c r="F6" s="50" t="e">
        <f t="shared" si="1"/>
        <v>#DIV/0!</v>
      </c>
      <c r="G6" s="50">
        <f t="shared" si="2"/>
        <v>0</v>
      </c>
      <c r="H6" s="18"/>
      <c r="I6" s="18"/>
      <c r="J6" s="18"/>
      <c r="K6" s="18"/>
      <c r="L6" s="18"/>
      <c r="M6" s="18">
        <f>IF(SUM(G$5:G6)&lt;&gt;0,SUM(G$5:G6)/COUNTIF(G$5:G6,"&lt;&gt;0")," ")</f>
        <v>108</v>
      </c>
      <c r="N6" s="18">
        <v>0</v>
      </c>
      <c r="O6" s="19"/>
      <c r="Q6" s="21"/>
    </row>
    <row r="7" spans="1:17" s="20" customFormat="1" ht="13.5" x14ac:dyDescent="0.25">
      <c r="A7" s="49">
        <v>1997</v>
      </c>
      <c r="B7" s="50"/>
      <c r="C7" s="51"/>
      <c r="D7" s="50" t="e">
        <f t="shared" si="0"/>
        <v>#DIV/0!</v>
      </c>
      <c r="E7" s="50"/>
      <c r="F7" s="50" t="e">
        <f t="shared" si="1"/>
        <v>#DIV/0!</v>
      </c>
      <c r="G7" s="50">
        <f t="shared" si="2"/>
        <v>0</v>
      </c>
      <c r="H7" s="18"/>
      <c r="I7" s="18">
        <f t="shared" ref="I7:I31" si="3">SUM(G5:G7)/3</f>
        <v>36</v>
      </c>
      <c r="J7" s="18">
        <f t="shared" ref="J7:J31" si="4">IF(SUM(B5:B7)=0,0,I7/(SUM(B5:B7)/3)*100)</f>
        <v>0</v>
      </c>
      <c r="K7" s="18"/>
      <c r="L7" s="18"/>
      <c r="M7" s="18">
        <f>IF(SUM(G$5:G7)&lt;&gt;0,SUM(G$5:G7)/COUNTIF(G$5:G7,"&lt;&gt;0")," ")</f>
        <v>108</v>
      </c>
      <c r="N7" s="18">
        <v>0</v>
      </c>
      <c r="O7" s="19"/>
      <c r="Q7" s="21"/>
    </row>
    <row r="8" spans="1:17" s="20" customFormat="1" ht="13.5" x14ac:dyDescent="0.25">
      <c r="A8" s="49">
        <v>1998</v>
      </c>
      <c r="B8" s="50"/>
      <c r="C8" s="51"/>
      <c r="D8" s="50" t="e">
        <f t="shared" si="0"/>
        <v>#DIV/0!</v>
      </c>
      <c r="E8" s="50"/>
      <c r="F8" s="50" t="e">
        <f t="shared" si="1"/>
        <v>#DIV/0!</v>
      </c>
      <c r="G8" s="50">
        <f t="shared" si="2"/>
        <v>0</v>
      </c>
      <c r="H8" s="18"/>
      <c r="I8" s="18">
        <f t="shared" si="3"/>
        <v>0</v>
      </c>
      <c r="J8" s="18">
        <f t="shared" si="4"/>
        <v>0</v>
      </c>
      <c r="K8" s="18"/>
      <c r="L8" s="18"/>
      <c r="M8" s="18">
        <f>IF(SUM(G$5:G8)&lt;&gt;0,SUM(G$5:G8)/COUNTIF(G$5:G8,"&lt;&gt;0")," ")</f>
        <v>108</v>
      </c>
      <c r="N8" s="18">
        <v>0</v>
      </c>
      <c r="O8" s="19"/>
      <c r="Q8" s="21"/>
    </row>
    <row r="9" spans="1:17" s="20" customFormat="1" ht="13.5" x14ac:dyDescent="0.25">
      <c r="A9" s="49">
        <v>1999</v>
      </c>
      <c r="B9" s="50"/>
      <c r="C9" s="51"/>
      <c r="D9" s="50" t="e">
        <f t="shared" si="0"/>
        <v>#DIV/0!</v>
      </c>
      <c r="E9" s="50"/>
      <c r="F9" s="50" t="e">
        <f t="shared" si="1"/>
        <v>#DIV/0!</v>
      </c>
      <c r="G9" s="50">
        <f t="shared" si="2"/>
        <v>0</v>
      </c>
      <c r="H9" s="18"/>
      <c r="I9" s="18">
        <f t="shared" si="3"/>
        <v>0</v>
      </c>
      <c r="J9" s="18">
        <f t="shared" si="4"/>
        <v>0</v>
      </c>
      <c r="K9" s="18">
        <f t="shared" ref="K9:K31" si="5">SUM(G5:G9)/5</f>
        <v>21.6</v>
      </c>
      <c r="L9" s="18">
        <f t="shared" ref="L9:L31" si="6">IF(SUM(B5:B9)=0,0,K9/(SUM(B5:B9)/5)*100)</f>
        <v>0</v>
      </c>
      <c r="M9" s="18">
        <f>IF(SUM(G$5:G9)&lt;&gt;0,SUM(G$5:G9)/COUNTIF(G$5:G9,"&lt;&gt;0")," ")</f>
        <v>108</v>
      </c>
      <c r="N9" s="18">
        <v>0</v>
      </c>
      <c r="O9" s="19"/>
      <c r="Q9" s="21"/>
    </row>
    <row r="10" spans="1:17" s="20" customFormat="1" ht="13.5" x14ac:dyDescent="0.25">
      <c r="A10" s="49">
        <v>2000</v>
      </c>
      <c r="B10" s="50"/>
      <c r="C10" s="51"/>
      <c r="D10" s="50" t="e">
        <f t="shared" si="0"/>
        <v>#DIV/0!</v>
      </c>
      <c r="E10" s="50"/>
      <c r="F10" s="50" t="e">
        <f t="shared" si="1"/>
        <v>#DIV/0!</v>
      </c>
      <c r="G10" s="50">
        <f t="shared" si="2"/>
        <v>0</v>
      </c>
      <c r="H10" s="18"/>
      <c r="I10" s="18">
        <f t="shared" si="3"/>
        <v>0</v>
      </c>
      <c r="J10" s="18">
        <f t="shared" si="4"/>
        <v>0</v>
      </c>
      <c r="K10" s="18">
        <f t="shared" si="5"/>
        <v>0</v>
      </c>
      <c r="L10" s="18">
        <f t="shared" si="6"/>
        <v>0</v>
      </c>
      <c r="M10" s="18">
        <f>IF(SUM(G$5:G10)&lt;&gt;0,SUM(G$5:G10)/COUNTIF(G$5:G10,"&lt;&gt;0")," ")</f>
        <v>108</v>
      </c>
      <c r="N10" s="18">
        <v>0</v>
      </c>
      <c r="O10" s="19"/>
      <c r="Q10" s="21"/>
    </row>
    <row r="11" spans="1:17" s="20" customFormat="1" ht="13.5" x14ac:dyDescent="0.25">
      <c r="A11" s="49">
        <v>2001</v>
      </c>
      <c r="B11" s="50"/>
      <c r="C11" s="51">
        <v>7559.62</v>
      </c>
      <c r="D11" s="50" t="e">
        <f t="shared" si="0"/>
        <v>#DIV/0!</v>
      </c>
      <c r="E11" s="50"/>
      <c r="F11" s="50" t="e">
        <f t="shared" si="1"/>
        <v>#DIV/0!</v>
      </c>
      <c r="G11" s="50">
        <f t="shared" si="2"/>
        <v>-7559.62</v>
      </c>
      <c r="H11" s="18"/>
      <c r="I11" s="18">
        <f t="shared" si="3"/>
        <v>-2519.8733333333334</v>
      </c>
      <c r="J11" s="18">
        <f t="shared" si="4"/>
        <v>0</v>
      </c>
      <c r="K11" s="18">
        <f t="shared" si="5"/>
        <v>-1511.924</v>
      </c>
      <c r="L11" s="18">
        <f t="shared" si="6"/>
        <v>0</v>
      </c>
      <c r="M11" s="18">
        <f>IF(SUM(G$5:G11)&lt;&gt;0,SUM(G$5:G11)/COUNTIF(G$5:G11,"&lt;&gt;0")," ")</f>
        <v>-3725.81</v>
      </c>
      <c r="N11" s="18">
        <v>0</v>
      </c>
      <c r="O11" s="19"/>
      <c r="Q11" s="21"/>
    </row>
    <row r="12" spans="1:17" s="20" customFormat="1" ht="13.5" x14ac:dyDescent="0.25">
      <c r="A12" s="49">
        <v>2002</v>
      </c>
      <c r="B12" s="50"/>
      <c r="C12" s="51"/>
      <c r="D12" s="50" t="e">
        <f t="shared" si="0"/>
        <v>#DIV/0!</v>
      </c>
      <c r="E12" s="50"/>
      <c r="F12" s="50" t="e">
        <f t="shared" si="1"/>
        <v>#DIV/0!</v>
      </c>
      <c r="G12" s="50">
        <f t="shared" si="2"/>
        <v>0</v>
      </c>
      <c r="H12" s="18"/>
      <c r="I12" s="18">
        <f t="shared" si="3"/>
        <v>-2519.8733333333334</v>
      </c>
      <c r="J12" s="18">
        <f t="shared" si="4"/>
        <v>0</v>
      </c>
      <c r="K12" s="18">
        <f t="shared" si="5"/>
        <v>-1511.924</v>
      </c>
      <c r="L12" s="18">
        <f t="shared" si="6"/>
        <v>0</v>
      </c>
      <c r="M12" s="18">
        <f>IF(SUM(G$5:G12)&lt;&gt;0,SUM(G$5:G12)/COUNTIF(G$5:G12,"&lt;&gt;0")," ")</f>
        <v>-3725.81</v>
      </c>
      <c r="N12" s="18">
        <v>0</v>
      </c>
      <c r="O12" s="19"/>
      <c r="Q12" s="21"/>
    </row>
    <row r="13" spans="1:17" s="20" customFormat="1" ht="13.5" x14ac:dyDescent="0.25">
      <c r="A13" s="49">
        <v>2003</v>
      </c>
      <c r="B13" s="50"/>
      <c r="C13" s="51"/>
      <c r="D13" s="50" t="e">
        <f t="shared" si="0"/>
        <v>#DIV/0!</v>
      </c>
      <c r="E13" s="50"/>
      <c r="F13" s="50" t="e">
        <f t="shared" si="1"/>
        <v>#DIV/0!</v>
      </c>
      <c r="G13" s="50">
        <f t="shared" si="2"/>
        <v>0</v>
      </c>
      <c r="H13" s="18"/>
      <c r="I13" s="18">
        <f t="shared" si="3"/>
        <v>-2519.8733333333334</v>
      </c>
      <c r="J13" s="18">
        <f t="shared" si="4"/>
        <v>0</v>
      </c>
      <c r="K13" s="18">
        <f t="shared" si="5"/>
        <v>-1511.924</v>
      </c>
      <c r="L13" s="18">
        <f t="shared" si="6"/>
        <v>0</v>
      </c>
      <c r="M13" s="18">
        <f>IF(SUM(G$5:G13)&lt;&gt;0,SUM(G$5:G13)/COUNTIF(G$5:G13,"&lt;&gt;0")," ")</f>
        <v>-3725.81</v>
      </c>
      <c r="N13" s="18">
        <v>0</v>
      </c>
      <c r="O13" s="19"/>
      <c r="Q13" s="21"/>
    </row>
    <row r="14" spans="1:17" s="20" customFormat="1" ht="13.5" x14ac:dyDescent="0.25">
      <c r="A14" s="49">
        <v>2004</v>
      </c>
      <c r="B14" s="50"/>
      <c r="C14" s="51"/>
      <c r="D14" s="50" t="e">
        <f t="shared" si="0"/>
        <v>#DIV/0!</v>
      </c>
      <c r="E14" s="50"/>
      <c r="F14" s="50" t="e">
        <f t="shared" si="1"/>
        <v>#DIV/0!</v>
      </c>
      <c r="G14" s="50">
        <f>E14-C14</f>
        <v>0</v>
      </c>
      <c r="H14" s="18"/>
      <c r="I14" s="18">
        <f t="shared" si="3"/>
        <v>0</v>
      </c>
      <c r="J14" s="18">
        <f t="shared" si="4"/>
        <v>0</v>
      </c>
      <c r="K14" s="18">
        <f t="shared" si="5"/>
        <v>-1511.924</v>
      </c>
      <c r="L14" s="18">
        <f t="shared" si="6"/>
        <v>0</v>
      </c>
      <c r="M14" s="18">
        <f>IF(SUM(G$5:G14)&lt;&gt;0,SUM(G$5:G14)/COUNTIF(G$5:G14,"&lt;&gt;0")," ")</f>
        <v>-3725.81</v>
      </c>
      <c r="N14" s="18">
        <v>0</v>
      </c>
      <c r="O14" s="19"/>
      <c r="Q14" s="21"/>
    </row>
    <row r="15" spans="1:17" s="20" customFormat="1" ht="13.5" x14ac:dyDescent="0.25">
      <c r="A15" s="49">
        <v>2005</v>
      </c>
      <c r="B15" s="50"/>
      <c r="C15" s="51"/>
      <c r="D15" s="50" t="e">
        <f t="shared" si="0"/>
        <v>#DIV/0!</v>
      </c>
      <c r="E15" s="50"/>
      <c r="F15" s="50" t="e">
        <f t="shared" si="1"/>
        <v>#DIV/0!</v>
      </c>
      <c r="G15" s="50">
        <f t="shared" ref="G15:G19" si="7">E15-C15</f>
        <v>0</v>
      </c>
      <c r="H15" s="18"/>
      <c r="I15" s="18">
        <f t="shared" si="3"/>
        <v>0</v>
      </c>
      <c r="J15" s="18">
        <f t="shared" si="4"/>
        <v>0</v>
      </c>
      <c r="K15" s="18">
        <f t="shared" si="5"/>
        <v>-1511.924</v>
      </c>
      <c r="L15" s="18">
        <f t="shared" si="6"/>
        <v>0</v>
      </c>
      <c r="M15" s="18">
        <f>IF(SUM(G$5:G15)&lt;&gt;0,SUM(G$5:G15)/COUNTIF(G$5:G15,"&lt;&gt;0")," ")</f>
        <v>-3725.81</v>
      </c>
      <c r="N15" s="18">
        <v>0</v>
      </c>
      <c r="O15" s="19"/>
      <c r="Q15" s="21"/>
    </row>
    <row r="16" spans="1:17" s="20" customFormat="1" ht="13.5" x14ac:dyDescent="0.25">
      <c r="A16" s="49">
        <v>2006</v>
      </c>
      <c r="B16" s="50"/>
      <c r="C16" s="51"/>
      <c r="D16" s="50" t="e">
        <f t="shared" si="0"/>
        <v>#DIV/0!</v>
      </c>
      <c r="E16" s="50"/>
      <c r="F16" s="50" t="e">
        <f t="shared" si="1"/>
        <v>#DIV/0!</v>
      </c>
      <c r="G16" s="50">
        <f t="shared" si="7"/>
        <v>0</v>
      </c>
      <c r="H16" s="18"/>
      <c r="I16" s="18">
        <f t="shared" si="3"/>
        <v>0</v>
      </c>
      <c r="J16" s="18">
        <f t="shared" si="4"/>
        <v>0</v>
      </c>
      <c r="K16" s="18">
        <f t="shared" si="5"/>
        <v>0</v>
      </c>
      <c r="L16" s="18">
        <f t="shared" si="6"/>
        <v>0</v>
      </c>
      <c r="M16" s="18">
        <f>IF(SUM(G$5:G16)&lt;&gt;0,SUM(G$5:G16)/COUNTIF(G$5:G16,"&lt;&gt;0")," ")</f>
        <v>-3725.81</v>
      </c>
      <c r="N16" s="18">
        <v>0</v>
      </c>
      <c r="O16" s="19"/>
      <c r="Q16" s="21"/>
    </row>
    <row r="17" spans="1:17" s="20" customFormat="1" ht="13.5" x14ac:dyDescent="0.25">
      <c r="A17" s="49">
        <v>2007</v>
      </c>
      <c r="B17" s="50"/>
      <c r="C17" s="51"/>
      <c r="D17" s="50" t="e">
        <f t="shared" si="0"/>
        <v>#DIV/0!</v>
      </c>
      <c r="E17" s="50"/>
      <c r="F17" s="50" t="e">
        <f t="shared" si="1"/>
        <v>#DIV/0!</v>
      </c>
      <c r="G17" s="50">
        <f t="shared" si="7"/>
        <v>0</v>
      </c>
      <c r="H17" s="18"/>
      <c r="I17" s="18">
        <f t="shared" si="3"/>
        <v>0</v>
      </c>
      <c r="J17" s="18">
        <f t="shared" si="4"/>
        <v>0</v>
      </c>
      <c r="K17" s="18">
        <f t="shared" si="5"/>
        <v>0</v>
      </c>
      <c r="L17" s="18">
        <f t="shared" si="6"/>
        <v>0</v>
      </c>
      <c r="M17" s="18">
        <f>IF(SUM(G$5:G17)&lt;&gt;0,SUM(G$5:G17)/COUNTIF(G$5:G17,"&lt;&gt;0")," ")</f>
        <v>-3725.81</v>
      </c>
      <c r="N17" s="18">
        <v>0</v>
      </c>
      <c r="O17" s="19"/>
      <c r="Q17" s="21"/>
    </row>
    <row r="18" spans="1:17" s="20" customFormat="1" ht="13.5" x14ac:dyDescent="0.25">
      <c r="A18" s="49">
        <v>2008</v>
      </c>
      <c r="B18" s="50"/>
      <c r="C18" s="51"/>
      <c r="D18" s="50" t="e">
        <f t="shared" si="0"/>
        <v>#DIV/0!</v>
      </c>
      <c r="E18" s="50"/>
      <c r="F18" s="50" t="e">
        <f t="shared" si="1"/>
        <v>#DIV/0!</v>
      </c>
      <c r="G18" s="50">
        <f t="shared" si="7"/>
        <v>0</v>
      </c>
      <c r="H18" s="18"/>
      <c r="I18" s="18">
        <f t="shared" si="3"/>
        <v>0</v>
      </c>
      <c r="J18" s="18">
        <f t="shared" si="4"/>
        <v>0</v>
      </c>
      <c r="K18" s="18">
        <f t="shared" si="5"/>
        <v>0</v>
      </c>
      <c r="L18" s="18">
        <f t="shared" si="6"/>
        <v>0</v>
      </c>
      <c r="M18" s="18">
        <f>IF(SUM(G$5:G18)&lt;&gt;0,SUM(G$5:G18)/COUNTIF(G$5:G18,"&lt;&gt;0")," ")</f>
        <v>-3725.81</v>
      </c>
      <c r="N18" s="18">
        <v>0</v>
      </c>
      <c r="O18" s="19"/>
      <c r="Q18" s="21"/>
    </row>
    <row r="19" spans="1:17" s="20" customFormat="1" ht="13.5" x14ac:dyDescent="0.25">
      <c r="A19" s="49">
        <v>2009</v>
      </c>
      <c r="B19" s="50"/>
      <c r="C19" s="51"/>
      <c r="D19" s="50" t="e">
        <f t="shared" si="0"/>
        <v>#DIV/0!</v>
      </c>
      <c r="E19" s="50"/>
      <c r="F19" s="50" t="e">
        <f t="shared" si="1"/>
        <v>#DIV/0!</v>
      </c>
      <c r="G19" s="50">
        <f t="shared" si="7"/>
        <v>0</v>
      </c>
      <c r="H19" s="18"/>
      <c r="I19" s="18">
        <f t="shared" si="3"/>
        <v>0</v>
      </c>
      <c r="J19" s="18">
        <f t="shared" si="4"/>
        <v>0</v>
      </c>
      <c r="K19" s="18">
        <f t="shared" si="5"/>
        <v>0</v>
      </c>
      <c r="L19" s="18">
        <f t="shared" si="6"/>
        <v>0</v>
      </c>
      <c r="M19" s="18">
        <f>IF(SUM(G$5:G19)&lt;&gt;0,SUM(G$5:G19)/COUNTIF(G$5:G19,"&lt;&gt;0")," ")</f>
        <v>-3725.81</v>
      </c>
      <c r="N19" s="18">
        <v>0</v>
      </c>
      <c r="O19" s="19"/>
      <c r="Q19" s="21"/>
    </row>
    <row r="20" spans="1:17" s="20" customFormat="1" ht="13.5" x14ac:dyDescent="0.25">
      <c r="A20" s="49">
        <v>2010</v>
      </c>
      <c r="B20" s="52">
        <v>729.67</v>
      </c>
      <c r="C20" s="51"/>
      <c r="D20" s="50">
        <f t="shared" si="0"/>
        <v>0</v>
      </c>
      <c r="E20" s="50"/>
      <c r="F20" s="50">
        <f t="shared" si="1"/>
        <v>0</v>
      </c>
      <c r="G20" s="50">
        <v>-21506.89</v>
      </c>
      <c r="H20" s="18">
        <f t="shared" ref="H20:H33" si="8">G20/B20*100</f>
        <v>-2947.4817383200625</v>
      </c>
      <c r="I20" s="18">
        <f t="shared" si="3"/>
        <v>-7168.9633333333331</v>
      </c>
      <c r="J20" s="18">
        <f t="shared" si="4"/>
        <v>-2947.4817383200625</v>
      </c>
      <c r="K20" s="18">
        <f t="shared" si="5"/>
        <v>-4301.3779999999997</v>
      </c>
      <c r="L20" s="18">
        <f t="shared" si="6"/>
        <v>-2947.4817383200625</v>
      </c>
      <c r="M20" s="18">
        <f>IF(SUM(G$5:G20)&lt;&gt;0,SUM(G$5:G20)/COUNTIF(G$5:G20,"&lt;&gt;0")," ")</f>
        <v>-9652.8366666666661</v>
      </c>
      <c r="N20" s="18">
        <f>IF(SUM(G$5:G20)=0,0,M20*COUNTIF(G$5:G20,"&lt;&gt;0")/(SUM(B$5:B20))*100)</f>
        <v>-3968.7132539367112</v>
      </c>
      <c r="O20" s="19"/>
      <c r="Q20" s="21"/>
    </row>
    <row r="21" spans="1:17" s="20" customFormat="1" ht="13.5" x14ac:dyDescent="0.25">
      <c r="A21" s="49">
        <v>2011</v>
      </c>
      <c r="B21" s="50"/>
      <c r="C21" s="51"/>
      <c r="D21" s="50" t="e">
        <f t="shared" si="0"/>
        <v>#DIV/0!</v>
      </c>
      <c r="E21" s="50"/>
      <c r="F21" s="50" t="e">
        <f t="shared" si="1"/>
        <v>#DIV/0!</v>
      </c>
      <c r="G21" s="50">
        <v>6106.32</v>
      </c>
      <c r="H21" s="18"/>
      <c r="I21" s="18">
        <f t="shared" si="3"/>
        <v>-5133.5233333333335</v>
      </c>
      <c r="J21" s="18">
        <f t="shared" si="4"/>
        <v>-2110.621239738512</v>
      </c>
      <c r="K21" s="18">
        <f t="shared" si="5"/>
        <v>-3080.114</v>
      </c>
      <c r="L21" s="18">
        <f t="shared" si="6"/>
        <v>-2110.621239738512</v>
      </c>
      <c r="M21" s="18">
        <f>IF(SUM(G$5:G21)&lt;&gt;0,SUM(G$5:G21)/COUNTIF(G$5:G21,"&lt;&gt;0")," ")</f>
        <v>-5713.0474999999997</v>
      </c>
      <c r="N21" s="18">
        <f>IF(SUM(G$5:G21)=0,0,M21*COUNTIF(G$5:G21,"&lt;&gt;0")/(SUM(B$5:B21))*100)</f>
        <v>-3131.8527553551603</v>
      </c>
      <c r="O21" s="19"/>
      <c r="Q21" s="21"/>
    </row>
    <row r="22" spans="1:17" s="20" customFormat="1" ht="13.5" x14ac:dyDescent="0.25">
      <c r="A22" s="49">
        <v>2012</v>
      </c>
      <c r="B22" s="50">
        <v>5467932.3799999999</v>
      </c>
      <c r="C22" s="51"/>
      <c r="D22" s="50">
        <f t="shared" si="0"/>
        <v>0</v>
      </c>
      <c r="E22" s="50"/>
      <c r="F22" s="50">
        <f t="shared" si="1"/>
        <v>0</v>
      </c>
      <c r="G22" s="50">
        <v>-1500</v>
      </c>
      <c r="H22" s="18">
        <f t="shared" si="8"/>
        <v>-2.7432672823214394E-2</v>
      </c>
      <c r="I22" s="18">
        <f t="shared" si="3"/>
        <v>-5633.5233333333335</v>
      </c>
      <c r="J22" s="18">
        <f t="shared" si="4"/>
        <v>-0.30904396441904841</v>
      </c>
      <c r="K22" s="18">
        <f t="shared" si="5"/>
        <v>-3380.114</v>
      </c>
      <c r="L22" s="18">
        <f t="shared" si="6"/>
        <v>-0.30904396441904841</v>
      </c>
      <c r="M22" s="18">
        <f>IF(SUM(G$5:G22)&lt;&gt;0,SUM(G$5:G22)/COUNTIF(G$5:G22,"&lt;&gt;0")," ")</f>
        <v>-4870.4380000000001</v>
      </c>
      <c r="N22" s="18">
        <f>IF(SUM(G$5:G22)=0,0,M22*COUNTIF(G$5:G22,"&lt;&gt;0")/(SUM(B$5:B22))*100)</f>
        <v>-0.4453043500832165</v>
      </c>
      <c r="O22" s="19"/>
      <c r="Q22" s="21"/>
    </row>
    <row r="23" spans="1:17" s="20" customFormat="1" ht="13.5" x14ac:dyDescent="0.25">
      <c r="A23" s="49">
        <v>2013</v>
      </c>
      <c r="B23" s="50"/>
      <c r="C23" s="51"/>
      <c r="D23" s="50" t="e">
        <f t="shared" si="0"/>
        <v>#DIV/0!</v>
      </c>
      <c r="E23" s="50"/>
      <c r="F23" s="50" t="e">
        <f t="shared" si="1"/>
        <v>#DIV/0!</v>
      </c>
      <c r="G23" s="50">
        <v>-19929.37</v>
      </c>
      <c r="H23" s="18"/>
      <c r="I23" s="18">
        <f t="shared" si="3"/>
        <v>-5107.6833333333334</v>
      </c>
      <c r="J23" s="18">
        <f t="shared" si="4"/>
        <v>-0.2802348115358369</v>
      </c>
      <c r="K23" s="18">
        <f t="shared" si="5"/>
        <v>-7365.9880000000003</v>
      </c>
      <c r="L23" s="18">
        <f t="shared" si="6"/>
        <v>-0.67347259097862888</v>
      </c>
      <c r="M23" s="18">
        <f>IF(SUM(G$5:G23)&lt;&gt;0,SUM(G$5:G23)/COUNTIF(G$5:G23,"&lt;&gt;0")," ")</f>
        <v>-7380.2599999999993</v>
      </c>
      <c r="N23" s="18">
        <f>IF(SUM(G$5:G23)=0,0,M23*COUNTIF(G$5:G23,"&lt;&gt;0")/(SUM(B$5:B23))*100)</f>
        <v>-0.80973297664279698</v>
      </c>
      <c r="O23" s="19"/>
      <c r="Q23" s="21"/>
    </row>
    <row r="24" spans="1:17" s="20" customFormat="1" ht="13.5" x14ac:dyDescent="0.25">
      <c r="A24" s="49">
        <v>2014</v>
      </c>
      <c r="B24" s="50">
        <v>163833.47</v>
      </c>
      <c r="C24" s="51"/>
      <c r="D24" s="50">
        <f t="shared" si="0"/>
        <v>0</v>
      </c>
      <c r="E24" s="50"/>
      <c r="F24" s="50">
        <f t="shared" si="1"/>
        <v>0</v>
      </c>
      <c r="G24" s="50">
        <v>19929.37</v>
      </c>
      <c r="H24" s="18">
        <f t="shared" si="8"/>
        <v>12.164406943221064</v>
      </c>
      <c r="I24" s="18">
        <f t="shared" si="3"/>
        <v>-500</v>
      </c>
      <c r="J24" s="18">
        <f t="shared" si="4"/>
        <v>-2.6634630060125817E-2</v>
      </c>
      <c r="K24" s="18">
        <f t="shared" si="5"/>
        <v>-3380.1140000000005</v>
      </c>
      <c r="L24" s="18">
        <f t="shared" si="6"/>
        <v>-0.30005474376302754</v>
      </c>
      <c r="M24" s="18">
        <f>IF(SUM(G$5:G24)&lt;&gt;0,SUM(G$5:G24)/COUNTIF(G$5:G24,"&lt;&gt;0")," ")</f>
        <v>-3478.8842857142854</v>
      </c>
      <c r="N24" s="18">
        <f>IF(SUM(G$5:G24)=0,0,M24*COUNTIF(G$5:G24,"&lt;&gt;0")/(SUM(B$5:B24))*100)</f>
        <v>-0.43235169763614834</v>
      </c>
      <c r="O24" s="19"/>
      <c r="Q24" s="21"/>
    </row>
    <row r="25" spans="1:17" s="20" customFormat="1" ht="13.5" x14ac:dyDescent="0.25">
      <c r="A25" s="49">
        <v>2015</v>
      </c>
      <c r="B25" s="50">
        <v>423535.96</v>
      </c>
      <c r="C25" s="51">
        <v>148.59000000000003</v>
      </c>
      <c r="D25" s="50">
        <f t="shared" si="0"/>
        <v>3.5083207574629557E-2</v>
      </c>
      <c r="E25" s="50"/>
      <c r="F25" s="50">
        <f t="shared" si="1"/>
        <v>0</v>
      </c>
      <c r="G25" s="50">
        <f>(E25-C25)+-4376</f>
        <v>-4524.59</v>
      </c>
      <c r="H25" s="18">
        <f t="shared" si="8"/>
        <v>-1.0682894552802553</v>
      </c>
      <c r="I25" s="18">
        <f t="shared" si="3"/>
        <v>-1508.1966666666667</v>
      </c>
      <c r="J25" s="18">
        <f t="shared" si="4"/>
        <v>-0.77031417859114659</v>
      </c>
      <c r="K25" s="18">
        <f t="shared" si="5"/>
        <v>16.345999999999911</v>
      </c>
      <c r="L25" s="18">
        <f t="shared" si="6"/>
        <v>1.3497262822643609E-3</v>
      </c>
      <c r="M25" s="18">
        <f>IF(SUM(G$5:G25)&lt;&gt;0,SUM(G$5:G25)/COUNTIF(G$5:G25,"&lt;&gt;0")," ")</f>
        <v>-3609.5974999999999</v>
      </c>
      <c r="N25" s="18">
        <f>IF(SUM(G$5:G25)=0,0,M25*COUNTIF(G$5:G25,"&lt;&gt;0")/(SUM(B$5:B25))*100)</f>
        <v>-0.47682678162036241</v>
      </c>
      <c r="O25" s="19"/>
      <c r="P25" s="22"/>
      <c r="Q25" s="21"/>
    </row>
    <row r="26" spans="1:17" s="20" customFormat="1" ht="13.5" x14ac:dyDescent="0.25">
      <c r="A26" s="49">
        <v>2016</v>
      </c>
      <c r="B26" s="50">
        <v>48046.91</v>
      </c>
      <c r="C26" s="51">
        <v>160517.66</v>
      </c>
      <c r="D26" s="50">
        <f t="shared" si="0"/>
        <v>334.08529289396552</v>
      </c>
      <c r="E26" s="50"/>
      <c r="F26" s="50">
        <f t="shared" si="1"/>
        <v>0</v>
      </c>
      <c r="G26" s="50">
        <f>(E26-C26)+-1214926</f>
        <v>-1375443.66</v>
      </c>
      <c r="H26" s="18">
        <f t="shared" si="8"/>
        <v>-2862.7099224487065</v>
      </c>
      <c r="I26" s="18">
        <f t="shared" si="3"/>
        <v>-453346.29333333328</v>
      </c>
      <c r="J26" s="18">
        <f t="shared" si="4"/>
        <v>-214.0390157420251</v>
      </c>
      <c r="K26" s="18">
        <f t="shared" si="5"/>
        <v>-276293.65000000002</v>
      </c>
      <c r="L26" s="18">
        <f t="shared" si="6"/>
        <v>-22.634594767182172</v>
      </c>
      <c r="M26" s="18">
        <f>IF(SUM(G$5:G26)&lt;&gt;0,SUM(G$5:G26)/COUNTIF(G$5:G26,"&lt;&gt;0")," ")</f>
        <v>-156035.60444444444</v>
      </c>
      <c r="N26" s="18">
        <f>IF(SUM(G$5:G26)=0,0,M26*COUNTIF(G$5:G26,"&lt;&gt;0")/(SUM(B$5:B26))*100)</f>
        <v>-23.006264832716212</v>
      </c>
      <c r="O26" s="19"/>
      <c r="P26" s="22"/>
      <c r="Q26" s="21"/>
    </row>
    <row r="27" spans="1:17" s="20" customFormat="1" ht="13.5" x14ac:dyDescent="0.25">
      <c r="A27" s="49">
        <v>2017</v>
      </c>
      <c r="B27" s="50">
        <v>29631.19</v>
      </c>
      <c r="C27" s="51"/>
      <c r="D27" s="50">
        <f t="shared" si="0"/>
        <v>0</v>
      </c>
      <c r="E27" s="50"/>
      <c r="F27" s="50">
        <f t="shared" si="1"/>
        <v>0</v>
      </c>
      <c r="G27" s="50">
        <v>-207434.4</v>
      </c>
      <c r="H27" s="18">
        <f t="shared" si="8"/>
        <v>-700.05423339393383</v>
      </c>
      <c r="I27" s="18">
        <f t="shared" si="3"/>
        <v>-529134.21666666667</v>
      </c>
      <c r="J27" s="18">
        <f t="shared" si="4"/>
        <v>-316.71151643271941</v>
      </c>
      <c r="K27" s="18">
        <f t="shared" si="5"/>
        <v>-317480.52999999997</v>
      </c>
      <c r="L27" s="18">
        <f t="shared" si="6"/>
        <v>-238.6901053523197</v>
      </c>
      <c r="M27" s="18">
        <f>IF(SUM(G$5:G27)&lt;&gt;0,SUM(G$5:G27)/COUNTIF(G$5:G27,"&lt;&gt;0")," ")</f>
        <v>-161175.484</v>
      </c>
      <c r="N27" s="18">
        <f>IF(SUM(G$5:G27)=0,0,M27*COUNTIF(G$5:G27,"&lt;&gt;0")/(SUM(B$5:B27))*100)</f>
        <v>-26.276999570625247</v>
      </c>
      <c r="O27" s="19"/>
      <c r="P27" s="22"/>
      <c r="Q27" s="21"/>
    </row>
    <row r="28" spans="1:17" s="20" customFormat="1" ht="13.5" x14ac:dyDescent="0.25">
      <c r="A28" s="49">
        <v>2018</v>
      </c>
      <c r="B28" s="50">
        <v>629206.13</v>
      </c>
      <c r="C28" s="51"/>
      <c r="D28" s="50">
        <f t="shared" si="0"/>
        <v>0</v>
      </c>
      <c r="E28" s="50"/>
      <c r="F28" s="50">
        <f t="shared" si="1"/>
        <v>0</v>
      </c>
      <c r="G28" s="50">
        <v>-1307019.7</v>
      </c>
      <c r="H28" s="18">
        <f t="shared" si="8"/>
        <v>-207.72520127863342</v>
      </c>
      <c r="I28" s="18">
        <f t="shared" si="3"/>
        <v>-963299.2533333333</v>
      </c>
      <c r="J28" s="18">
        <f t="shared" si="4"/>
        <v>-408.82193113856846</v>
      </c>
      <c r="K28" s="18">
        <f t="shared" si="5"/>
        <v>-574898.5959999999</v>
      </c>
      <c r="L28" s="18">
        <f t="shared" si="6"/>
        <v>-222.09656953954445</v>
      </c>
      <c r="M28" s="18">
        <f>IF(SUM(G$5:G28)&lt;&gt;0,SUM(G$5:G28)/COUNTIF(G$5:G28,"&lt;&gt;0")," ")</f>
        <v>-265343.14</v>
      </c>
      <c r="N28" s="18">
        <f>IF(SUM(G$5:G28)=0,0,M28*COUNTIF(G$5:G28,"&lt;&gt;0")/(SUM(B$5:B28))*100)</f>
        <v>-43.158523115764226</v>
      </c>
      <c r="O28" s="19"/>
      <c r="P28" s="22"/>
      <c r="Q28" s="21"/>
    </row>
    <row r="29" spans="1:17" s="20" customFormat="1" ht="13.5" x14ac:dyDescent="0.25">
      <c r="A29" s="49">
        <v>2019</v>
      </c>
      <c r="B29" s="50">
        <f>54974.62+2759107.18</f>
        <v>2814081.8000000003</v>
      </c>
      <c r="C29" s="51"/>
      <c r="D29" s="50">
        <f t="shared" si="0"/>
        <v>0</v>
      </c>
      <c r="E29" s="50"/>
      <c r="F29" s="50">
        <f t="shared" si="1"/>
        <v>0</v>
      </c>
      <c r="G29" s="50">
        <v>-249595.79</v>
      </c>
      <c r="H29" s="18">
        <f t="shared" si="8"/>
        <v>-8.8695285972141953</v>
      </c>
      <c r="I29" s="18">
        <f t="shared" si="3"/>
        <v>-588016.63</v>
      </c>
      <c r="J29" s="18">
        <f t="shared" si="4"/>
        <v>-50.79444205426816</v>
      </c>
      <c r="K29" s="18">
        <f t="shared" si="5"/>
        <v>-628803.62799999991</v>
      </c>
      <c r="L29" s="18">
        <f t="shared" si="6"/>
        <v>-79.706339303938321</v>
      </c>
      <c r="M29" s="18">
        <f>IF(SUM(G$5:G29)&lt;&gt;0,SUM(G$5:G29)/COUNTIF(G$5:G29,"&lt;&gt;0")," ")</f>
        <v>-264030.86083333334</v>
      </c>
      <c r="N29" s="18">
        <f>IF(SUM(G$5:G29)=0,0,M29*COUNTIF(G$5:G29,"&lt;&gt;0")/(SUM(B$5:B29))*100)</f>
        <v>-33.083127845566288</v>
      </c>
      <c r="O29" s="19"/>
      <c r="P29" s="22"/>
      <c r="Q29" s="21"/>
    </row>
    <row r="30" spans="1:17" s="20" customFormat="1" ht="13.5" x14ac:dyDescent="0.25">
      <c r="A30" s="49">
        <v>2020</v>
      </c>
      <c r="B30" s="50"/>
      <c r="C30" s="51"/>
      <c r="D30" s="50" t="e">
        <f t="shared" si="0"/>
        <v>#DIV/0!</v>
      </c>
      <c r="E30" s="50"/>
      <c r="F30" s="50" t="e">
        <f t="shared" si="1"/>
        <v>#DIV/0!</v>
      </c>
      <c r="G30" s="50">
        <v>-250787.02</v>
      </c>
      <c r="H30" s="18"/>
      <c r="I30" s="18">
        <f t="shared" si="3"/>
        <v>-602467.5033333333</v>
      </c>
      <c r="J30" s="18">
        <f t="shared" si="4"/>
        <v>-52.49060045931158</v>
      </c>
      <c r="K30" s="18">
        <f t="shared" si="5"/>
        <v>-678056.11399999994</v>
      </c>
      <c r="L30" s="18">
        <f t="shared" si="6"/>
        <v>-96.288363509147516</v>
      </c>
      <c r="M30" s="18">
        <f>IF(SUM(G$5:G30)&lt;&gt;0,SUM(G$5:G30)/COUNTIF(G$5:G30,"&lt;&gt;0")," ")</f>
        <v>-263012.10384615383</v>
      </c>
      <c r="N30" s="18">
        <f>IF(SUM(G$5:G30)=0,0,M30*COUNTIF(G$5:G30,"&lt;&gt;0")/(SUM(B$5:B30))*100)</f>
        <v>-35.701767139751503</v>
      </c>
      <c r="O30" s="19"/>
      <c r="P30" s="22"/>
      <c r="Q30" s="21"/>
    </row>
    <row r="31" spans="1:17" s="20" customFormat="1" ht="13.5" x14ac:dyDescent="0.25">
      <c r="A31" s="49">
        <v>2021</v>
      </c>
      <c r="B31" s="50">
        <v>556188.68000000005</v>
      </c>
      <c r="C31" s="51"/>
      <c r="D31" s="50"/>
      <c r="E31" s="50"/>
      <c r="F31" s="50"/>
      <c r="G31" s="50">
        <v>-253038.56</v>
      </c>
      <c r="H31" s="18">
        <f t="shared" si="8"/>
        <v>-45.495093499565648</v>
      </c>
      <c r="I31" s="18">
        <f t="shared" si="3"/>
        <v>-251140.45666666667</v>
      </c>
      <c r="J31" s="18">
        <f t="shared" si="4"/>
        <v>-22.354922979356836</v>
      </c>
      <c r="K31" s="18">
        <f t="shared" si="5"/>
        <v>-453575.09399999992</v>
      </c>
      <c r="L31" s="18">
        <f t="shared" si="6"/>
        <v>-56.287286977032466</v>
      </c>
      <c r="M31" s="18">
        <f>IF(SUM(G$5:G31)&lt;&gt;0,SUM(G$5:G31)/COUNTIF(G$5:G31,"&lt;&gt;0")," ")</f>
        <v>-262299.70785714284</v>
      </c>
      <c r="N31" s="18">
        <f>IF(SUM(G$5:G31)=0,0,M31*COUNTIF(G$5:G31,"&lt;&gt;0")/(SUM(B$5:B31))*100)</f>
        <v>-36.239301648517326</v>
      </c>
      <c r="O31" s="19"/>
      <c r="P31" s="22"/>
      <c r="Q31" s="21"/>
    </row>
    <row r="32" spans="1:17" s="20" customFormat="1" ht="13.5" x14ac:dyDescent="0.25">
      <c r="A32" s="23"/>
      <c r="B32" s="24"/>
      <c r="C32" s="24"/>
      <c r="D32" s="25"/>
      <c r="E32" s="50"/>
      <c r="F32" s="18"/>
      <c r="G32" s="50"/>
      <c r="H32" s="25"/>
      <c r="I32" s="18"/>
      <c r="J32" s="18"/>
      <c r="K32" s="18"/>
      <c r="L32" s="18"/>
      <c r="M32" s="18"/>
      <c r="N32" s="18"/>
      <c r="O32" s="19"/>
    </row>
    <row r="33" spans="1:15" s="32" customFormat="1" ht="30" customHeight="1" x14ac:dyDescent="0.3">
      <c r="A33" s="26" t="s">
        <v>17</v>
      </c>
      <c r="B33" s="27">
        <f>SUM(B5:B32)</f>
        <v>10133186.189999999</v>
      </c>
      <c r="C33" s="27">
        <f>SUM(C5:C32)</f>
        <v>168225.87</v>
      </c>
      <c r="D33" s="28">
        <f t="shared" si="0"/>
        <v>1.6601478236530853</v>
      </c>
      <c r="E33" s="29">
        <f>SUM(E5:E32)</f>
        <v>108</v>
      </c>
      <c r="F33" s="28">
        <f>E33/B33*100</f>
        <v>1.0658049499433901E-3</v>
      </c>
      <c r="G33" s="29">
        <f>SUM(G5:G32)</f>
        <v>-3672195.91</v>
      </c>
      <c r="H33" s="28">
        <f t="shared" si="8"/>
        <v>-36.239301648517333</v>
      </c>
      <c r="I33" s="30"/>
      <c r="J33" s="30"/>
      <c r="K33" s="30"/>
      <c r="L33" s="30"/>
      <c r="M33" s="30"/>
      <c r="N33" s="30"/>
      <c r="O33" s="31"/>
    </row>
    <row r="35" spans="1:15" x14ac:dyDescent="0.35">
      <c r="B35" s="38"/>
    </row>
    <row r="36" spans="1:15" x14ac:dyDescent="0.35">
      <c r="B36" s="38"/>
    </row>
  </sheetData>
  <conditionalFormatting sqref="A21:F21 A20 C20:F20 A23:F23 A22 C22:F22 A25:XFD26 A24 C24:F24 A29:F31 A28 C28:F28 H20:XFD24 A27:F27 A5:XFD19 H27:XFD31">
    <cfRule type="expression" dxfId="49" priority="8">
      <formula>MOD(ROW(),2)=0</formula>
    </cfRule>
  </conditionalFormatting>
  <conditionalFormatting sqref="A32:XFD33">
    <cfRule type="expression" dxfId="48" priority="7">
      <formula>MOD(ROW(),2)=0</formula>
    </cfRule>
  </conditionalFormatting>
  <conditionalFormatting sqref="B20">
    <cfRule type="expression" dxfId="47" priority="6">
      <formula>MOD(ROW(),2)=0</formula>
    </cfRule>
  </conditionalFormatting>
  <conditionalFormatting sqref="B22">
    <cfRule type="expression" dxfId="46" priority="5">
      <formula>MOD(ROW(),2)=0</formula>
    </cfRule>
  </conditionalFormatting>
  <conditionalFormatting sqref="B24">
    <cfRule type="expression" dxfId="45" priority="4">
      <formula>MOD(ROW(),2)=0</formula>
    </cfRule>
  </conditionalFormatting>
  <conditionalFormatting sqref="B28">
    <cfRule type="expression" dxfId="44" priority="3">
      <formula>MOD(ROW(),2)=0</formula>
    </cfRule>
  </conditionalFormatting>
  <conditionalFormatting sqref="G20:G24">
    <cfRule type="expression" dxfId="43" priority="2">
      <formula>MOD(ROW(),2)=0</formula>
    </cfRule>
  </conditionalFormatting>
  <conditionalFormatting sqref="G27:G31">
    <cfRule type="expression" dxfId="42" priority="1">
      <formula>MOD(ROW(),2)=0</formula>
    </cfRule>
  </conditionalFormatting>
  <printOptions horizontalCentered="1"/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53296-FF7B-4DAF-A826-0B7E2A8FE509}">
  <dimension ref="A1:Q20"/>
  <sheetViews>
    <sheetView tabSelected="1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5.7265625" style="34" customWidth="1"/>
    <col min="3" max="3" width="13.81640625" style="34" hidden="1" customWidth="1"/>
    <col min="4" max="6" width="12.54296875" style="35" hidden="1" customWidth="1"/>
    <col min="7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23</v>
      </c>
      <c r="B2" s="40"/>
      <c r="C2" s="40"/>
      <c r="D2" s="40"/>
      <c r="E2" s="40"/>
      <c r="F2" s="40"/>
      <c r="G2" s="47"/>
      <c r="H2" s="41"/>
      <c r="I2" s="42"/>
      <c r="J2" s="42"/>
      <c r="K2" s="6"/>
      <c r="L2" s="6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45"/>
      <c r="K3" s="9"/>
      <c r="L3" s="9"/>
      <c r="M3" s="9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2011</v>
      </c>
      <c r="B5" s="50"/>
      <c r="C5" s="51"/>
      <c r="D5" s="50" t="e">
        <f t="shared" ref="D5:D17" si="0">C5/B5*100</f>
        <v>#DIV/0!</v>
      </c>
      <c r="E5" s="50"/>
      <c r="F5" s="50" t="e">
        <f t="shared" ref="F5:F14" si="1">E5/B5*100</f>
        <v>#DIV/0!</v>
      </c>
      <c r="G5" s="50">
        <v>-21861.3</v>
      </c>
      <c r="H5" s="18"/>
      <c r="I5" s="18"/>
      <c r="J5" s="18"/>
      <c r="K5" s="18"/>
      <c r="L5" s="18"/>
      <c r="M5" s="18">
        <f>IF(SUM(G$5:G5)&lt;&gt;0,SUM(G$5:G5)/COUNTIF(G$5:G5,"&lt;&gt;0")," ")</f>
        <v>-21861.3</v>
      </c>
      <c r="N5" s="18">
        <v>0</v>
      </c>
      <c r="O5" s="19"/>
      <c r="Q5" s="21"/>
    </row>
    <row r="6" spans="1:17" s="20" customFormat="1" ht="13.5" x14ac:dyDescent="0.25">
      <c r="A6" s="49">
        <v>2012</v>
      </c>
      <c r="B6" s="50">
        <v>1160722.97</v>
      </c>
      <c r="C6" s="51"/>
      <c r="D6" s="50">
        <f t="shared" si="0"/>
        <v>0</v>
      </c>
      <c r="E6" s="50"/>
      <c r="F6" s="50">
        <f t="shared" si="1"/>
        <v>0</v>
      </c>
      <c r="G6" s="50">
        <v>-53618.09</v>
      </c>
      <c r="H6" s="18">
        <f t="shared" ref="H6:H17" si="2">G6/B6*100</f>
        <v>-4.6193701155065447</v>
      </c>
      <c r="I6" s="18"/>
      <c r="J6" s="18"/>
      <c r="K6" s="18"/>
      <c r="L6" s="18"/>
      <c r="M6" s="18">
        <f>IF(SUM(G$5:G6)&lt;&gt;0,SUM(G$5:G6)/COUNTIF(G$5:G6,"&lt;&gt;0")," ")</f>
        <v>-37739.695</v>
      </c>
      <c r="N6" s="18">
        <f>IF(SUM(G$5:G6)=0,0,M6*COUNTIF(G$5:G6,"&lt;&gt;0")/(SUM(B$5:B6))*100)</f>
        <v>-6.5027911009635657</v>
      </c>
      <c r="O6" s="19"/>
      <c r="Q6" s="21"/>
    </row>
    <row r="7" spans="1:17" s="20" customFormat="1" ht="13.5" x14ac:dyDescent="0.25">
      <c r="A7" s="49">
        <v>2013</v>
      </c>
      <c r="B7" s="50">
        <v>61724</v>
      </c>
      <c r="C7" s="51"/>
      <c r="D7" s="50">
        <f t="shared" si="0"/>
        <v>0</v>
      </c>
      <c r="E7" s="50"/>
      <c r="F7" s="50">
        <f t="shared" si="1"/>
        <v>0</v>
      </c>
      <c r="G7" s="50">
        <v>2304.11</v>
      </c>
      <c r="H7" s="18">
        <f t="shared" si="2"/>
        <v>3.732923984187674</v>
      </c>
      <c r="I7" s="18">
        <f t="shared" ref="I7:I15" si="3">SUM(G5:G7)/3</f>
        <v>-24391.759999999998</v>
      </c>
      <c r="J7" s="18">
        <f t="shared" ref="J7:J15" si="4">IF(SUM(B5:B7)=0,0,I7/(SUM(B5:B7)/3)*100)</f>
        <v>-5.9859676366983843</v>
      </c>
      <c r="K7" s="18"/>
      <c r="L7" s="18"/>
      <c r="M7" s="18">
        <f>IF(SUM(G$5:G7)&lt;&gt;0,SUM(G$5:G7)/COUNTIF(G$5:G7,"&lt;&gt;0")," ")</f>
        <v>-24391.759999999998</v>
      </c>
      <c r="N7" s="18">
        <f>IF(SUM(G$5:G7)=0,0,M7*COUNTIF(G$5:G7,"&lt;&gt;0")/(SUM(B$5:B7))*100)</f>
        <v>-5.9859676366983843</v>
      </c>
      <c r="O7" s="19"/>
      <c r="Q7" s="21"/>
    </row>
    <row r="8" spans="1:17" s="20" customFormat="1" ht="13.5" x14ac:dyDescent="0.25">
      <c r="A8" s="49">
        <v>2014</v>
      </c>
      <c r="B8" s="51">
        <v>22375</v>
      </c>
      <c r="C8" s="51"/>
      <c r="D8" s="50">
        <f t="shared" si="0"/>
        <v>0</v>
      </c>
      <c r="E8" s="50"/>
      <c r="F8" s="50">
        <f t="shared" si="1"/>
        <v>0</v>
      </c>
      <c r="G8" s="50">
        <v>2654.87</v>
      </c>
      <c r="H8" s="18">
        <f t="shared" si="2"/>
        <v>11.865340782122905</v>
      </c>
      <c r="I8" s="18">
        <f t="shared" si="3"/>
        <v>-16219.703333333331</v>
      </c>
      <c r="J8" s="18">
        <f t="shared" si="4"/>
        <v>-3.9089212090303955</v>
      </c>
      <c r="K8" s="18"/>
      <c r="L8" s="18"/>
      <c r="M8" s="18">
        <f>IF(SUM(G$5:G8)&lt;&gt;0,SUM(G$5:G8)/COUNTIF(G$5:G8,"&lt;&gt;0")," ")</f>
        <v>-17630.102500000001</v>
      </c>
      <c r="N8" s="18">
        <f>IF(SUM(G$5:G8)=0,0,M8*COUNTIF(G$5:G8,"&lt;&gt;0")/(SUM(B$5:B8))*100)</f>
        <v>-5.6651000463945866</v>
      </c>
      <c r="O8" s="19"/>
      <c r="Q8" s="21"/>
    </row>
    <row r="9" spans="1:17" s="20" customFormat="1" ht="13.5" x14ac:dyDescent="0.25">
      <c r="A9" s="49">
        <v>2015</v>
      </c>
      <c r="B9" s="50"/>
      <c r="C9" s="51"/>
      <c r="D9" s="50" t="e">
        <f t="shared" si="0"/>
        <v>#DIV/0!</v>
      </c>
      <c r="E9" s="50"/>
      <c r="F9" s="50" t="e">
        <f t="shared" si="1"/>
        <v>#DIV/0!</v>
      </c>
      <c r="G9" s="50">
        <v>0</v>
      </c>
      <c r="H9" s="18"/>
      <c r="I9" s="18">
        <f t="shared" si="3"/>
        <v>1652.9933333333331</v>
      </c>
      <c r="J9" s="18">
        <f t="shared" si="4"/>
        <v>5.8965980570518068</v>
      </c>
      <c r="K9" s="18">
        <f t="shared" ref="K9:K15" si="5">SUM(G5:G9)/5</f>
        <v>-14104.082</v>
      </c>
      <c r="L9" s="18">
        <f t="shared" ref="L9:L15" si="6">IF(SUM(B5:B9)=0,0,K9/(SUM(B5:B9)/5)*100)</f>
        <v>-5.6651000463945858</v>
      </c>
      <c r="M9" s="18">
        <f>IF(SUM(G$5:G9)&lt;&gt;0,SUM(G$5:G9)/COUNTIF(G$5:G9,"&lt;&gt;0")," ")</f>
        <v>-17630.102500000001</v>
      </c>
      <c r="N9" s="18">
        <f>IF(SUM(G$5:G9)=0,0,M9*COUNTIF(G$5:G9,"&lt;&gt;0")/(SUM(B$5:B9))*100)</f>
        <v>-5.6651000463945866</v>
      </c>
      <c r="O9" s="19"/>
      <c r="P9" s="22"/>
      <c r="Q9" s="21"/>
    </row>
    <row r="10" spans="1:17" s="20" customFormat="1" ht="13.5" x14ac:dyDescent="0.25">
      <c r="A10" s="49">
        <v>2016</v>
      </c>
      <c r="B10" s="54">
        <v>3823.95</v>
      </c>
      <c r="C10" s="51"/>
      <c r="D10" s="50">
        <f t="shared" si="0"/>
        <v>0</v>
      </c>
      <c r="E10" s="50"/>
      <c r="F10" s="50">
        <f t="shared" si="1"/>
        <v>0</v>
      </c>
      <c r="G10" s="50">
        <v>-11719.95</v>
      </c>
      <c r="H10" s="18">
        <f t="shared" si="2"/>
        <v>-306.48805554465935</v>
      </c>
      <c r="I10" s="18">
        <f t="shared" si="3"/>
        <v>-3021.6933333333341</v>
      </c>
      <c r="J10" s="18">
        <f t="shared" si="4"/>
        <v>-34.600928663171622</v>
      </c>
      <c r="K10" s="18">
        <f t="shared" si="5"/>
        <v>-12075.812</v>
      </c>
      <c r="L10" s="18">
        <f t="shared" si="6"/>
        <v>-4.8355629913082172</v>
      </c>
      <c r="M10" s="18">
        <f>IF(SUM(G$5:G10)&lt;&gt;0,SUM(G$5:G10)/COUNTIF(G$5:G10,"&lt;&gt;0")," ")</f>
        <v>-16448.072</v>
      </c>
      <c r="N10" s="18">
        <f>IF(SUM(G$5:G10)=0,0,M10*COUNTIF(G$5:G10,"&lt;&gt;0")/(SUM(B$5:B10))*100)</f>
        <v>-6.5863635705468857</v>
      </c>
      <c r="O10" s="19"/>
      <c r="P10" s="22"/>
      <c r="Q10" s="21"/>
    </row>
    <row r="11" spans="1:17" s="20" customFormat="1" ht="13.5" x14ac:dyDescent="0.25">
      <c r="A11" s="49">
        <v>2017</v>
      </c>
      <c r="B11" s="50"/>
      <c r="C11" s="51"/>
      <c r="D11" s="50" t="e">
        <f t="shared" si="0"/>
        <v>#DIV/0!</v>
      </c>
      <c r="E11" s="50"/>
      <c r="F11" s="50" t="e">
        <f t="shared" si="1"/>
        <v>#DIV/0!</v>
      </c>
      <c r="G11" s="50">
        <v>-2.4700000000000002</v>
      </c>
      <c r="H11" s="18"/>
      <c r="I11" s="18">
        <f t="shared" si="3"/>
        <v>-3907.4733333333334</v>
      </c>
      <c r="J11" s="18">
        <f t="shared" si="4"/>
        <v>-306.55264843944093</v>
      </c>
      <c r="K11" s="18">
        <f t="shared" si="5"/>
        <v>-1352.6880000000003</v>
      </c>
      <c r="L11" s="18">
        <f t="shared" si="6"/>
        <v>-7.6924625481742837</v>
      </c>
      <c r="M11" s="18">
        <f>IF(SUM(G$5:G11)&lt;&gt;0,SUM(G$5:G11)/COUNTIF(G$5:G11,"&lt;&gt;0")," ")</f>
        <v>-13707.138333333334</v>
      </c>
      <c r="N11" s="18">
        <f>IF(SUM(G$5:G11)=0,0,M11*COUNTIF(G$5:G11,"&lt;&gt;0")/(SUM(B$5:B11))*100)</f>
        <v>-6.5865613848319793</v>
      </c>
      <c r="O11" s="19"/>
      <c r="P11" s="22"/>
      <c r="Q11" s="21"/>
    </row>
    <row r="12" spans="1:17" s="20" customFormat="1" ht="13.5" x14ac:dyDescent="0.25">
      <c r="A12" s="49">
        <v>2018</v>
      </c>
      <c r="B12" s="50">
        <v>1677752.67</v>
      </c>
      <c r="C12" s="51"/>
      <c r="D12" s="50">
        <f t="shared" si="0"/>
        <v>0</v>
      </c>
      <c r="E12" s="50"/>
      <c r="F12" s="50">
        <f t="shared" si="1"/>
        <v>0</v>
      </c>
      <c r="G12" s="50">
        <v>0</v>
      </c>
      <c r="H12" s="18">
        <f t="shared" si="2"/>
        <v>0</v>
      </c>
      <c r="I12" s="18">
        <f t="shared" si="3"/>
        <v>-3907.4733333333334</v>
      </c>
      <c r="J12" s="18">
        <f t="shared" si="4"/>
        <v>-0.69710888344772548</v>
      </c>
      <c r="K12" s="18">
        <f t="shared" si="5"/>
        <v>-1813.5100000000002</v>
      </c>
      <c r="L12" s="18">
        <f t="shared" si="6"/>
        <v>-0.53214832472767049</v>
      </c>
      <c r="M12" s="18">
        <f>IF(SUM(G$5:G12)&lt;&gt;0,SUM(G$5:G12)/COUNTIF(G$5:G12,"&lt;&gt;0")," ")</f>
        <v>-13707.138333333334</v>
      </c>
      <c r="N12" s="18">
        <f>IF(SUM(G$5:G12)=0,0,M12*COUNTIF(G$5:G12,"&lt;&gt;0")/(SUM(B$5:B12))*100)</f>
        <v>-2.8103769008445294</v>
      </c>
      <c r="O12" s="19"/>
      <c r="P12" s="22"/>
      <c r="Q12" s="21"/>
    </row>
    <row r="13" spans="1:17" s="20" customFormat="1" ht="13.5" x14ac:dyDescent="0.25">
      <c r="A13" s="49">
        <v>2019</v>
      </c>
      <c r="B13" s="50"/>
      <c r="C13" s="51"/>
      <c r="D13" s="50" t="e">
        <f t="shared" si="0"/>
        <v>#DIV/0!</v>
      </c>
      <c r="E13" s="50"/>
      <c r="F13" s="50" t="e">
        <f t="shared" si="1"/>
        <v>#DIV/0!</v>
      </c>
      <c r="G13" s="50">
        <v>-289906</v>
      </c>
      <c r="H13" s="18"/>
      <c r="I13" s="18">
        <f t="shared" si="3"/>
        <v>-96636.156666666662</v>
      </c>
      <c r="J13" s="18">
        <f t="shared" si="4"/>
        <v>-17.279571368525971</v>
      </c>
      <c r="K13" s="18">
        <f t="shared" si="5"/>
        <v>-60325.683999999994</v>
      </c>
      <c r="L13" s="18">
        <f t="shared" si="6"/>
        <v>-17.937239160710977</v>
      </c>
      <c r="M13" s="18">
        <f>IF(SUM(G$5:G13)&lt;&gt;0,SUM(G$5:G13)/COUNTIF(G$5:G13,"&lt;&gt;0")," ")</f>
        <v>-53164.118571428575</v>
      </c>
      <c r="N13" s="18">
        <f>IF(SUM(G$5:G13)=0,0,M13*COUNTIF(G$5:G13,"&lt;&gt;0")/(SUM(B$5:B13))*100)</f>
        <v>-12.7169563049851</v>
      </c>
      <c r="O13" s="19"/>
      <c r="P13" s="22"/>
      <c r="Q13" s="21"/>
    </row>
    <row r="14" spans="1:17" s="20" customFormat="1" ht="13.5" x14ac:dyDescent="0.25">
      <c r="A14" s="49">
        <v>2020</v>
      </c>
      <c r="B14" s="50"/>
      <c r="C14" s="51"/>
      <c r="D14" s="50" t="e">
        <f t="shared" si="0"/>
        <v>#DIV/0!</v>
      </c>
      <c r="E14" s="50"/>
      <c r="F14" s="50" t="e">
        <f t="shared" si="1"/>
        <v>#DIV/0!</v>
      </c>
      <c r="G14" s="50">
        <v>-290525.90999999997</v>
      </c>
      <c r="H14" s="18"/>
      <c r="I14" s="18">
        <f t="shared" si="3"/>
        <v>-193477.30333333332</v>
      </c>
      <c r="J14" s="18">
        <f t="shared" si="4"/>
        <v>-34.595797126640839</v>
      </c>
      <c r="K14" s="18">
        <f t="shared" si="5"/>
        <v>-118430.86599999999</v>
      </c>
      <c r="L14" s="18">
        <f t="shared" si="6"/>
        <v>-35.214234246429996</v>
      </c>
      <c r="M14" s="18">
        <f>IF(SUM(G$5:G14)&lt;&gt;0,SUM(G$5:G14)/COUNTIF(G$5:G14,"&lt;&gt;0")," ")</f>
        <v>-82834.342499999999</v>
      </c>
      <c r="N14" s="18">
        <f>IF(SUM(G$5:G14)=0,0,M14*COUNTIF(G$5:G14,"&lt;&gt;0")/(SUM(B$5:B14))*100)</f>
        <v>-22.644719084559156</v>
      </c>
      <c r="O14" s="19"/>
      <c r="P14" s="22"/>
      <c r="Q14" s="21"/>
    </row>
    <row r="15" spans="1:17" s="20" customFormat="1" ht="13.5" x14ac:dyDescent="0.25">
      <c r="A15" s="49">
        <v>2021</v>
      </c>
      <c r="B15" s="50"/>
      <c r="C15" s="51"/>
      <c r="D15" s="50"/>
      <c r="E15" s="50"/>
      <c r="F15" s="50"/>
      <c r="G15" s="50">
        <v>-291103.09999999998</v>
      </c>
      <c r="H15" s="18"/>
      <c r="I15" s="18">
        <f t="shared" si="3"/>
        <v>-290511.67</v>
      </c>
      <c r="J15" s="18">
        <f t="shared" si="4"/>
        <v>0</v>
      </c>
      <c r="K15" s="18">
        <f t="shared" si="5"/>
        <v>-174307.49599999998</v>
      </c>
      <c r="L15" s="18">
        <f t="shared" si="6"/>
        <v>-51.946719894059235</v>
      </c>
      <c r="M15" s="18">
        <f>IF(SUM(G$5:G15)&lt;&gt;0,SUM(G$5:G15)/COUNTIF(G$5:G15,"&lt;&gt;0")," ")</f>
        <v>-105975.31555555556</v>
      </c>
      <c r="N15" s="18">
        <f>IF(SUM(G$5:G15)=0,0,M15*COUNTIF(G$5:G15,"&lt;&gt;0")/(SUM(B$5:B15))*100)</f>
        <v>-32.59220542475726</v>
      </c>
      <c r="O15" s="19"/>
      <c r="P15" s="22"/>
      <c r="Q15" s="21"/>
    </row>
    <row r="16" spans="1:17" s="20" customFormat="1" ht="13.5" x14ac:dyDescent="0.25">
      <c r="A16" s="23"/>
      <c r="B16" s="24"/>
      <c r="C16" s="24"/>
      <c r="D16" s="25"/>
      <c r="E16" s="50"/>
      <c r="F16" s="18"/>
      <c r="G16" s="50"/>
      <c r="H16" s="25"/>
      <c r="I16" s="18"/>
      <c r="J16" s="18"/>
      <c r="K16" s="18"/>
      <c r="L16" s="18"/>
      <c r="M16" s="18"/>
      <c r="N16" s="18"/>
      <c r="O16" s="19"/>
    </row>
    <row r="17" spans="1:15" s="32" customFormat="1" ht="30" customHeight="1" x14ac:dyDescent="0.3">
      <c r="A17" s="26" t="s">
        <v>17</v>
      </c>
      <c r="B17" s="27">
        <f>SUM(B5:B16)</f>
        <v>2926398.59</v>
      </c>
      <c r="C17" s="27">
        <f>SUM(C5:C16)</f>
        <v>0</v>
      </c>
      <c r="D17" s="28">
        <f t="shared" si="0"/>
        <v>0</v>
      </c>
      <c r="E17" s="29">
        <f>SUM(E5:E16)</f>
        <v>0</v>
      </c>
      <c r="F17" s="28">
        <f>E17/B17*100</f>
        <v>0</v>
      </c>
      <c r="G17" s="29">
        <f>SUM(G5:G16)</f>
        <v>-953777.84</v>
      </c>
      <c r="H17" s="28">
        <f t="shared" si="2"/>
        <v>-32.59220542475726</v>
      </c>
      <c r="I17" s="30"/>
      <c r="J17" s="30"/>
      <c r="K17" s="30"/>
      <c r="L17" s="30"/>
      <c r="M17" s="30"/>
      <c r="N17" s="30"/>
      <c r="O17" s="31"/>
    </row>
    <row r="19" spans="1:15" x14ac:dyDescent="0.35">
      <c r="B19" s="38"/>
    </row>
    <row r="20" spans="1:15" x14ac:dyDescent="0.35">
      <c r="B20" s="38"/>
    </row>
  </sheetData>
  <conditionalFormatting sqref="A5:XFD15">
    <cfRule type="expression" dxfId="41" priority="2">
      <formula>MOD(ROW(),2)=0</formula>
    </cfRule>
  </conditionalFormatting>
  <conditionalFormatting sqref="A16:XFD17">
    <cfRule type="expression" dxfId="40" priority="1">
      <formula>MOD(ROW(),2)=0</formula>
    </cfRule>
  </conditionalFormatting>
  <printOptions horizontalCentered="1"/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27686-29EB-42FB-827B-EC7A7FA487E8}">
  <dimension ref="A1:Q18"/>
  <sheetViews>
    <sheetView tabSelected="1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5.54296875" style="34" customWidth="1"/>
    <col min="3" max="3" width="13.81640625" style="34" hidden="1" customWidth="1"/>
    <col min="4" max="6" width="12.54296875" style="35" hidden="1" customWidth="1"/>
    <col min="7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24</v>
      </c>
      <c r="B2" s="40"/>
      <c r="C2" s="40"/>
      <c r="D2" s="40"/>
      <c r="E2" s="40"/>
      <c r="F2" s="40"/>
      <c r="G2" s="47"/>
      <c r="H2" s="41"/>
      <c r="I2" s="42"/>
      <c r="J2" s="42"/>
      <c r="K2" s="42"/>
      <c r="L2" s="6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48"/>
      <c r="K3" s="45"/>
      <c r="L3" s="9"/>
      <c r="M3" s="9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2010</v>
      </c>
      <c r="B5" s="55"/>
      <c r="C5" s="51"/>
      <c r="D5" s="50" t="e">
        <f t="shared" ref="D5:D18" si="0">C5/B5*100</f>
        <v>#DIV/0!</v>
      </c>
      <c r="E5" s="50"/>
      <c r="F5" s="50" t="e">
        <f t="shared" ref="F5:F15" si="1">E5/B5*100</f>
        <v>#DIV/0!</v>
      </c>
      <c r="G5" s="50">
        <v>-679.79</v>
      </c>
      <c r="H5" s="18"/>
      <c r="I5" s="18"/>
      <c r="J5" s="18"/>
      <c r="K5" s="18"/>
      <c r="L5" s="18"/>
      <c r="M5" s="18">
        <f>IF(SUM(G$5:G5)&lt;&gt;0,SUM(G$5:G5)/COUNTIF(G$5:G5,"&lt;&gt;0")," ")</f>
        <v>-679.79</v>
      </c>
      <c r="N5" s="18">
        <v>0</v>
      </c>
      <c r="O5" s="19"/>
      <c r="Q5" s="21"/>
    </row>
    <row r="6" spans="1:17" s="20" customFormat="1" ht="13.5" x14ac:dyDescent="0.25">
      <c r="A6" s="49">
        <v>2011</v>
      </c>
      <c r="B6" s="55"/>
      <c r="C6" s="51"/>
      <c r="D6" s="50" t="e">
        <f t="shared" si="0"/>
        <v>#DIV/0!</v>
      </c>
      <c r="E6" s="50"/>
      <c r="F6" s="50" t="e">
        <f t="shared" si="1"/>
        <v>#DIV/0!</v>
      </c>
      <c r="G6" s="50">
        <v>0</v>
      </c>
      <c r="H6" s="18"/>
      <c r="I6" s="18"/>
      <c r="J6" s="18"/>
      <c r="K6" s="18"/>
      <c r="L6" s="18"/>
      <c r="M6" s="18">
        <f>IF(SUM(G$5:G6)&lt;&gt;0,SUM(G$5:G6)/COUNTIF(G$5:G6,"&lt;&gt;0")," ")</f>
        <v>-679.79</v>
      </c>
      <c r="N6" s="18">
        <v>0</v>
      </c>
      <c r="O6" s="19"/>
      <c r="Q6" s="21"/>
    </row>
    <row r="7" spans="1:17" s="20" customFormat="1" ht="13.5" x14ac:dyDescent="0.25">
      <c r="A7" s="49">
        <v>2012</v>
      </c>
      <c r="B7" s="55">
        <v>26517.599999999999</v>
      </c>
      <c r="C7" s="51"/>
      <c r="D7" s="50">
        <f t="shared" si="0"/>
        <v>0</v>
      </c>
      <c r="E7" s="50"/>
      <c r="F7" s="50">
        <f t="shared" si="1"/>
        <v>0</v>
      </c>
      <c r="G7" s="50">
        <v>0</v>
      </c>
      <c r="H7" s="18">
        <f t="shared" ref="H7:H18" si="2">G7/B7*100</f>
        <v>0</v>
      </c>
      <c r="I7" s="18">
        <f t="shared" ref="I7:I16" si="3">SUM(G5:G7)/3</f>
        <v>-226.59666666666666</v>
      </c>
      <c r="J7" s="18">
        <f t="shared" ref="J7:J16" si="4">IF(SUM(B5:B7)=0,0,I7/(SUM(B5:B7)/3)*100)</f>
        <v>-2.5635427037137601</v>
      </c>
      <c r="K7" s="18"/>
      <c r="L7" s="18"/>
      <c r="M7" s="18">
        <f>IF(SUM(G$5:G7)&lt;&gt;0,SUM(G$5:G7)/COUNTIF(G$5:G7,"&lt;&gt;0")," ")</f>
        <v>-679.79</v>
      </c>
      <c r="N7" s="18">
        <f>IF(SUM(G$5:G7)=0,0,M7*COUNTIF(G$5:G7,"&lt;&gt;0")/(SUM(B$5:B7))*100)</f>
        <v>-2.5635427037137601</v>
      </c>
      <c r="O7" s="19"/>
      <c r="Q7" s="21"/>
    </row>
    <row r="8" spans="1:17" s="20" customFormat="1" ht="13.5" x14ac:dyDescent="0.25">
      <c r="A8" s="49">
        <v>2013</v>
      </c>
      <c r="B8" s="56">
        <v>420.68</v>
      </c>
      <c r="C8" s="51"/>
      <c r="D8" s="50">
        <f t="shared" si="0"/>
        <v>0</v>
      </c>
      <c r="E8" s="50"/>
      <c r="F8" s="50">
        <f t="shared" si="1"/>
        <v>0</v>
      </c>
      <c r="G8" s="50">
        <v>0</v>
      </c>
      <c r="H8" s="18">
        <f t="shared" si="2"/>
        <v>0</v>
      </c>
      <c r="I8" s="18">
        <f t="shared" si="3"/>
        <v>0</v>
      </c>
      <c r="J8" s="18">
        <f t="shared" si="4"/>
        <v>0</v>
      </c>
      <c r="K8" s="18"/>
      <c r="L8" s="18"/>
      <c r="M8" s="18">
        <f>IF(SUM(G$5:G8)&lt;&gt;0,SUM(G$5:G8)/COUNTIF(G$5:G8,"&lt;&gt;0")," ")</f>
        <v>-679.79</v>
      </c>
      <c r="N8" s="18">
        <f>IF(SUM(G$5:G8)=0,0,M8*COUNTIF(G$5:G8,"&lt;&gt;0")/(SUM(B$5:B8))*100)</f>
        <v>-2.5235092960649306</v>
      </c>
      <c r="O8" s="19"/>
      <c r="Q8" s="21"/>
    </row>
    <row r="9" spans="1:17" s="20" customFormat="1" ht="13.5" x14ac:dyDescent="0.25">
      <c r="A9" s="49">
        <v>2014</v>
      </c>
      <c r="B9" s="55">
        <v>52179.06</v>
      </c>
      <c r="C9" s="51"/>
      <c r="D9" s="50">
        <f t="shared" si="0"/>
        <v>0</v>
      </c>
      <c r="E9" s="50"/>
      <c r="F9" s="50">
        <f t="shared" si="1"/>
        <v>0</v>
      </c>
      <c r="G9" s="50">
        <v>0</v>
      </c>
      <c r="H9" s="18">
        <f t="shared" si="2"/>
        <v>0</v>
      </c>
      <c r="I9" s="18">
        <f t="shared" si="3"/>
        <v>0</v>
      </c>
      <c r="J9" s="18">
        <f t="shared" si="4"/>
        <v>0</v>
      </c>
      <c r="K9" s="18">
        <f t="shared" ref="K9:K16" si="5">SUM(G5:G9)/5</f>
        <v>-135.958</v>
      </c>
      <c r="L9" s="18">
        <f t="shared" ref="L9:L16" si="6">IF(SUM(B5:B9)=0,0,K9/(SUM(B5:B9)/5)*100)</f>
        <v>-0.85921746105215369</v>
      </c>
      <c r="M9" s="18">
        <f>IF(SUM(G$5:G9)&lt;&gt;0,SUM(G$5:G9)/COUNTIF(G$5:G9,"&lt;&gt;0")," ")</f>
        <v>-679.79</v>
      </c>
      <c r="N9" s="18">
        <f>IF(SUM(G$5:G9)=0,0,M9*COUNTIF(G$5:G9,"&lt;&gt;0")/(SUM(B$5:B9))*100)</f>
        <v>-0.85921746105215369</v>
      </c>
      <c r="O9" s="19"/>
      <c r="Q9" s="21"/>
    </row>
    <row r="10" spans="1:17" s="20" customFormat="1" ht="13.5" x14ac:dyDescent="0.25">
      <c r="A10" s="49">
        <v>2015</v>
      </c>
      <c r="B10" s="55">
        <v>103643.21</v>
      </c>
      <c r="C10" s="51"/>
      <c r="D10" s="50">
        <f t="shared" si="0"/>
        <v>0</v>
      </c>
      <c r="E10" s="50"/>
      <c r="F10" s="50">
        <f t="shared" si="1"/>
        <v>0</v>
      </c>
      <c r="G10" s="50">
        <v>0</v>
      </c>
      <c r="H10" s="18">
        <f t="shared" si="2"/>
        <v>0</v>
      </c>
      <c r="I10" s="18">
        <f t="shared" si="3"/>
        <v>0</v>
      </c>
      <c r="J10" s="18">
        <f t="shared" si="4"/>
        <v>0</v>
      </c>
      <c r="K10" s="18">
        <f t="shared" si="5"/>
        <v>0</v>
      </c>
      <c r="L10" s="18">
        <f t="shared" si="6"/>
        <v>0</v>
      </c>
      <c r="M10" s="18">
        <f>IF(SUM(G$5:G10)&lt;&gt;0,SUM(G$5:G10)/COUNTIF(G$5:G10,"&lt;&gt;0")," ")</f>
        <v>-679.79</v>
      </c>
      <c r="N10" s="18">
        <f>IF(SUM(G$5:G10)=0,0,M10*COUNTIF(G$5:G10,"&lt;&gt;0")/(SUM(B$5:B10))*100)</f>
        <v>-0.37195663943887236</v>
      </c>
      <c r="O10" s="19"/>
      <c r="P10" s="22"/>
      <c r="Q10" s="21"/>
    </row>
    <row r="11" spans="1:17" s="20" customFormat="1" ht="13.5" x14ac:dyDescent="0.25">
      <c r="A11" s="49">
        <v>2016</v>
      </c>
      <c r="B11" s="56">
        <v>3823.95</v>
      </c>
      <c r="C11" s="51"/>
      <c r="D11" s="50">
        <f t="shared" si="0"/>
        <v>0</v>
      </c>
      <c r="E11" s="50"/>
      <c r="F11" s="50">
        <f t="shared" si="1"/>
        <v>0</v>
      </c>
      <c r="G11" s="50">
        <v>0</v>
      </c>
      <c r="H11" s="18">
        <f t="shared" si="2"/>
        <v>0</v>
      </c>
      <c r="I11" s="18">
        <f t="shared" si="3"/>
        <v>0</v>
      </c>
      <c r="J11" s="18">
        <f t="shared" si="4"/>
        <v>0</v>
      </c>
      <c r="K11" s="18">
        <f t="shared" si="5"/>
        <v>0</v>
      </c>
      <c r="L11" s="18">
        <f t="shared" si="6"/>
        <v>0</v>
      </c>
      <c r="M11" s="18">
        <f>IF(SUM(G$5:G11)&lt;&gt;0,SUM(G$5:G11)/COUNTIF(G$5:G11,"&lt;&gt;0")," ")</f>
        <v>-679.79</v>
      </c>
      <c r="N11" s="18">
        <f>IF(SUM(G$5:G11)=0,0,M11*COUNTIF(G$5:G11,"&lt;&gt;0")/(SUM(B$5:B11))*100)</f>
        <v>-0.3643335861231774</v>
      </c>
      <c r="O11" s="19"/>
      <c r="P11" s="22"/>
      <c r="Q11" s="21"/>
    </row>
    <row r="12" spans="1:17" s="20" customFormat="1" ht="13.5" x14ac:dyDescent="0.25">
      <c r="A12" s="49">
        <v>2017</v>
      </c>
      <c r="B12" s="55"/>
      <c r="C12" s="51"/>
      <c r="D12" s="50" t="e">
        <f t="shared" si="0"/>
        <v>#DIV/0!</v>
      </c>
      <c r="E12" s="53"/>
      <c r="F12" s="50" t="e">
        <f t="shared" si="1"/>
        <v>#DIV/0!</v>
      </c>
      <c r="G12" s="53">
        <v>5520</v>
      </c>
      <c r="H12" s="18"/>
      <c r="I12" s="18">
        <f t="shared" si="3"/>
        <v>1840</v>
      </c>
      <c r="J12" s="18">
        <f t="shared" si="4"/>
        <v>5.1364528475489637</v>
      </c>
      <c r="K12" s="18">
        <f t="shared" si="5"/>
        <v>1104</v>
      </c>
      <c r="L12" s="18">
        <f t="shared" si="6"/>
        <v>3.4485580716562882</v>
      </c>
      <c r="M12" s="18">
        <f>IF(SUM(G$5:G12)&lt;&gt;0,SUM(G$5:G12)/COUNTIF(G$5:G12,"&lt;&gt;0")," ")</f>
        <v>2420.105</v>
      </c>
      <c r="N12" s="18">
        <f>IF(SUM(G$5:G12)=0,0,M12*COUNTIF(G$5:G12,"&lt;&gt;0")/(SUM(B$5:B12))*100)</f>
        <v>2.5941115151580112</v>
      </c>
      <c r="O12" s="19"/>
      <c r="P12" s="22"/>
      <c r="Q12" s="21"/>
    </row>
    <row r="13" spans="1:17" s="20" customFormat="1" ht="13.5" x14ac:dyDescent="0.25">
      <c r="A13" s="49">
        <v>2018</v>
      </c>
      <c r="B13" s="57">
        <v>982.51</v>
      </c>
      <c r="C13" s="51"/>
      <c r="D13" s="50">
        <f t="shared" si="0"/>
        <v>0</v>
      </c>
      <c r="E13" s="50"/>
      <c r="F13" s="50">
        <f t="shared" si="1"/>
        <v>0</v>
      </c>
      <c r="G13" s="50">
        <v>0</v>
      </c>
      <c r="H13" s="18">
        <f t="shared" si="2"/>
        <v>0</v>
      </c>
      <c r="I13" s="18">
        <f t="shared" si="3"/>
        <v>1840</v>
      </c>
      <c r="J13" s="18">
        <f t="shared" si="4"/>
        <v>114.84543718245861</v>
      </c>
      <c r="K13" s="18">
        <f t="shared" si="5"/>
        <v>1104</v>
      </c>
      <c r="L13" s="18">
        <f t="shared" si="6"/>
        <v>3.4364960738966182</v>
      </c>
      <c r="M13" s="18">
        <f>IF(SUM(G$5:G13)&lt;&gt;0,SUM(G$5:G13)/COUNTIF(G$5:G13,"&lt;&gt;0")," ")</f>
        <v>2420.105</v>
      </c>
      <c r="N13" s="18">
        <f>IF(SUM(G$5:G13)=0,0,M13*COUNTIF(G$5:G13,"&lt;&gt;0")/(SUM(B$5:B13))*100)</f>
        <v>2.5805230887883748</v>
      </c>
      <c r="O13" s="19"/>
      <c r="P13" s="22"/>
      <c r="Q13" s="21"/>
    </row>
    <row r="14" spans="1:17" s="20" customFormat="1" ht="13.5" x14ac:dyDescent="0.25">
      <c r="A14" s="49">
        <v>2019</v>
      </c>
      <c r="B14" s="56">
        <v>14844.58</v>
      </c>
      <c r="C14" s="51"/>
      <c r="D14" s="50">
        <f t="shared" si="0"/>
        <v>0</v>
      </c>
      <c r="E14" s="50"/>
      <c r="F14" s="50">
        <f t="shared" si="1"/>
        <v>0</v>
      </c>
      <c r="G14" s="50">
        <v>-17913.14</v>
      </c>
      <c r="H14" s="18">
        <f t="shared" si="2"/>
        <v>-120.67124836135478</v>
      </c>
      <c r="I14" s="18">
        <f t="shared" si="3"/>
        <v>-4131.0466666666662</v>
      </c>
      <c r="J14" s="18">
        <f t="shared" si="4"/>
        <v>-78.30333940098906</v>
      </c>
      <c r="K14" s="18">
        <f t="shared" si="5"/>
        <v>-2478.6279999999997</v>
      </c>
      <c r="L14" s="18">
        <f t="shared" si="6"/>
        <v>-10.051677186892332</v>
      </c>
      <c r="M14" s="18">
        <f>IF(SUM(G$5:G14)&lt;&gt;0,SUM(G$5:G14)/COUNTIF(G$5:G14,"&lt;&gt;0")," ")</f>
        <v>-4357.6433333333334</v>
      </c>
      <c r="N14" s="18">
        <f>IF(SUM(G$5:G14)=0,0,M14*COUNTIF(G$5:G14,"&lt;&gt;0")/(SUM(B$5:B14))*100)</f>
        <v>-6.4585876727711096</v>
      </c>
      <c r="O14" s="19"/>
      <c r="P14" s="22"/>
      <c r="Q14" s="21"/>
    </row>
    <row r="15" spans="1:17" s="20" customFormat="1" ht="13.5" x14ac:dyDescent="0.25">
      <c r="A15" s="49">
        <v>2020</v>
      </c>
      <c r="B15" s="55"/>
      <c r="C15" s="51"/>
      <c r="D15" s="50" t="e">
        <f t="shared" si="0"/>
        <v>#DIV/0!</v>
      </c>
      <c r="E15" s="50"/>
      <c r="F15" s="50" t="e">
        <f t="shared" si="1"/>
        <v>#DIV/0!</v>
      </c>
      <c r="G15" s="50">
        <v>-19841.55</v>
      </c>
      <c r="H15" s="18"/>
      <c r="I15" s="18">
        <f t="shared" si="3"/>
        <v>-12584.896666666667</v>
      </c>
      <c r="J15" s="18">
        <f t="shared" si="4"/>
        <v>-238.54473563996922</v>
      </c>
      <c r="K15" s="18">
        <f t="shared" si="5"/>
        <v>-6446.9380000000001</v>
      </c>
      <c r="L15" s="18">
        <f t="shared" si="6"/>
        <v>-164.03554213924556</v>
      </c>
      <c r="M15" s="18">
        <f>IF(SUM(G$5:G15)&lt;&gt;0,SUM(G$5:G15)/COUNTIF(G$5:G15,"&lt;&gt;0")," ")</f>
        <v>-8228.619999999999</v>
      </c>
      <c r="N15" s="18">
        <f>IF(SUM(G$5:G15)=0,0,M15*COUNTIF(G$5:G15,"&lt;&gt;0")/(SUM(B$5:B15))*100)</f>
        <v>-16.261163701149719</v>
      </c>
      <c r="O15" s="19"/>
      <c r="P15" s="22"/>
      <c r="Q15" s="21"/>
    </row>
    <row r="16" spans="1:17" s="20" customFormat="1" ht="13.5" x14ac:dyDescent="0.25">
      <c r="A16" s="49">
        <v>2021</v>
      </c>
      <c r="B16" s="55"/>
      <c r="C16" s="51"/>
      <c r="D16" s="50"/>
      <c r="E16" s="50"/>
      <c r="F16" s="50"/>
      <c r="G16" s="50">
        <v>-19891.04</v>
      </c>
      <c r="H16" s="18"/>
      <c r="I16" s="18">
        <f t="shared" si="3"/>
        <v>-19215.243333333336</v>
      </c>
      <c r="J16" s="18">
        <f t="shared" si="4"/>
        <v>-388.32846735980405</v>
      </c>
      <c r="K16" s="18">
        <f t="shared" si="5"/>
        <v>-10425.145999999999</v>
      </c>
      <c r="L16" s="18">
        <f t="shared" si="6"/>
        <v>-329.34500277688443</v>
      </c>
      <c r="M16" s="18">
        <f>IF(SUM(G$5:G16)&lt;&gt;0,SUM(G$5:G16)/COUNTIF(G$5:G16,"&lt;&gt;0")," ")</f>
        <v>-10561.103999999999</v>
      </c>
      <c r="N16" s="18">
        <f>IF(SUM(G$5:G16)=0,0,M16*COUNTIF(G$5:G16,"&lt;&gt;0")/(SUM(B$5:B16))*100)</f>
        <v>-26.088189910469055</v>
      </c>
      <c r="O16" s="19"/>
      <c r="P16" s="22"/>
      <c r="Q16" s="21"/>
    </row>
    <row r="17" spans="1:15" s="20" customFormat="1" ht="13.5" x14ac:dyDescent="0.25">
      <c r="A17" s="23"/>
      <c r="B17" s="24"/>
      <c r="C17" s="24"/>
      <c r="D17" s="25"/>
      <c r="E17" s="50"/>
      <c r="F17" s="18"/>
      <c r="G17" s="50"/>
      <c r="H17" s="25"/>
      <c r="I17" s="18"/>
      <c r="J17" s="18"/>
      <c r="K17" s="18"/>
      <c r="L17" s="18"/>
      <c r="M17" s="18"/>
      <c r="N17" s="18"/>
      <c r="O17" s="19"/>
    </row>
    <row r="18" spans="1:15" s="32" customFormat="1" ht="30" customHeight="1" x14ac:dyDescent="0.3">
      <c r="A18" s="26" t="s">
        <v>17</v>
      </c>
      <c r="B18" s="27">
        <f>SUM(B5:B17)</f>
        <v>202411.59</v>
      </c>
      <c r="C18" s="27">
        <f>SUM(C5:C17)</f>
        <v>0</v>
      </c>
      <c r="D18" s="28">
        <f t="shared" si="0"/>
        <v>0</v>
      </c>
      <c r="E18" s="29">
        <f>SUM(E5:E17)</f>
        <v>0</v>
      </c>
      <c r="F18" s="28">
        <f>E18/B18*100</f>
        <v>0</v>
      </c>
      <c r="G18" s="29">
        <f>SUM(G5:G17)</f>
        <v>-52805.52</v>
      </c>
      <c r="H18" s="28">
        <f t="shared" si="2"/>
        <v>-26.088189910469055</v>
      </c>
      <c r="I18" s="30"/>
      <c r="J18" s="30"/>
      <c r="K18" s="30"/>
      <c r="L18" s="30"/>
      <c r="M18" s="30"/>
      <c r="N18" s="30"/>
      <c r="O18" s="31"/>
    </row>
  </sheetData>
  <conditionalFormatting sqref="A5:XFD16">
    <cfRule type="expression" dxfId="39" priority="2">
      <formula>MOD(ROW(),2)=0</formula>
    </cfRule>
  </conditionalFormatting>
  <conditionalFormatting sqref="A17:XFD18">
    <cfRule type="expression" dxfId="38" priority="1">
      <formula>MOD(ROW(),2)=0</formula>
    </cfRule>
  </conditionalFormatting>
  <printOptions horizontalCentered="1"/>
  <pageMargins left="0.7" right="0.7" top="0.75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393E-C5A8-4976-A51E-5FDBD0205683}">
  <dimension ref="A1:Q19"/>
  <sheetViews>
    <sheetView tabSelected="1" view="pageBreakPreview" zoomScale="60" zoomScaleNormal="100" workbookViewId="0">
      <selection activeCell="B5" sqref="B5"/>
    </sheetView>
  </sheetViews>
  <sheetFormatPr defaultColWidth="9" defaultRowHeight="16" x14ac:dyDescent="0.35"/>
  <cols>
    <col min="1" max="1" width="6.54296875" style="33" customWidth="1"/>
    <col min="2" max="2" width="25.81640625" style="34" customWidth="1"/>
    <col min="3" max="3" width="13.81640625" style="34" hidden="1" customWidth="1"/>
    <col min="4" max="6" width="12.54296875" style="35" hidden="1" customWidth="1"/>
    <col min="7" max="14" width="12.54296875" style="35" customWidth="1"/>
    <col min="15" max="15" width="9" style="36"/>
    <col min="16" max="16" width="12.1796875" style="37" bestFit="1" customWidth="1"/>
    <col min="17" max="16384" width="9" style="37"/>
  </cols>
  <sheetData>
    <row r="1" spans="1:17" s="5" customFormat="1" ht="22.5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7" s="8" customFormat="1" ht="17.5" x14ac:dyDescent="0.35">
      <c r="A2" s="40" t="s">
        <v>25</v>
      </c>
      <c r="B2" s="40"/>
      <c r="C2" s="40"/>
      <c r="D2" s="40"/>
      <c r="E2" s="40"/>
      <c r="F2" s="40"/>
      <c r="G2" s="47"/>
      <c r="H2" s="41"/>
      <c r="I2" s="42"/>
      <c r="J2" s="42"/>
      <c r="K2" s="42"/>
      <c r="L2" s="6"/>
      <c r="M2" s="6"/>
      <c r="N2" s="6"/>
      <c r="O2" s="7"/>
    </row>
    <row r="3" spans="1:17" s="11" customFormat="1" ht="17.5" x14ac:dyDescent="0.35">
      <c r="A3" s="43" t="s">
        <v>2</v>
      </c>
      <c r="B3" s="44"/>
      <c r="C3" s="44"/>
      <c r="D3" s="45"/>
      <c r="E3" s="45"/>
      <c r="F3" s="45"/>
      <c r="G3" s="45"/>
      <c r="H3" s="45"/>
      <c r="I3" s="45"/>
      <c r="J3" s="45"/>
      <c r="K3" s="45"/>
      <c r="L3" s="9"/>
      <c r="M3" s="9"/>
      <c r="N3" s="9"/>
      <c r="O3" s="10"/>
    </row>
    <row r="4" spans="1:17" s="16" customFormat="1" ht="34.5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spans="1:17" s="20" customFormat="1" ht="13.5" x14ac:dyDescent="0.25">
      <c r="A5" s="49">
        <v>2012</v>
      </c>
      <c r="B5" s="52">
        <v>9661.5499999999993</v>
      </c>
      <c r="C5" s="51"/>
      <c r="D5" s="50">
        <f t="shared" ref="D5:D16" si="0">C5/B5*100</f>
        <v>0</v>
      </c>
      <c r="E5" s="50"/>
      <c r="F5" s="50">
        <f t="shared" ref="F5:F13" si="1">E5/B5*100</f>
        <v>0</v>
      </c>
      <c r="G5" s="50">
        <v>-4132.6499999999996</v>
      </c>
      <c r="H5" s="18">
        <f t="shared" ref="H5:H16" si="2">G5/B5*100</f>
        <v>-42.774192546744572</v>
      </c>
      <c r="I5" s="18"/>
      <c r="J5" s="18"/>
      <c r="K5" s="18"/>
      <c r="L5" s="18"/>
      <c r="M5" s="18">
        <f>IF(SUM(G$5:G5)&lt;&gt;0,SUM(G$5:G5)/COUNTIF(G$5:G5,"&lt;&gt;0")," ")</f>
        <v>-4132.6499999999996</v>
      </c>
      <c r="N5" s="18">
        <f>IF(SUM(G$5:G5)=0,0,M5*COUNTIF(G$5:G5,"&lt;&gt;0")/(SUM(B$5:B5))*100)</f>
        <v>-42.774192546744572</v>
      </c>
      <c r="O5" s="19"/>
      <c r="Q5" s="21"/>
    </row>
    <row r="6" spans="1:17" s="20" customFormat="1" ht="13.5" x14ac:dyDescent="0.25">
      <c r="A6" s="49">
        <v>2013</v>
      </c>
      <c r="B6" s="50"/>
      <c r="C6" s="51"/>
      <c r="D6" s="50" t="e">
        <f t="shared" si="0"/>
        <v>#DIV/0!</v>
      </c>
      <c r="E6" s="50"/>
      <c r="F6" s="50" t="e">
        <f t="shared" si="1"/>
        <v>#DIV/0!</v>
      </c>
      <c r="G6" s="50">
        <v>0</v>
      </c>
      <c r="H6" s="18"/>
      <c r="I6" s="18"/>
      <c r="J6" s="18"/>
      <c r="K6" s="18"/>
      <c r="L6" s="18"/>
      <c r="M6" s="18">
        <f>IF(SUM(G$5:G6)&lt;&gt;0,SUM(G$5:G6)/COUNTIF(G$5:G6,"&lt;&gt;0")," ")</f>
        <v>-4132.6499999999996</v>
      </c>
      <c r="N6" s="18">
        <f>IF(SUM(G$5:G6)=0,0,M6*COUNTIF(G$5:G6,"&lt;&gt;0")/(SUM(B$5:B6))*100)</f>
        <v>-42.774192546744572</v>
      </c>
      <c r="O6" s="19"/>
      <c r="Q6" s="21"/>
    </row>
    <row r="7" spans="1:17" s="20" customFormat="1" ht="13.5" x14ac:dyDescent="0.25">
      <c r="A7" s="49">
        <v>2014</v>
      </c>
      <c r="B7" s="50"/>
      <c r="C7" s="51"/>
      <c r="D7" s="50" t="e">
        <f t="shared" si="0"/>
        <v>#DIV/0!</v>
      </c>
      <c r="E7" s="50"/>
      <c r="F7" s="50" t="e">
        <f t="shared" si="1"/>
        <v>#DIV/0!</v>
      </c>
      <c r="G7" s="50">
        <v>0</v>
      </c>
      <c r="H7" s="18"/>
      <c r="I7" s="18">
        <f t="shared" ref="I7:I14" si="3">SUM(G5:G7)/3</f>
        <v>-1377.55</v>
      </c>
      <c r="J7" s="18">
        <f t="shared" ref="J7:J14" si="4">IF(SUM(B5:B7)=0,0,I7/(SUM(B5:B7)/3)*100)</f>
        <v>-42.774192546744572</v>
      </c>
      <c r="K7" s="18"/>
      <c r="L7" s="18"/>
      <c r="M7" s="18">
        <f>IF(SUM(G$5:G7)&lt;&gt;0,SUM(G$5:G7)/COUNTIF(G$5:G7,"&lt;&gt;0")," ")</f>
        <v>-4132.6499999999996</v>
      </c>
      <c r="N7" s="18">
        <f>IF(SUM(G$5:G7)=0,0,M7*COUNTIF(G$5:G7,"&lt;&gt;0")/(SUM(B$5:B7))*100)</f>
        <v>-42.774192546744572</v>
      </c>
      <c r="O7" s="19"/>
      <c r="Q7" s="21"/>
    </row>
    <row r="8" spans="1:17" s="20" customFormat="1" ht="13.5" x14ac:dyDescent="0.25">
      <c r="A8" s="49">
        <v>2015</v>
      </c>
      <c r="B8" s="50"/>
      <c r="C8" s="51"/>
      <c r="D8" s="50" t="e">
        <f t="shared" si="0"/>
        <v>#DIV/0!</v>
      </c>
      <c r="E8" s="50"/>
      <c r="F8" s="50" t="e">
        <f t="shared" si="1"/>
        <v>#DIV/0!</v>
      </c>
      <c r="G8" s="50">
        <v>0</v>
      </c>
      <c r="H8" s="18"/>
      <c r="I8" s="18">
        <f t="shared" si="3"/>
        <v>0</v>
      </c>
      <c r="J8" s="18">
        <f t="shared" si="4"/>
        <v>0</v>
      </c>
      <c r="K8" s="18"/>
      <c r="L8" s="18"/>
      <c r="M8" s="18">
        <f>IF(SUM(G$5:G8)&lt;&gt;0,SUM(G$5:G8)/COUNTIF(G$5:G8,"&lt;&gt;0")," ")</f>
        <v>-4132.6499999999996</v>
      </c>
      <c r="N8" s="18">
        <f>IF(SUM(G$5:G8)=0,0,M8*COUNTIF(G$5:G8,"&lt;&gt;0")/(SUM(B$5:B8))*100)</f>
        <v>-42.774192546744572</v>
      </c>
      <c r="O8" s="19"/>
      <c r="P8" s="22"/>
      <c r="Q8" s="21"/>
    </row>
    <row r="9" spans="1:17" s="20" customFormat="1" ht="13.5" x14ac:dyDescent="0.25">
      <c r="A9" s="49">
        <v>2016</v>
      </c>
      <c r="B9" s="50"/>
      <c r="C9" s="51"/>
      <c r="D9" s="50" t="e">
        <f t="shared" si="0"/>
        <v>#DIV/0!</v>
      </c>
      <c r="E9" s="50"/>
      <c r="F9" s="50" t="e">
        <f t="shared" si="1"/>
        <v>#DIV/0!</v>
      </c>
      <c r="G9" s="50">
        <v>0</v>
      </c>
      <c r="H9" s="18"/>
      <c r="I9" s="18">
        <f t="shared" si="3"/>
        <v>0</v>
      </c>
      <c r="J9" s="18">
        <f t="shared" si="4"/>
        <v>0</v>
      </c>
      <c r="K9" s="18">
        <f t="shared" ref="K9:K14" si="5">SUM(G5:G9)/5</f>
        <v>-826.53</v>
      </c>
      <c r="L9" s="18">
        <f t="shared" ref="L9:L14" si="6">IF(SUM(B5:B9)=0,0,K9/(SUM(B5:B9)/5)*100)</f>
        <v>-42.774192546744572</v>
      </c>
      <c r="M9" s="18">
        <f>IF(SUM(G$5:G9)&lt;&gt;0,SUM(G$5:G9)/COUNTIF(G$5:G9,"&lt;&gt;0")," ")</f>
        <v>-4132.6499999999996</v>
      </c>
      <c r="N9" s="18">
        <f>IF(SUM(G$5:G9)=0,0,M9*COUNTIF(G$5:G9,"&lt;&gt;0")/(SUM(B$5:B9))*100)</f>
        <v>-42.774192546744572</v>
      </c>
      <c r="O9" s="19"/>
      <c r="P9" s="22"/>
      <c r="Q9" s="21"/>
    </row>
    <row r="10" spans="1:17" s="20" customFormat="1" ht="13.5" x14ac:dyDescent="0.25">
      <c r="A10" s="49">
        <v>2017</v>
      </c>
      <c r="B10" s="50"/>
      <c r="C10" s="51"/>
      <c r="D10" s="50" t="e">
        <f t="shared" si="0"/>
        <v>#DIV/0!</v>
      </c>
      <c r="E10" s="53"/>
      <c r="F10" s="50" t="e">
        <f t="shared" si="1"/>
        <v>#DIV/0!</v>
      </c>
      <c r="G10" s="53">
        <v>0</v>
      </c>
      <c r="H10" s="18"/>
      <c r="I10" s="18">
        <f t="shared" si="3"/>
        <v>0</v>
      </c>
      <c r="J10" s="18">
        <f t="shared" si="4"/>
        <v>0</v>
      </c>
      <c r="K10" s="18">
        <f t="shared" si="5"/>
        <v>0</v>
      </c>
      <c r="L10" s="18">
        <f t="shared" si="6"/>
        <v>0</v>
      </c>
      <c r="M10" s="18">
        <f>IF(SUM(G$5:G10)&lt;&gt;0,SUM(G$5:G10)/COUNTIF(G$5:G10,"&lt;&gt;0")," ")</f>
        <v>-4132.6499999999996</v>
      </c>
      <c r="N10" s="18">
        <f>IF(SUM(G$5:G10)=0,0,M10*COUNTIF(G$5:G10,"&lt;&gt;0")/(SUM(B$5:B10))*100)</f>
        <v>-42.774192546744572</v>
      </c>
      <c r="O10" s="19"/>
      <c r="P10" s="22"/>
      <c r="Q10" s="21"/>
    </row>
    <row r="11" spans="1:17" s="20" customFormat="1" ht="13.5" x14ac:dyDescent="0.25">
      <c r="A11" s="49">
        <v>2018</v>
      </c>
      <c r="B11" s="50"/>
      <c r="C11" s="51"/>
      <c r="D11" s="50" t="e">
        <f t="shared" si="0"/>
        <v>#DIV/0!</v>
      </c>
      <c r="E11" s="50"/>
      <c r="F11" s="50" t="e">
        <f t="shared" si="1"/>
        <v>#DIV/0!</v>
      </c>
      <c r="G11" s="50">
        <v>0</v>
      </c>
      <c r="H11" s="18"/>
      <c r="I11" s="18">
        <f t="shared" si="3"/>
        <v>0</v>
      </c>
      <c r="J11" s="18">
        <f t="shared" si="4"/>
        <v>0</v>
      </c>
      <c r="K11" s="18">
        <f t="shared" si="5"/>
        <v>0</v>
      </c>
      <c r="L11" s="18">
        <f t="shared" si="6"/>
        <v>0</v>
      </c>
      <c r="M11" s="18">
        <f>IF(SUM(G$5:G11)&lt;&gt;0,SUM(G$5:G11)/COUNTIF(G$5:G11,"&lt;&gt;0")," ")</f>
        <v>-4132.6499999999996</v>
      </c>
      <c r="N11" s="18">
        <f>IF(SUM(G$5:G11)=0,0,M11*COUNTIF(G$5:G11,"&lt;&gt;0")/(SUM(B$5:B11))*100)</f>
        <v>-42.774192546744572</v>
      </c>
      <c r="O11" s="19"/>
      <c r="P11" s="22"/>
      <c r="Q11" s="21"/>
    </row>
    <row r="12" spans="1:17" s="20" customFormat="1" ht="13.5" x14ac:dyDescent="0.25">
      <c r="A12" s="49">
        <v>2019</v>
      </c>
      <c r="B12" s="50"/>
      <c r="C12" s="51"/>
      <c r="D12" s="50" t="e">
        <f t="shared" si="0"/>
        <v>#DIV/0!</v>
      </c>
      <c r="E12" s="50"/>
      <c r="F12" s="50" t="e">
        <f t="shared" si="1"/>
        <v>#DIV/0!</v>
      </c>
      <c r="G12" s="50">
        <v>-3171.52</v>
      </c>
      <c r="H12" s="18"/>
      <c r="I12" s="18">
        <f t="shared" si="3"/>
        <v>-1057.1733333333334</v>
      </c>
      <c r="J12" s="18">
        <f t="shared" si="4"/>
        <v>0</v>
      </c>
      <c r="K12" s="18">
        <f t="shared" si="5"/>
        <v>-634.30399999999997</v>
      </c>
      <c r="L12" s="18">
        <f t="shared" si="6"/>
        <v>0</v>
      </c>
      <c r="M12" s="18">
        <f>IF(SUM(G$5:G12)&lt;&gt;0,SUM(G$5:G12)/COUNTIF(G$5:G12,"&lt;&gt;0")," ")</f>
        <v>-3652.085</v>
      </c>
      <c r="N12" s="18">
        <f>IF(SUM(G$5:G12)=0,0,M12*COUNTIF(G$5:G12,"&lt;&gt;0")/(SUM(B$5:B12))*100)</f>
        <v>-75.600395381693417</v>
      </c>
      <c r="O12" s="19"/>
      <c r="P12" s="22"/>
      <c r="Q12" s="21"/>
    </row>
    <row r="13" spans="1:17" s="20" customFormat="1" ht="13.5" x14ac:dyDescent="0.25">
      <c r="A13" s="49">
        <v>2020</v>
      </c>
      <c r="B13" s="50"/>
      <c r="C13" s="51"/>
      <c r="D13" s="50" t="e">
        <f t="shared" si="0"/>
        <v>#DIV/0!</v>
      </c>
      <c r="E13" s="50"/>
      <c r="F13" s="50" t="e">
        <f t="shared" si="1"/>
        <v>#DIV/0!</v>
      </c>
      <c r="G13" s="50">
        <v>-4777.9799999999996</v>
      </c>
      <c r="H13" s="18"/>
      <c r="I13" s="18">
        <f t="shared" si="3"/>
        <v>-2649.8333333333335</v>
      </c>
      <c r="J13" s="18">
        <f t="shared" si="4"/>
        <v>0</v>
      </c>
      <c r="K13" s="18">
        <f t="shared" si="5"/>
        <v>-1589.9</v>
      </c>
      <c r="L13" s="18">
        <f t="shared" si="6"/>
        <v>0</v>
      </c>
      <c r="M13" s="18">
        <f>IF(SUM(G$5:G13)&lt;&gt;0,SUM(G$5:G13)/COUNTIF(G$5:G13,"&lt;&gt;0")," ")</f>
        <v>-4027.3833333333332</v>
      </c>
      <c r="N13" s="18">
        <f>IF(SUM(G$5:G13)=0,0,M13*COUNTIF(G$5:G13,"&lt;&gt;0")/(SUM(B$5:B13))*100)</f>
        <v>-125.05395097059997</v>
      </c>
      <c r="O13" s="19"/>
      <c r="P13" s="22"/>
      <c r="Q13" s="21"/>
    </row>
    <row r="14" spans="1:17" s="20" customFormat="1" ht="13.5" x14ac:dyDescent="0.25">
      <c r="A14" s="49">
        <v>2021</v>
      </c>
      <c r="B14" s="50"/>
      <c r="C14" s="51"/>
      <c r="D14" s="50"/>
      <c r="E14" s="50"/>
      <c r="F14" s="50"/>
      <c r="G14" s="50">
        <v>-5223.12</v>
      </c>
      <c r="H14" s="18"/>
      <c r="I14" s="18">
        <f t="shared" si="3"/>
        <v>-4390.873333333333</v>
      </c>
      <c r="J14" s="18">
        <f t="shared" si="4"/>
        <v>0</v>
      </c>
      <c r="K14" s="18">
        <f t="shared" si="5"/>
        <v>-2634.5239999999999</v>
      </c>
      <c r="L14" s="18">
        <f t="shared" si="6"/>
        <v>0</v>
      </c>
      <c r="M14" s="18">
        <f>IF(SUM(G$5:G14)&lt;&gt;0,SUM(G$5:G14)/COUNTIF(G$5:G14,"&lt;&gt;0")," ")</f>
        <v>-4326.3175000000001</v>
      </c>
      <c r="N14" s="18">
        <f>IF(SUM(G$5:G14)=0,0,M14*COUNTIF(G$5:G14,"&lt;&gt;0")/(SUM(B$5:B14))*100)</f>
        <v>-179.11484182144687</v>
      </c>
      <c r="O14" s="19"/>
      <c r="P14" s="22"/>
      <c r="Q14" s="21"/>
    </row>
    <row r="15" spans="1:17" s="20" customFormat="1" ht="13.5" x14ac:dyDescent="0.25">
      <c r="A15" s="23"/>
      <c r="B15" s="24"/>
      <c r="C15" s="24"/>
      <c r="D15" s="25"/>
      <c r="E15" s="50"/>
      <c r="F15" s="18"/>
      <c r="G15" s="50"/>
      <c r="H15" s="25"/>
      <c r="I15" s="18"/>
      <c r="J15" s="18"/>
      <c r="K15" s="18"/>
      <c r="L15" s="18"/>
      <c r="M15" s="18"/>
      <c r="N15" s="18"/>
      <c r="O15" s="19"/>
    </row>
    <row r="16" spans="1:17" s="32" customFormat="1" ht="30" customHeight="1" x14ac:dyDescent="0.3">
      <c r="A16" s="26" t="s">
        <v>17</v>
      </c>
      <c r="B16" s="27">
        <f>SUM(B5:B15)</f>
        <v>9661.5499999999993</v>
      </c>
      <c r="C16" s="27">
        <f>SUM(C5:C15)</f>
        <v>0</v>
      </c>
      <c r="D16" s="28">
        <f t="shared" si="0"/>
        <v>0</v>
      </c>
      <c r="E16" s="29">
        <f>SUM(E5:E15)</f>
        <v>0</v>
      </c>
      <c r="F16" s="28">
        <f>E16/B16*100</f>
        <v>0</v>
      </c>
      <c r="G16" s="29">
        <f>SUM(G5:G15)</f>
        <v>-17305.27</v>
      </c>
      <c r="H16" s="28">
        <f t="shared" si="2"/>
        <v>-179.11484182144687</v>
      </c>
      <c r="I16" s="30"/>
      <c r="J16" s="30"/>
      <c r="K16" s="30"/>
      <c r="L16" s="30"/>
      <c r="M16" s="30"/>
      <c r="N16" s="30"/>
      <c r="O16" s="31"/>
    </row>
    <row r="18" spans="2:2" x14ac:dyDescent="0.35">
      <c r="B18" s="38"/>
    </row>
    <row r="19" spans="2:2" x14ac:dyDescent="0.35">
      <c r="B19" s="38"/>
    </row>
  </sheetData>
  <conditionalFormatting sqref="A5:XFD16">
    <cfRule type="expression" dxfId="37" priority="2">
      <formula>MOD(ROW(),2)=0</formula>
    </cfRule>
  </conditionalFormatting>
  <printOptions horizontalCentered="1"/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04.05.01.171</Int_x002f_Exhibit_x002f_Tab>
    <Witnesses xmlns="0f3dc55c-bcca-45e2-bb95-d6030d9207f1">
      <Value>Robert Rutitis</Value>
    </Witnesses>
    <_dlc_DocId xmlns="bc9be6ef-036f-4d38-ab45-2a4da0c93cb0">C6U45NHNYSXQ-1954422155-3970</_dlc_DocId>
    <TeamsPlannerStatus xmlns="0f3dc55c-bcca-45e2-bb95-d6030d9207f1">Draft Response</TeamsPlannerStatus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  <Area xmlns="0f3dc55c-bcca-45e2-bb95-d6030d9207f1">
      <Value>Finance</Value>
    </Area>
    <Exhibit xmlns="0f3dc55c-bcca-45e2-bb95-d6030d9207f1">4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https://enbridge.sharepoint.com/teams/EB-2022-02002024Rebasing/_layouts/15/DocIdRedir.aspx?ID=C6U45NHNYSXQ-1954422155-3970</Url>
      <Description>C6U45NHNYSXQ-1954422155-3970</Description>
    </_dlc_DocIdUrl>
    <_ip_UnifiedCompliancePolicyProperties xmlns="http://schemas.microsoft.com/sharepoint/v3" xsi:nil="true"/>
    <Intervenor xmlns="0f3dc55c-bcca-45e2-bb95-d6030d9207f1" xsi:nil="true"/>
    <Category xmlns="0f3dc55c-bcca-45e2-bb95-d6030d9207f1" xsi:nil="true"/>
    <SharedWithUsers xmlns="bc9be6ef-036f-4d38-ab45-2a4da0c93cb0">
      <UserInfo>
        <DisplayName>Amanda Nori</DisplayName>
        <AccountId>939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15C1A6E-2A38-4D49-A36C-6F2515193B1F}"/>
</file>

<file path=customXml/itemProps2.xml><?xml version="1.0" encoding="utf-8"?>
<ds:datastoreItem xmlns:ds="http://schemas.openxmlformats.org/officeDocument/2006/customXml" ds:itemID="{5E05CFC9-4C46-4980-8EF0-DF6E8F8BF4F0}"/>
</file>

<file path=customXml/itemProps3.xml><?xml version="1.0" encoding="utf-8"?>
<ds:datastoreItem xmlns:ds="http://schemas.openxmlformats.org/officeDocument/2006/customXml" ds:itemID="{E2899392-A9A3-4B8B-9A3F-4BD19E0A2E13}"/>
</file>

<file path=customXml/itemProps4.xml><?xml version="1.0" encoding="utf-8"?>
<ds:datastoreItem xmlns:ds="http://schemas.openxmlformats.org/officeDocument/2006/customXml" ds:itemID="{4AC61F43-CEE2-49EC-95F1-94E42CBE03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33</vt:i4>
      </vt:variant>
    </vt:vector>
  </HeadingPairs>
  <TitlesOfParts>
    <vt:vector size="56" baseType="lpstr">
      <vt:lpstr>443.02</vt:lpstr>
      <vt:lpstr>452.00</vt:lpstr>
      <vt:lpstr>453.00</vt:lpstr>
      <vt:lpstr>455.00</vt:lpstr>
      <vt:lpstr>456.00</vt:lpstr>
      <vt:lpstr>457.00</vt:lpstr>
      <vt:lpstr>462.00</vt:lpstr>
      <vt:lpstr>463.00</vt:lpstr>
      <vt:lpstr>464.00</vt:lpstr>
      <vt:lpstr>465.00</vt:lpstr>
      <vt:lpstr>466.00</vt:lpstr>
      <vt:lpstr>467.00</vt:lpstr>
      <vt:lpstr>472.00</vt:lpstr>
      <vt:lpstr>473.00</vt:lpstr>
      <vt:lpstr>473.01</vt:lpstr>
      <vt:lpstr>473.02</vt:lpstr>
      <vt:lpstr>475.21</vt:lpstr>
      <vt:lpstr>475.30</vt:lpstr>
      <vt:lpstr>477.00</vt:lpstr>
      <vt:lpstr>478.00</vt:lpstr>
      <vt:lpstr>482.00</vt:lpstr>
      <vt:lpstr>484.00</vt:lpstr>
      <vt:lpstr>485.00</vt:lpstr>
      <vt:lpstr>'443.02'!Print_Area</vt:lpstr>
      <vt:lpstr>'452.00'!Print_Area</vt:lpstr>
      <vt:lpstr>'453.00'!Print_Area</vt:lpstr>
      <vt:lpstr>'455.00'!Print_Area</vt:lpstr>
      <vt:lpstr>'456.00'!Print_Area</vt:lpstr>
      <vt:lpstr>'457.00'!Print_Area</vt:lpstr>
      <vt:lpstr>'462.00'!Print_Area</vt:lpstr>
      <vt:lpstr>'463.00'!Print_Area</vt:lpstr>
      <vt:lpstr>'464.00'!Print_Area</vt:lpstr>
      <vt:lpstr>'465.00'!Print_Area</vt:lpstr>
      <vt:lpstr>'466.00'!Print_Area</vt:lpstr>
      <vt:lpstr>'467.00'!Print_Area</vt:lpstr>
      <vt:lpstr>'472.00'!Print_Area</vt:lpstr>
      <vt:lpstr>'473.00'!Print_Area</vt:lpstr>
      <vt:lpstr>'473.01'!Print_Area</vt:lpstr>
      <vt:lpstr>'473.02'!Print_Area</vt:lpstr>
      <vt:lpstr>'475.21'!Print_Area</vt:lpstr>
      <vt:lpstr>'475.30'!Print_Area</vt:lpstr>
      <vt:lpstr>'477.00'!Print_Area</vt:lpstr>
      <vt:lpstr>'478.00'!Print_Area</vt:lpstr>
      <vt:lpstr>'482.00'!Print_Area</vt:lpstr>
      <vt:lpstr>'484.00'!Print_Area</vt:lpstr>
      <vt:lpstr>'485.00'!Print_Area</vt:lpstr>
      <vt:lpstr>'453.00'!Print_Titles</vt:lpstr>
      <vt:lpstr>'456.00'!Print_Titles</vt:lpstr>
      <vt:lpstr>'472.00'!Print_Titles</vt:lpstr>
      <vt:lpstr>'473.00'!Print_Titles</vt:lpstr>
      <vt:lpstr>'473.01'!Print_Titles</vt:lpstr>
      <vt:lpstr>'473.02'!Print_Titles</vt:lpstr>
      <vt:lpstr>'477.00'!Print_Titles</vt:lpstr>
      <vt:lpstr>'478.00'!Print_Titles</vt:lpstr>
      <vt:lpstr>'484.00'!Print_Titles</vt:lpstr>
      <vt:lpstr>'485.00'!Print_Titles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2023-03-08T22:31:15Z</dcterms:created>
  <dcterms:modified xsi:type="dcterms:W3CDTF">2023-03-08T22:31:21Z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2023-03-08T22:31:18Z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b5231937-9783-4d13-88eb-467d55edd12d</vt:lpwstr>
  </property>
  <property fmtid="{D5CDD505-2E9C-101B-9397-08002B2CF9AE}" pid="8" name="MSIP_Label_b1a6f161-e42b-4c47-8f69-f6a81e023e2d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0x010100F3E2251B1EE19E40ADD262C998ACD182</vt:lpwstr>
  </property>
  <property fmtid="{D5CDD505-2E9C-101B-9397-08002B2CF9AE}" pid="11" name="{A44787D4-0540-4523-9961-78E4036D8C6D}">
    <vt:lpwstr>{865FCAFD-EABA-473C-9761-8B33D930B75C}</vt:lpwstr>
  </property>
  <property fmtid="{D5CDD505-2E9C-101B-9397-08002B2CF9AE}" pid="12" name="_dlc_DocIdItemGuid">
    <vt:lpwstr>7f25f9b3-9b27-471c-8e46-56560e5e6ea4</vt:lpwstr>
  </property>
</Properties>
</file>