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24226"/>
  <xr:revisionPtr revIDLastSave="2" documentId="8_{23584CA6-EB69-46FF-8F75-718E3804686A}" xr6:coauthVersionLast="47" xr6:coauthVersionMax="47" xr10:uidLastSave="{E89423B5-41B7-48D7-AB3A-2F8ABBD74E87}"/>
  <bookViews>
    <workbookView xWindow="-28920" yWindow="-120" windowWidth="29040" windowHeight="15840" tabRatio="842" activeTab="4" xr2:uid="{00000000-000D-0000-FFFF-FFFF00000000}"/>
  </bookViews>
  <sheets>
    <sheet name="Function - Factors" sheetId="2" r:id="rId1"/>
    <sheet name="Function - Depreciation" sheetId="5" r:id="rId2"/>
    <sheet name="Function - Rate Base" sheetId="1" r:id="rId3"/>
    <sheet name="Function - Net Invest" sheetId="4" r:id="rId4"/>
    <sheet name="Function - Working Capital" sheetId="6" r:id="rId5"/>
    <sheet name="Function - O&amp;M1" sheetId="7" r:id="rId6"/>
    <sheet name="Function - O&amp;M2" sheetId="8" r:id="rId7"/>
    <sheet name="Function - O&amp;M3" sheetId="9" r:id="rId8"/>
    <sheet name="Classification - Factor" sheetId="10" r:id="rId9"/>
    <sheet name="Classification - Rate Base" sheetId="11" r:id="rId10"/>
    <sheet name="Classification - Net Investment" sheetId="12" r:id="rId11"/>
    <sheet name="Classification - O&amp;M" sheetId="13" r:id="rId12"/>
    <sheet name="Allocation - Factors" sheetId="15" r:id="rId13"/>
    <sheet name="Allocation - Allo%" sheetId="16" r:id="rId14"/>
    <sheet name="Allocation - Rate Base" sheetId="17" r:id="rId15"/>
    <sheet name="Allocation - Return &amp; Taxes" sheetId="18" r:id="rId16"/>
    <sheet name="Allocation - COS wout GTA" sheetId="19" r:id="rId17"/>
    <sheet name="Allocation - GTA COS" sheetId="24" r:id="rId18"/>
    <sheet name="Allocation - COS wGTA" sheetId="20" r:id="rId19"/>
    <sheet name="Allocation - Revenue to Cost" sheetId="21" r:id="rId20"/>
  </sheets>
  <definedNames>
    <definedName name="_xlnm.Print_Area" localSheetId="5">'Function - O&amp;M1'!$B$1:$L$50</definedName>
    <definedName name="_xlnm.Print_Area" localSheetId="6">'Function - O&amp;M2'!$A$1:$Q$47</definedName>
    <definedName name="_xlnm.Print_Area" localSheetId="4">'Function - Working Capital'!$C$1:$Q$36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5" l="1"/>
  <c r="G40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0" i="5"/>
  <c r="G19" i="5"/>
  <c r="G18" i="5"/>
  <c r="G17" i="5"/>
  <c r="G16" i="5"/>
  <c r="G15" i="5"/>
  <c r="G11" i="5"/>
  <c r="E13" i="4"/>
  <c r="P52" i="21" l="1"/>
  <c r="I52" i="21"/>
  <c r="F30" i="6"/>
  <c r="F22" i="20"/>
  <c r="C30" i="24"/>
  <c r="W83" i="20"/>
  <c r="B2" i="21"/>
  <c r="B39" i="21" s="1"/>
  <c r="J15" i="21"/>
  <c r="R15" i="21"/>
  <c r="F15" i="21"/>
  <c r="K15" i="21"/>
  <c r="N15" i="21"/>
  <c r="Q15" i="21"/>
  <c r="G15" i="21"/>
  <c r="H15" i="21"/>
  <c r="I15" i="21"/>
  <c r="L15" i="21"/>
  <c r="O15" i="21"/>
  <c r="P15" i="21"/>
  <c r="T15" i="21"/>
  <c r="U15" i="21"/>
  <c r="U52" i="21" s="1"/>
  <c r="S24" i="21"/>
  <c r="T24" i="21"/>
  <c r="U24" i="21"/>
  <c r="H52" i="21"/>
  <c r="K52" i="21"/>
  <c r="T52" i="21"/>
  <c r="J52" i="21"/>
  <c r="N52" i="21"/>
  <c r="R52" i="21"/>
  <c r="Q52" i="21"/>
  <c r="F61" i="21"/>
  <c r="G61" i="21"/>
  <c r="H61" i="21"/>
  <c r="I61" i="21"/>
  <c r="J61" i="21"/>
  <c r="K61" i="21"/>
  <c r="L61" i="21"/>
  <c r="M61" i="21"/>
  <c r="N61" i="21"/>
  <c r="O61" i="21"/>
  <c r="P61" i="21"/>
  <c r="Q61" i="21"/>
  <c r="R61" i="21"/>
  <c r="T61" i="21"/>
  <c r="U61" i="21"/>
  <c r="B2" i="20"/>
  <c r="A17" i="20"/>
  <c r="F18" i="20"/>
  <c r="A19" i="20"/>
  <c r="A20" i="20"/>
  <c r="A21" i="20"/>
  <c r="F23" i="20"/>
  <c r="Q25" i="20"/>
  <c r="H25" i="20" s="1"/>
  <c r="R25" i="20"/>
  <c r="S25" i="20"/>
  <c r="A29" i="20"/>
  <c r="A30" i="20"/>
  <c r="A31" i="20"/>
  <c r="A32" i="20"/>
  <c r="A33" i="20"/>
  <c r="A36" i="20"/>
  <c r="H36" i="20"/>
  <c r="P36" i="20"/>
  <c r="A37" i="20"/>
  <c r="F38" i="20"/>
  <c r="A39" i="20"/>
  <c r="A40" i="20"/>
  <c r="A41" i="20"/>
  <c r="F42" i="20"/>
  <c r="G49" i="20"/>
  <c r="G50" i="20"/>
  <c r="A51" i="20"/>
  <c r="F52" i="20"/>
  <c r="A53" i="20"/>
  <c r="A54" i="20"/>
  <c r="A55" i="20"/>
  <c r="O64" i="20"/>
  <c r="A69" i="20"/>
  <c r="A70" i="20"/>
  <c r="F71" i="20"/>
  <c r="A72" i="20"/>
  <c r="A73" i="20"/>
  <c r="H76" i="20"/>
  <c r="H77" i="20"/>
  <c r="A78" i="20"/>
  <c r="F79" i="20"/>
  <c r="F81" i="20" s="1"/>
  <c r="G79" i="20"/>
  <c r="A80" i="20"/>
  <c r="A82" i="20"/>
  <c r="B2" i="19"/>
  <c r="G24" i="19"/>
  <c r="G25" i="19"/>
  <c r="G27" i="19"/>
  <c r="G36" i="19"/>
  <c r="F49" i="19"/>
  <c r="F50" i="19"/>
  <c r="N64" i="19"/>
  <c r="G76" i="19"/>
  <c r="G77" i="19"/>
  <c r="F79" i="19"/>
  <c r="U86" i="19"/>
  <c r="V88" i="19"/>
  <c r="B2" i="18"/>
  <c r="B2" i="17"/>
  <c r="H60" i="17"/>
  <c r="B2" i="16"/>
  <c r="E38" i="16"/>
  <c r="H39" i="16"/>
  <c r="E49" i="16"/>
  <c r="E50" i="16"/>
  <c r="E51" i="16"/>
  <c r="E52" i="16"/>
  <c r="E20" i="15"/>
  <c r="R21" i="15"/>
  <c r="Q24" i="15"/>
  <c r="E28" i="15"/>
  <c r="F31" i="15"/>
  <c r="G31" i="15"/>
  <c r="J33" i="15"/>
  <c r="N33" i="15"/>
  <c r="P33" i="15"/>
  <c r="H33" i="15"/>
  <c r="K33" i="15"/>
  <c r="L33" i="15"/>
  <c r="M33" i="15"/>
  <c r="Q33" i="15"/>
  <c r="R33" i="15"/>
  <c r="K34" i="15"/>
  <c r="L34" i="15"/>
  <c r="M34" i="15"/>
  <c r="P34" i="15"/>
  <c r="R34" i="15"/>
  <c r="E36" i="15"/>
  <c r="E38" i="15"/>
  <c r="P39" i="16" s="1"/>
  <c r="S40" i="15"/>
  <c r="F42" i="15"/>
  <c r="G42" i="15"/>
  <c r="K42" i="15"/>
  <c r="I24" i="15"/>
  <c r="N25" i="15"/>
  <c r="Q1" i="13"/>
  <c r="AC1" i="13" s="1"/>
  <c r="Q2" i="13"/>
  <c r="AC2" i="13" s="1"/>
  <c r="E3" i="13"/>
  <c r="Q3" i="13" s="1"/>
  <c r="AC3" i="13" s="1"/>
  <c r="Q4" i="13"/>
  <c r="AC4" i="13" s="1"/>
  <c r="Q5" i="13"/>
  <c r="AC5" i="13"/>
  <c r="H21" i="13"/>
  <c r="M21" i="13"/>
  <c r="M76" i="13" s="1"/>
  <c r="M81" i="13" s="1"/>
  <c r="AE17" i="13"/>
  <c r="F21" i="13"/>
  <c r="G21" i="13"/>
  <c r="J21" i="13"/>
  <c r="K21" i="13"/>
  <c r="L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F21" i="13"/>
  <c r="AG21" i="13"/>
  <c r="AH21" i="13"/>
  <c r="AI21" i="13"/>
  <c r="AE28" i="13"/>
  <c r="F38" i="13"/>
  <c r="G38" i="13"/>
  <c r="H38" i="13"/>
  <c r="I38" i="13"/>
  <c r="J38" i="13"/>
  <c r="K38" i="13"/>
  <c r="L38" i="13"/>
  <c r="M38" i="13"/>
  <c r="N38" i="13"/>
  <c r="O38" i="13"/>
  <c r="P38" i="13"/>
  <c r="V38" i="13"/>
  <c r="W38" i="13"/>
  <c r="AC38" i="13"/>
  <c r="AD38" i="13"/>
  <c r="AE38" i="13"/>
  <c r="AH38" i="13"/>
  <c r="AI38" i="13"/>
  <c r="F50" i="13"/>
  <c r="G50" i="13"/>
  <c r="H50" i="13"/>
  <c r="I50" i="13"/>
  <c r="J50" i="13"/>
  <c r="K50" i="13"/>
  <c r="K76" i="13" s="1"/>
  <c r="K81" i="13" s="1"/>
  <c r="E22" i="20" s="1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AA50" i="13"/>
  <c r="AB50" i="13"/>
  <c r="AC50" i="13"/>
  <c r="AD50" i="13"/>
  <c r="AE50" i="13"/>
  <c r="AG50" i="13"/>
  <c r="AH50" i="13"/>
  <c r="AI50" i="13"/>
  <c r="AI76" i="13" s="1"/>
  <c r="G63" i="13"/>
  <c r="H63" i="13"/>
  <c r="I63" i="13"/>
  <c r="J63" i="13"/>
  <c r="K63" i="13"/>
  <c r="L63" i="13"/>
  <c r="M63" i="13"/>
  <c r="N63" i="13"/>
  <c r="O63" i="13"/>
  <c r="P63" i="13"/>
  <c r="S63" i="13"/>
  <c r="T63" i="13"/>
  <c r="U63" i="13"/>
  <c r="V63" i="13"/>
  <c r="X63" i="13"/>
  <c r="Y63" i="13"/>
  <c r="Z63" i="13"/>
  <c r="AA63" i="13"/>
  <c r="AB63" i="13"/>
  <c r="AE63" i="13"/>
  <c r="AF63" i="13"/>
  <c r="AG63" i="13"/>
  <c r="AH63" i="13"/>
  <c r="AH76" i="13" s="1"/>
  <c r="AH81" i="13" s="1"/>
  <c r="AI63" i="13"/>
  <c r="F74" i="13"/>
  <c r="G74" i="13"/>
  <c r="H74" i="13"/>
  <c r="I74" i="13"/>
  <c r="K74" i="13"/>
  <c r="L74" i="13"/>
  <c r="L76" i="13" s="1"/>
  <c r="L81" i="13" s="1"/>
  <c r="E23" i="20" s="1"/>
  <c r="M74" i="13"/>
  <c r="N74" i="13"/>
  <c r="O74" i="13"/>
  <c r="P74" i="13"/>
  <c r="Q74" i="13"/>
  <c r="R74" i="13"/>
  <c r="S74" i="13"/>
  <c r="T74" i="13"/>
  <c r="U74" i="13"/>
  <c r="W74" i="13"/>
  <c r="X74" i="13"/>
  <c r="Y74" i="13"/>
  <c r="Z74" i="13"/>
  <c r="AA74" i="13"/>
  <c r="AB74" i="13"/>
  <c r="AD74" i="13"/>
  <c r="AE74" i="13"/>
  <c r="AH74" i="13"/>
  <c r="AI74" i="13"/>
  <c r="G76" i="13"/>
  <c r="G81" i="13" s="1"/>
  <c r="V1" i="12"/>
  <c r="V2" i="12"/>
  <c r="F3" i="12"/>
  <c r="V3" i="12" s="1"/>
  <c r="V4" i="12"/>
  <c r="V5" i="12"/>
  <c r="K15" i="12"/>
  <c r="G32" i="12"/>
  <c r="I32" i="12"/>
  <c r="K32" i="12"/>
  <c r="AA32" i="12"/>
  <c r="AB32" i="12"/>
  <c r="AC32" i="12"/>
  <c r="AE32" i="12"/>
  <c r="AF32" i="12"/>
  <c r="F3" i="11"/>
  <c r="T3" i="11"/>
  <c r="G34" i="11"/>
  <c r="I34" i="11"/>
  <c r="K34" i="11"/>
  <c r="Y34" i="11"/>
  <c r="Z34" i="11"/>
  <c r="AA34" i="11"/>
  <c r="AC34" i="11"/>
  <c r="AD34" i="11"/>
  <c r="AF34" i="11"/>
  <c r="T3" i="10"/>
  <c r="E23" i="19" l="1"/>
  <c r="E24" i="20"/>
  <c r="E28" i="20" s="1"/>
  <c r="E22" i="19"/>
  <c r="E28" i="19" s="1"/>
  <c r="E27" i="20"/>
  <c r="H27" i="20" s="1"/>
  <c r="H76" i="13"/>
  <c r="H81" i="13" s="1"/>
  <c r="I28" i="16"/>
  <c r="Q28" i="16"/>
  <c r="J28" i="16"/>
  <c r="R28" i="16"/>
  <c r="K28" i="16"/>
  <c r="S28" i="16"/>
  <c r="L28" i="16"/>
  <c r="M28" i="16"/>
  <c r="G28" i="16"/>
  <c r="O28" i="16"/>
  <c r="H28" i="16"/>
  <c r="P28" i="16"/>
  <c r="F28" i="16"/>
  <c r="N28" i="16"/>
  <c r="J20" i="16"/>
  <c r="R20" i="16"/>
  <c r="K20" i="16"/>
  <c r="S20" i="16"/>
  <c r="L20" i="16"/>
  <c r="M20" i="16"/>
  <c r="F20" i="16"/>
  <c r="N20" i="16"/>
  <c r="H20" i="16"/>
  <c r="P20" i="16"/>
  <c r="I20" i="16"/>
  <c r="Q20" i="16"/>
  <c r="G20" i="16"/>
  <c r="O20" i="16"/>
  <c r="H36" i="16"/>
  <c r="P36" i="16"/>
  <c r="I36" i="16"/>
  <c r="Q36" i="16"/>
  <c r="J36" i="16"/>
  <c r="R36" i="16"/>
  <c r="K36" i="16"/>
  <c r="S36" i="16"/>
  <c r="L36" i="16"/>
  <c r="F36" i="16"/>
  <c r="N36" i="16"/>
  <c r="G36" i="16"/>
  <c r="O36" i="16"/>
  <c r="M36" i="16"/>
  <c r="K24" i="15"/>
  <c r="R25" i="15"/>
  <c r="J25" i="15"/>
  <c r="G45" i="16"/>
  <c r="I24" i="19" s="1"/>
  <c r="N34" i="15"/>
  <c r="Q21" i="15"/>
  <c r="I21" i="15"/>
  <c r="E30" i="15"/>
  <c r="E29" i="15"/>
  <c r="E18" i="15"/>
  <c r="Q25" i="15"/>
  <c r="I25" i="15"/>
  <c r="I46" i="16"/>
  <c r="P21" i="15"/>
  <c r="H21" i="15"/>
  <c r="E14" i="15"/>
  <c r="E11" i="15"/>
  <c r="O21" i="15"/>
  <c r="M52" i="21"/>
  <c r="M15" i="21"/>
  <c r="N21" i="15"/>
  <c r="E45" i="15"/>
  <c r="S46" i="16" s="1"/>
  <c r="E35" i="15"/>
  <c r="J34" i="15"/>
  <c r="M21" i="15"/>
  <c r="E19" i="15"/>
  <c r="N46" i="16"/>
  <c r="P25" i="15"/>
  <c r="G25" i="15"/>
  <c r="G46" i="16"/>
  <c r="E32" i="15"/>
  <c r="M25" i="15"/>
  <c r="O44" i="16"/>
  <c r="G44" i="16"/>
  <c r="F37" i="15"/>
  <c r="I34" i="15"/>
  <c r="L21" i="15"/>
  <c r="E31" i="15"/>
  <c r="E17" i="15"/>
  <c r="F46" i="16"/>
  <c r="O25" i="15"/>
  <c r="O46" i="16"/>
  <c r="K39" i="16"/>
  <c r="S39" i="16"/>
  <c r="L39" i="16"/>
  <c r="M39" i="16"/>
  <c r="F39" i="16"/>
  <c r="N39" i="16"/>
  <c r="G39" i="16"/>
  <c r="O39" i="16"/>
  <c r="I39" i="16"/>
  <c r="Q39" i="16"/>
  <c r="J39" i="16"/>
  <c r="R39" i="16"/>
  <c r="L25" i="15"/>
  <c r="L46" i="16"/>
  <c r="E44" i="15"/>
  <c r="S45" i="16" s="1"/>
  <c r="E43" i="15"/>
  <c r="S44" i="16" s="1"/>
  <c r="Q34" i="15"/>
  <c r="I33" i="15"/>
  <c r="K21" i="15"/>
  <c r="H25" i="15"/>
  <c r="H46" i="16"/>
  <c r="J21" i="15"/>
  <c r="E13" i="15"/>
  <c r="L52" i="21"/>
  <c r="S15" i="21"/>
  <c r="S20" i="21" s="1"/>
  <c r="P42" i="15"/>
  <c r="R24" i="15"/>
  <c r="J24" i="15"/>
  <c r="E13" i="21"/>
  <c r="E12" i="15"/>
  <c r="O52" i="21"/>
  <c r="E50" i="21"/>
  <c r="E11" i="21"/>
  <c r="E10" i="15"/>
  <c r="U17" i="21"/>
  <c r="C35" i="24"/>
  <c r="E21" i="24"/>
  <c r="S28" i="21"/>
  <c r="G52" i="21"/>
  <c r="A25" i="20"/>
  <c r="I27" i="19"/>
  <c r="U27" i="19"/>
  <c r="U24" i="19"/>
  <c r="O34" i="15"/>
  <c r="E34" i="15" s="1"/>
  <c r="P24" i="15"/>
  <c r="H24" i="15"/>
  <c r="F21" i="15"/>
  <c r="O24" i="15"/>
  <c r="G24" i="15"/>
  <c r="K25" i="15"/>
  <c r="E37" i="15"/>
  <c r="N24" i="15"/>
  <c r="F24" i="15"/>
  <c r="G21" i="15"/>
  <c r="O33" i="15"/>
  <c r="G33" i="15"/>
  <c r="E33" i="15" s="1"/>
  <c r="M24" i="15"/>
  <c r="J42" i="15"/>
  <c r="F25" i="15"/>
  <c r="L24" i="15"/>
  <c r="V27" i="20" l="1"/>
  <c r="J27" i="20"/>
  <c r="E14" i="20"/>
  <c r="E14" i="19"/>
  <c r="K33" i="16"/>
  <c r="S33" i="16"/>
  <c r="L33" i="16"/>
  <c r="M33" i="16"/>
  <c r="F33" i="16"/>
  <c r="N33" i="16"/>
  <c r="G33" i="16"/>
  <c r="O33" i="16"/>
  <c r="I33" i="16"/>
  <c r="Q33" i="16"/>
  <c r="J33" i="16"/>
  <c r="R33" i="16"/>
  <c r="H33" i="16"/>
  <c r="P33" i="16"/>
  <c r="F12" i="16"/>
  <c r="N12" i="16"/>
  <c r="G12" i="16"/>
  <c r="O12" i="16"/>
  <c r="H12" i="16"/>
  <c r="P12" i="16"/>
  <c r="I12" i="16"/>
  <c r="Q12" i="16"/>
  <c r="J12" i="16"/>
  <c r="R12" i="16"/>
  <c r="L12" i="16"/>
  <c r="M12" i="16"/>
  <c r="K12" i="16"/>
  <c r="S12" i="16"/>
  <c r="I32" i="16"/>
  <c r="Q32" i="16"/>
  <c r="J32" i="16"/>
  <c r="R32" i="16"/>
  <c r="K32" i="16"/>
  <c r="S32" i="16"/>
  <c r="L32" i="16"/>
  <c r="M32" i="16"/>
  <c r="G32" i="16"/>
  <c r="O32" i="16"/>
  <c r="H32" i="16"/>
  <c r="P32" i="16"/>
  <c r="F32" i="16"/>
  <c r="N32" i="16"/>
  <c r="K45" i="16"/>
  <c r="F45" i="16"/>
  <c r="M44" i="16"/>
  <c r="E20" i="16"/>
  <c r="E28" i="16"/>
  <c r="J14" i="16"/>
  <c r="R14" i="16"/>
  <c r="K14" i="16"/>
  <c r="S14" i="16"/>
  <c r="L14" i="16"/>
  <c r="M14" i="16"/>
  <c r="F14" i="16"/>
  <c r="N14" i="16"/>
  <c r="H14" i="16"/>
  <c r="P14" i="16"/>
  <c r="I14" i="16"/>
  <c r="Q14" i="16"/>
  <c r="G14" i="16"/>
  <c r="O14" i="16"/>
  <c r="E15" i="21"/>
  <c r="Q45" i="16"/>
  <c r="E13" i="24"/>
  <c r="I44" i="16"/>
  <c r="H19" i="16"/>
  <c r="P19" i="16"/>
  <c r="I19" i="16"/>
  <c r="Q19" i="16"/>
  <c r="J19" i="16"/>
  <c r="R19" i="16"/>
  <c r="K19" i="16"/>
  <c r="S19" i="16"/>
  <c r="L19" i="16"/>
  <c r="F19" i="16"/>
  <c r="N19" i="16"/>
  <c r="G19" i="16"/>
  <c r="O19" i="16"/>
  <c r="M19" i="16"/>
  <c r="M11" i="16"/>
  <c r="F11" i="16"/>
  <c r="N11" i="16"/>
  <c r="G11" i="16"/>
  <c r="O11" i="16"/>
  <c r="H11" i="16"/>
  <c r="P11" i="16"/>
  <c r="I11" i="16"/>
  <c r="Q11" i="16"/>
  <c r="K11" i="16"/>
  <c r="S11" i="16"/>
  <c r="L11" i="16"/>
  <c r="R11" i="16"/>
  <c r="J11" i="16"/>
  <c r="N45" i="16"/>
  <c r="F18" i="16"/>
  <c r="N18" i="16"/>
  <c r="G18" i="16"/>
  <c r="O18" i="16"/>
  <c r="H18" i="16"/>
  <c r="P18" i="16"/>
  <c r="I18" i="16"/>
  <c r="Q18" i="16"/>
  <c r="J18" i="16"/>
  <c r="R18" i="16"/>
  <c r="L18" i="16"/>
  <c r="M18" i="16"/>
  <c r="K18" i="16"/>
  <c r="S18" i="16"/>
  <c r="L44" i="16"/>
  <c r="K46" i="16"/>
  <c r="M13" i="24"/>
  <c r="K29" i="16"/>
  <c r="S29" i="16"/>
  <c r="L29" i="16"/>
  <c r="M29" i="16"/>
  <c r="F29" i="16"/>
  <c r="N29" i="16"/>
  <c r="G29" i="16"/>
  <c r="O29" i="16"/>
  <c r="I29" i="16"/>
  <c r="Q29" i="16"/>
  <c r="J29" i="16"/>
  <c r="R29" i="16"/>
  <c r="H29" i="16"/>
  <c r="P29" i="16"/>
  <c r="H45" i="16"/>
  <c r="E39" i="16"/>
  <c r="L17" i="16"/>
  <c r="J27" i="24" s="1"/>
  <c r="M17" i="16"/>
  <c r="K27" i="24" s="1"/>
  <c r="F17" i="16"/>
  <c r="N17" i="16"/>
  <c r="L27" i="24" s="1"/>
  <c r="G17" i="16"/>
  <c r="E27" i="24" s="1"/>
  <c r="O17" i="16"/>
  <c r="M27" i="24" s="1"/>
  <c r="H17" i="16"/>
  <c r="F27" i="24" s="1"/>
  <c r="P17" i="16"/>
  <c r="N27" i="24" s="1"/>
  <c r="J17" i="16"/>
  <c r="H27" i="24" s="1"/>
  <c r="R17" i="16"/>
  <c r="P27" i="24" s="1"/>
  <c r="K17" i="16"/>
  <c r="I27" i="24" s="1"/>
  <c r="S17" i="16"/>
  <c r="I17" i="16"/>
  <c r="G27" i="24" s="1"/>
  <c r="Q17" i="16"/>
  <c r="O27" i="24" s="1"/>
  <c r="J45" i="16"/>
  <c r="M30" i="16"/>
  <c r="F30" i="16"/>
  <c r="N30" i="16"/>
  <c r="G30" i="16"/>
  <c r="O30" i="16"/>
  <c r="H30" i="16"/>
  <c r="P30" i="16"/>
  <c r="I30" i="16"/>
  <c r="Q30" i="16"/>
  <c r="K30" i="16"/>
  <c r="S30" i="16"/>
  <c r="L30" i="16"/>
  <c r="J30" i="16"/>
  <c r="R30" i="16"/>
  <c r="O45" i="16"/>
  <c r="F44" i="16"/>
  <c r="G31" i="16"/>
  <c r="O31" i="16"/>
  <c r="H31" i="16"/>
  <c r="P31" i="16"/>
  <c r="I31" i="16"/>
  <c r="Q31" i="16"/>
  <c r="J31" i="16"/>
  <c r="R31" i="16"/>
  <c r="K31" i="16"/>
  <c r="S31" i="16"/>
  <c r="M31" i="16"/>
  <c r="F31" i="16"/>
  <c r="N31" i="16"/>
  <c r="L31" i="16"/>
  <c r="R45" i="16"/>
  <c r="Q44" i="16"/>
  <c r="Q46" i="16"/>
  <c r="J46" i="16"/>
  <c r="E24" i="15"/>
  <c r="Q27" i="19"/>
  <c r="K10" i="16"/>
  <c r="S10" i="16"/>
  <c r="L10" i="16"/>
  <c r="M10" i="16"/>
  <c r="F10" i="16"/>
  <c r="N10" i="16"/>
  <c r="G10" i="16"/>
  <c r="O10" i="16"/>
  <c r="I10" i="16"/>
  <c r="Q10" i="16"/>
  <c r="J10" i="16"/>
  <c r="R10" i="16"/>
  <c r="H10" i="16"/>
  <c r="P10" i="16"/>
  <c r="M46" i="16"/>
  <c r="P46" i="16"/>
  <c r="E46" i="16" s="1"/>
  <c r="F35" i="16"/>
  <c r="N35" i="16"/>
  <c r="G35" i="16"/>
  <c r="O35" i="16"/>
  <c r="H35" i="16"/>
  <c r="P35" i="16"/>
  <c r="I35" i="16"/>
  <c r="Q35" i="16"/>
  <c r="J35" i="16"/>
  <c r="R35" i="16"/>
  <c r="L35" i="16"/>
  <c r="M35" i="16"/>
  <c r="S35" i="16"/>
  <c r="K35" i="16"/>
  <c r="L45" i="16"/>
  <c r="N44" i="16"/>
  <c r="H44" i="16"/>
  <c r="P45" i="16"/>
  <c r="R46" i="16"/>
  <c r="J44" i="16"/>
  <c r="L34" i="16"/>
  <c r="M34" i="16"/>
  <c r="F34" i="16"/>
  <c r="N34" i="16"/>
  <c r="G34" i="16"/>
  <c r="O34" i="16"/>
  <c r="H34" i="16"/>
  <c r="P34" i="16"/>
  <c r="J34" i="16"/>
  <c r="R34" i="16"/>
  <c r="K34" i="16"/>
  <c r="S34" i="16"/>
  <c r="I34" i="16"/>
  <c r="Q34" i="16"/>
  <c r="E25" i="15"/>
  <c r="J37" i="16"/>
  <c r="R37" i="16"/>
  <c r="K37" i="16"/>
  <c r="S37" i="16"/>
  <c r="L37" i="16"/>
  <c r="M37" i="16"/>
  <c r="F37" i="16"/>
  <c r="N37" i="16"/>
  <c r="H37" i="16"/>
  <c r="P37" i="16"/>
  <c r="I37" i="16"/>
  <c r="Q37" i="16"/>
  <c r="G37" i="16"/>
  <c r="O37" i="16"/>
  <c r="R27" i="20"/>
  <c r="H13" i="16"/>
  <c r="P13" i="16"/>
  <c r="I13" i="16"/>
  <c r="Q13" i="16"/>
  <c r="J13" i="16"/>
  <c r="R13" i="16"/>
  <c r="K13" i="16"/>
  <c r="S13" i="16"/>
  <c r="L13" i="16"/>
  <c r="F13" i="16"/>
  <c r="N13" i="16"/>
  <c r="G13" i="16"/>
  <c r="O13" i="16"/>
  <c r="M13" i="16"/>
  <c r="I45" i="16"/>
  <c r="G12" i="24" s="1"/>
  <c r="P44" i="16"/>
  <c r="K44" i="16"/>
  <c r="M45" i="16"/>
  <c r="E36" i="16"/>
  <c r="R44" i="16"/>
  <c r="U54" i="21"/>
  <c r="U57" i="21" s="1"/>
  <c r="U20" i="21"/>
  <c r="I12" i="24"/>
  <c r="F24" i="20"/>
  <c r="J12" i="24"/>
  <c r="K12" i="24"/>
  <c r="D12" i="24"/>
  <c r="L12" i="24"/>
  <c r="N12" i="24"/>
  <c r="E12" i="24"/>
  <c r="M12" i="24"/>
  <c r="F12" i="24"/>
  <c r="O12" i="24"/>
  <c r="H12" i="24"/>
  <c r="P12" i="24"/>
  <c r="E21" i="15"/>
  <c r="E25" i="4"/>
  <c r="G75" i="19" l="1"/>
  <c r="H75" i="20"/>
  <c r="E30" i="16"/>
  <c r="E29" i="16"/>
  <c r="J13" i="24"/>
  <c r="N27" i="19"/>
  <c r="O27" i="20"/>
  <c r="E11" i="16"/>
  <c r="E14" i="16"/>
  <c r="E13" i="16"/>
  <c r="H74" i="20"/>
  <c r="E35" i="16"/>
  <c r="E31" i="16"/>
  <c r="E19" i="16"/>
  <c r="K13" i="24"/>
  <c r="O27" i="19"/>
  <c r="P27" i="20"/>
  <c r="L21" i="16"/>
  <c r="M21" i="16"/>
  <c r="F21" i="16"/>
  <c r="N21" i="16"/>
  <c r="G21" i="16"/>
  <c r="O21" i="16"/>
  <c r="H21" i="16"/>
  <c r="P21" i="16"/>
  <c r="J21" i="16"/>
  <c r="R21" i="16"/>
  <c r="K21" i="16"/>
  <c r="S21" i="16"/>
  <c r="Q21" i="16"/>
  <c r="I21" i="16"/>
  <c r="G21" i="24"/>
  <c r="K24" i="19"/>
  <c r="G25" i="16"/>
  <c r="O25" i="16"/>
  <c r="H25" i="16"/>
  <c r="P25" i="16"/>
  <c r="I25" i="16"/>
  <c r="Q25" i="16"/>
  <c r="J25" i="16"/>
  <c r="R25" i="16"/>
  <c r="K25" i="16"/>
  <c r="S25" i="16"/>
  <c r="M25" i="16"/>
  <c r="F25" i="16"/>
  <c r="N25" i="16"/>
  <c r="L25" i="16"/>
  <c r="G74" i="19"/>
  <c r="E79" i="19"/>
  <c r="E17" i="16"/>
  <c r="D27" i="24"/>
  <c r="E18" i="16"/>
  <c r="E45" i="16"/>
  <c r="D21" i="24"/>
  <c r="H24" i="19"/>
  <c r="H13" i="24"/>
  <c r="M27" i="20"/>
  <c r="L27" i="19"/>
  <c r="P13" i="24"/>
  <c r="U27" i="20"/>
  <c r="T27" i="19"/>
  <c r="E48" i="21"/>
  <c r="F52" i="21"/>
  <c r="E52" i="21" s="1"/>
  <c r="E37" i="16"/>
  <c r="J21" i="24"/>
  <c r="N24" i="19"/>
  <c r="M24" i="16"/>
  <c r="F24" i="16"/>
  <c r="N24" i="16"/>
  <c r="G24" i="16"/>
  <c r="O24" i="16"/>
  <c r="H24" i="16"/>
  <c r="P24" i="16"/>
  <c r="I24" i="16"/>
  <c r="Q24" i="16"/>
  <c r="K24" i="16"/>
  <c r="S24" i="16"/>
  <c r="L24" i="16"/>
  <c r="R24" i="16"/>
  <c r="J24" i="16"/>
  <c r="M24" i="19"/>
  <c r="I21" i="24"/>
  <c r="N21" i="24"/>
  <c r="R24" i="19"/>
  <c r="G13" i="24"/>
  <c r="K27" i="19"/>
  <c r="L27" i="20"/>
  <c r="K21" i="24"/>
  <c r="O24" i="19"/>
  <c r="F13" i="24"/>
  <c r="K27" i="20"/>
  <c r="J27" i="19"/>
  <c r="E10" i="16"/>
  <c r="E32" i="16"/>
  <c r="I13" i="24"/>
  <c r="N27" i="20"/>
  <c r="M27" i="19"/>
  <c r="E34" i="16"/>
  <c r="L13" i="24"/>
  <c r="P27" i="19"/>
  <c r="Q27" i="20"/>
  <c r="O13" i="24"/>
  <c r="S27" i="19"/>
  <c r="T27" i="20"/>
  <c r="E44" i="16"/>
  <c r="H27" i="19"/>
  <c r="D13" i="24"/>
  <c r="I27" i="20"/>
  <c r="H21" i="24"/>
  <c r="L24" i="19"/>
  <c r="J24" i="19"/>
  <c r="F21" i="24"/>
  <c r="N13" i="24"/>
  <c r="R27" i="19"/>
  <c r="S27" i="20"/>
  <c r="P21" i="24"/>
  <c r="T24" i="19"/>
  <c r="Q24" i="19"/>
  <c r="M21" i="24"/>
  <c r="P24" i="19"/>
  <c r="L21" i="24"/>
  <c r="O21" i="24"/>
  <c r="S24" i="19"/>
  <c r="E12" i="16"/>
  <c r="E33" i="16"/>
  <c r="H24" i="20"/>
  <c r="F28" i="20"/>
  <c r="F83" i="20" s="1"/>
  <c r="E79" i="20" l="1"/>
  <c r="H79" i="20"/>
  <c r="J15" i="24"/>
  <c r="J23" i="24"/>
  <c r="E23" i="24"/>
  <c r="E15" i="24"/>
  <c r="E25" i="16"/>
  <c r="D22" i="24"/>
  <c r="D14" i="24"/>
  <c r="N14" i="24"/>
  <c r="N22" i="24"/>
  <c r="L23" i="24"/>
  <c r="L15" i="24"/>
  <c r="K14" i="24"/>
  <c r="K22" i="24"/>
  <c r="F14" i="24"/>
  <c r="F22" i="24"/>
  <c r="I23" i="24"/>
  <c r="I15" i="24"/>
  <c r="E24" i="16"/>
  <c r="D23" i="24"/>
  <c r="D15" i="24"/>
  <c r="M14" i="24"/>
  <c r="M22" i="24"/>
  <c r="O15" i="24"/>
  <c r="O23" i="24"/>
  <c r="K15" i="24"/>
  <c r="K23" i="24"/>
  <c r="I22" i="24"/>
  <c r="I14" i="24"/>
  <c r="E14" i="24"/>
  <c r="E22" i="24"/>
  <c r="G15" i="24"/>
  <c r="G23" i="24"/>
  <c r="P14" i="24"/>
  <c r="P22" i="24"/>
  <c r="N23" i="24"/>
  <c r="N15" i="24"/>
  <c r="G79" i="19"/>
  <c r="H22" i="24"/>
  <c r="H14" i="24"/>
  <c r="G25" i="24"/>
  <c r="A27" i="20"/>
  <c r="H15" i="24"/>
  <c r="H23" i="24"/>
  <c r="F15" i="24"/>
  <c r="F23" i="24"/>
  <c r="J14" i="24"/>
  <c r="J22" i="24"/>
  <c r="O22" i="24"/>
  <c r="O14" i="24"/>
  <c r="P23" i="24"/>
  <c r="P15" i="24"/>
  <c r="M23" i="24"/>
  <c r="M15" i="24"/>
  <c r="J25" i="24"/>
  <c r="L14" i="24"/>
  <c r="L22" i="24"/>
  <c r="G14" i="24"/>
  <c r="G22" i="24"/>
  <c r="E21" i="16"/>
  <c r="P24" i="20"/>
  <c r="R24" i="20"/>
  <c r="N24" i="20"/>
  <c r="K24" i="20"/>
  <c r="V24" i="20"/>
  <c r="S24" i="20"/>
  <c r="O24" i="20"/>
  <c r="L24" i="20"/>
  <c r="U24" i="20"/>
  <c r="T24" i="20"/>
  <c r="M24" i="20"/>
  <c r="J24" i="20"/>
  <c r="I24" i="20"/>
  <c r="Q24" i="20"/>
  <c r="E17" i="24" l="1"/>
  <c r="E30" i="24" s="1"/>
  <c r="I86" i="19" s="1"/>
  <c r="H17" i="24"/>
  <c r="I17" i="24"/>
  <c r="N25" i="24"/>
  <c r="K17" i="24"/>
  <c r="K30" i="24" s="1"/>
  <c r="O86" i="19" s="1"/>
  <c r="N17" i="24"/>
  <c r="N30" i="24" s="1"/>
  <c r="R86" i="19" s="1"/>
  <c r="P17" i="24"/>
  <c r="P25" i="24"/>
  <c r="D17" i="24"/>
  <c r="O17" i="24"/>
  <c r="O30" i="24" s="1"/>
  <c r="S86" i="19" s="1"/>
  <c r="H25" i="24"/>
  <c r="G17" i="24"/>
  <c r="G30" i="24" s="1"/>
  <c r="K86" i="19" s="1"/>
  <c r="K25" i="24"/>
  <c r="I25" i="24"/>
  <c r="L25" i="24"/>
  <c r="O25" i="24"/>
  <c r="F25" i="24"/>
  <c r="J17" i="24"/>
  <c r="J30" i="24" s="1"/>
  <c r="N86" i="19" s="1"/>
  <c r="M17" i="24"/>
  <c r="D25" i="24"/>
  <c r="M25" i="24"/>
  <c r="L17" i="24"/>
  <c r="E25" i="24"/>
  <c r="F17" i="24"/>
  <c r="A24" i="20"/>
  <c r="J15" i="11"/>
  <c r="J34" i="11" s="1"/>
  <c r="L30" i="24" l="1"/>
  <c r="P86" i="19" s="1"/>
  <c r="H30" i="24"/>
  <c r="L86" i="19" s="1"/>
  <c r="F30" i="24"/>
  <c r="J86" i="19" s="1"/>
  <c r="D30" i="24"/>
  <c r="H86" i="19" s="1"/>
  <c r="M30" i="24"/>
  <c r="Q86" i="19" s="1"/>
  <c r="P30" i="24"/>
  <c r="T86" i="19" s="1"/>
  <c r="I30" i="24"/>
  <c r="M86" i="19" s="1"/>
  <c r="P21" i="10"/>
  <c r="R21" i="10"/>
  <c r="Q21" i="10"/>
  <c r="S21" i="10"/>
  <c r="G86" i="19" l="1"/>
  <c r="C3" i="7" l="1"/>
  <c r="E17" i="2" l="1"/>
  <c r="E27" i="7" l="1"/>
  <c r="L14" i="2" l="1"/>
  <c r="O14" i="2"/>
  <c r="P14" i="2"/>
  <c r="U38" i="5" l="1"/>
  <c r="E38" i="5" l="1"/>
  <c r="H29" i="9" l="1"/>
  <c r="J29" i="9" s="1"/>
  <c r="L29" i="9" s="1"/>
  <c r="E78" i="13" s="1"/>
  <c r="AI78" i="13" s="1"/>
  <c r="AI81" i="13" s="1"/>
  <c r="M13" i="6"/>
  <c r="N37" i="1"/>
  <c r="N41" i="1"/>
  <c r="N26" i="1"/>
  <c r="N27" i="1"/>
  <c r="N28" i="1"/>
  <c r="N30" i="1"/>
  <c r="N31" i="1"/>
  <c r="N32" i="1"/>
  <c r="N34" i="1"/>
  <c r="N35" i="1"/>
  <c r="N36" i="1"/>
  <c r="N15" i="1"/>
  <c r="J16" i="1"/>
  <c r="N17" i="1"/>
  <c r="M19" i="1"/>
  <c r="G20" i="1"/>
  <c r="M29" i="1"/>
  <c r="M33" i="1"/>
  <c r="M17" i="1"/>
  <c r="K13" i="6"/>
  <c r="J41" i="1"/>
  <c r="J32" i="1"/>
  <c r="J36" i="1"/>
  <c r="J20" i="1"/>
  <c r="M24" i="6"/>
  <c r="L41" i="1"/>
  <c r="L27" i="1"/>
  <c r="L35" i="1"/>
  <c r="L15" i="1"/>
  <c r="L17" i="1"/>
  <c r="O13" i="6"/>
  <c r="P29" i="1"/>
  <c r="P33" i="1"/>
  <c r="P15" i="1"/>
  <c r="P17" i="1"/>
  <c r="P19" i="1"/>
  <c r="J13" i="6"/>
  <c r="I41" i="1"/>
  <c r="I29" i="1"/>
  <c r="I33" i="1"/>
  <c r="I15" i="1"/>
  <c r="I17" i="1"/>
  <c r="P23" i="6"/>
  <c r="Q29" i="1"/>
  <c r="Q31" i="1"/>
  <c r="Q33" i="1"/>
  <c r="Q17" i="1"/>
  <c r="Q19" i="1"/>
  <c r="N13" i="6"/>
  <c r="O31" i="1"/>
  <c r="O15" i="1"/>
  <c r="O17" i="1"/>
  <c r="O19" i="1"/>
  <c r="L13" i="6"/>
  <c r="K32" i="1"/>
  <c r="K36" i="1"/>
  <c r="K15" i="1"/>
  <c r="K17" i="1"/>
  <c r="I13" i="6"/>
  <c r="H28" i="1"/>
  <c r="H29" i="1"/>
  <c r="H32" i="1"/>
  <c r="H33" i="1"/>
  <c r="H36" i="1"/>
  <c r="H15" i="1"/>
  <c r="H17" i="1"/>
  <c r="H18" i="1"/>
  <c r="H25" i="6"/>
  <c r="H13" i="6"/>
  <c r="G41" i="1"/>
  <c r="G28" i="1"/>
  <c r="G29" i="1"/>
  <c r="G32" i="1"/>
  <c r="G33" i="1"/>
  <c r="G36" i="1"/>
  <c r="G15" i="1"/>
  <c r="G17" i="1"/>
  <c r="G18" i="1"/>
  <c r="G19" i="1"/>
  <c r="E27" i="4"/>
  <c r="E26" i="4"/>
  <c r="E22" i="4"/>
  <c r="Q22" i="4" s="1"/>
  <c r="E19" i="9"/>
  <c r="G27" i="7"/>
  <c r="C3" i="1"/>
  <c r="T21" i="1"/>
  <c r="T45" i="1"/>
  <c r="T46" i="1" s="1"/>
  <c r="T48" i="1" s="1"/>
  <c r="T39" i="1"/>
  <c r="R50" i="2"/>
  <c r="P50" i="2"/>
  <c r="O50" i="2"/>
  <c r="N50" i="2"/>
  <c r="M50" i="2"/>
  <c r="L50" i="2"/>
  <c r="K50" i="2"/>
  <c r="J50" i="2"/>
  <c r="I50" i="2"/>
  <c r="H50" i="2"/>
  <c r="G50" i="2"/>
  <c r="J18" i="1"/>
  <c r="I25" i="9"/>
  <c r="C3" i="9"/>
  <c r="C3" i="8"/>
  <c r="D3" i="6"/>
  <c r="C3" i="4"/>
  <c r="C3" i="5"/>
  <c r="E45" i="5"/>
  <c r="Q21" i="6"/>
  <c r="Q32" i="6"/>
  <c r="Q34" i="6" s="1"/>
  <c r="S45" i="1" s="1"/>
  <c r="S46" i="1" s="1"/>
  <c r="S48" i="1" s="1"/>
  <c r="E31" i="11" s="1"/>
  <c r="AE31" i="11" s="1"/>
  <c r="AE34" i="11" s="1"/>
  <c r="R46" i="1"/>
  <c r="H39" i="8"/>
  <c r="H27" i="8"/>
  <c r="H16" i="8"/>
  <c r="H20" i="8"/>
  <c r="H15" i="8"/>
  <c r="I18" i="7"/>
  <c r="H15" i="7"/>
  <c r="J15" i="7" s="1"/>
  <c r="K27" i="4"/>
  <c r="P24" i="4"/>
  <c r="P25" i="4"/>
  <c r="P23" i="4"/>
  <c r="G21" i="4"/>
  <c r="N20" i="4"/>
  <c r="I21" i="4"/>
  <c r="I28" i="4" s="1"/>
  <c r="J21" i="4"/>
  <c r="K21" i="4"/>
  <c r="L21" i="4"/>
  <c r="M21" i="4"/>
  <c r="N21" i="4"/>
  <c r="O21" i="4"/>
  <c r="P21" i="4"/>
  <c r="Q21" i="4"/>
  <c r="Q28" i="4" s="1"/>
  <c r="R21" i="4"/>
  <c r="G22" i="4"/>
  <c r="H22" i="4"/>
  <c r="I22" i="4"/>
  <c r="J22" i="4"/>
  <c r="K22" i="4"/>
  <c r="L22" i="4"/>
  <c r="M22" i="4"/>
  <c r="M28" i="4" s="1"/>
  <c r="N22" i="4"/>
  <c r="O22" i="4"/>
  <c r="P22" i="4"/>
  <c r="R22" i="4"/>
  <c r="G23" i="4"/>
  <c r="H23" i="4"/>
  <c r="I23" i="4"/>
  <c r="J23" i="4"/>
  <c r="J28" i="4" s="1"/>
  <c r="K23" i="4"/>
  <c r="L23" i="4"/>
  <c r="M23" i="4"/>
  <c r="N23" i="4"/>
  <c r="O23" i="4"/>
  <c r="Q23" i="4"/>
  <c r="R23" i="4"/>
  <c r="G24" i="4"/>
  <c r="H24" i="4"/>
  <c r="I24" i="4"/>
  <c r="J24" i="4"/>
  <c r="K24" i="4"/>
  <c r="L24" i="4"/>
  <c r="M24" i="4"/>
  <c r="N24" i="4"/>
  <c r="O24" i="4"/>
  <c r="O28" i="4" s="1"/>
  <c r="Q24" i="4"/>
  <c r="R24" i="4"/>
  <c r="G25" i="4"/>
  <c r="H25" i="4"/>
  <c r="I25" i="4"/>
  <c r="J25" i="4"/>
  <c r="K25" i="4"/>
  <c r="L25" i="4"/>
  <c r="M25" i="4"/>
  <c r="N25" i="4"/>
  <c r="O25" i="4"/>
  <c r="Q25" i="4"/>
  <c r="R25" i="4"/>
  <c r="G26" i="4"/>
  <c r="H26" i="4"/>
  <c r="H28" i="4" s="1"/>
  <c r="I26" i="4"/>
  <c r="J26" i="4"/>
  <c r="K26" i="4"/>
  <c r="L26" i="4"/>
  <c r="N26" i="4"/>
  <c r="O26" i="4"/>
  <c r="P26" i="4"/>
  <c r="Q26" i="4"/>
  <c r="R26" i="4"/>
  <c r="G27" i="4"/>
  <c r="H27" i="4"/>
  <c r="I27" i="4"/>
  <c r="J27" i="4"/>
  <c r="L27" i="4"/>
  <c r="M27" i="4"/>
  <c r="N27" i="4"/>
  <c r="O27" i="4"/>
  <c r="P27" i="4"/>
  <c r="Q27" i="4"/>
  <c r="R27" i="4"/>
  <c r="H20" i="4"/>
  <c r="I20" i="4"/>
  <c r="J20" i="4"/>
  <c r="K20" i="4"/>
  <c r="K28" i="4" s="1"/>
  <c r="L20" i="4"/>
  <c r="L28" i="4" s="1"/>
  <c r="M20" i="4"/>
  <c r="O20" i="4"/>
  <c r="P20" i="4"/>
  <c r="Q20" i="4"/>
  <c r="R20" i="4"/>
  <c r="G20" i="4"/>
  <c r="M26" i="4"/>
  <c r="H15" i="4"/>
  <c r="I15" i="4"/>
  <c r="J15" i="4"/>
  <c r="K15" i="4"/>
  <c r="L15" i="4"/>
  <c r="M15" i="4"/>
  <c r="N15" i="4"/>
  <c r="O15" i="4"/>
  <c r="P15" i="4"/>
  <c r="Q15" i="4"/>
  <c r="R15" i="4"/>
  <c r="G15" i="4"/>
  <c r="H25" i="1"/>
  <c r="I25" i="1"/>
  <c r="J25" i="1"/>
  <c r="K25" i="1"/>
  <c r="L25" i="1"/>
  <c r="M25" i="1"/>
  <c r="N25" i="1"/>
  <c r="O25" i="1"/>
  <c r="P25" i="1"/>
  <c r="Q25" i="1"/>
  <c r="G25" i="1"/>
  <c r="U47" i="5"/>
  <c r="U21" i="5"/>
  <c r="T21" i="5"/>
  <c r="S39" i="1"/>
  <c r="R21" i="1"/>
  <c r="S21" i="1"/>
  <c r="H11" i="1"/>
  <c r="I11" i="1"/>
  <c r="J11" i="1"/>
  <c r="K11" i="1"/>
  <c r="L11" i="1"/>
  <c r="M11" i="1"/>
  <c r="N11" i="1"/>
  <c r="O11" i="1"/>
  <c r="P11" i="1"/>
  <c r="Q11" i="1"/>
  <c r="G11" i="1"/>
  <c r="L44" i="2"/>
  <c r="K44" i="2"/>
  <c r="Q40" i="2"/>
  <c r="P13" i="6" s="1"/>
  <c r="E40" i="2"/>
  <c r="E33" i="2"/>
  <c r="O32" i="2"/>
  <c r="O33" i="1" s="1"/>
  <c r="L32" i="2"/>
  <c r="L33" i="1" s="1"/>
  <c r="K32" i="2"/>
  <c r="E32" i="2" s="1"/>
  <c r="J32" i="2"/>
  <c r="J33" i="1" s="1"/>
  <c r="J28" i="2"/>
  <c r="J29" i="1" s="1"/>
  <c r="K28" i="2"/>
  <c r="K29" i="1" s="1"/>
  <c r="L28" i="2"/>
  <c r="L29" i="1" s="1"/>
  <c r="O28" i="2"/>
  <c r="O29" i="1" s="1"/>
  <c r="O27" i="2"/>
  <c r="L27" i="2"/>
  <c r="E27" i="2" s="1"/>
  <c r="K27" i="2"/>
  <c r="K28" i="1" s="1"/>
  <c r="J27" i="2"/>
  <c r="J28" i="1" s="1"/>
  <c r="E51" i="2"/>
  <c r="E46" i="2"/>
  <c r="E45" i="2"/>
  <c r="E38" i="2"/>
  <c r="E30" i="2"/>
  <c r="E31" i="2"/>
  <c r="E34" i="2"/>
  <c r="E35" i="2"/>
  <c r="E29" i="2"/>
  <c r="E26" i="2"/>
  <c r="E25" i="2"/>
  <c r="E24" i="2"/>
  <c r="E16" i="2"/>
  <c r="E18" i="2"/>
  <c r="E19" i="2"/>
  <c r="E10" i="2"/>
  <c r="Q15" i="2"/>
  <c r="Q50" i="2" s="1"/>
  <c r="Q14" i="4" s="1"/>
  <c r="E15" i="2"/>
  <c r="Q14" i="2"/>
  <c r="R28" i="4"/>
  <c r="P28" i="4"/>
  <c r="E44" i="2"/>
  <c r="E28" i="2"/>
  <c r="N46" i="1"/>
  <c r="M46" i="1"/>
  <c r="F34" i="11" l="1"/>
  <c r="E67" i="19"/>
  <c r="G67" i="19" s="1"/>
  <c r="E67" i="20"/>
  <c r="H67" i="20" s="1"/>
  <c r="E50" i="2"/>
  <c r="G28" i="4"/>
  <c r="N28" i="4"/>
  <c r="E28" i="4"/>
  <c r="K33" i="1"/>
  <c r="Q15" i="1"/>
  <c r="E14" i="2"/>
  <c r="H27" i="7"/>
  <c r="I27" i="7" s="1"/>
  <c r="K41" i="1"/>
  <c r="O41" i="1"/>
  <c r="Q41" i="1"/>
  <c r="M41" i="1"/>
  <c r="H41" i="1"/>
  <c r="P41" i="1"/>
  <c r="G26" i="1"/>
  <c r="H37" i="1"/>
  <c r="H26" i="1"/>
  <c r="K26" i="1"/>
  <c r="L26" i="1"/>
  <c r="J30" i="1"/>
  <c r="G30" i="1"/>
  <c r="H30" i="1"/>
  <c r="K30" i="1"/>
  <c r="O26" i="1"/>
  <c r="G34" i="1"/>
  <c r="E39" i="1"/>
  <c r="H34" i="1"/>
  <c r="Q26" i="1"/>
  <c r="I26" i="1"/>
  <c r="P26" i="1"/>
  <c r="J34" i="1"/>
  <c r="J26" i="1"/>
  <c r="M15" i="1"/>
  <c r="M31" i="1"/>
  <c r="G37" i="1"/>
  <c r="H20" i="1"/>
  <c r="K35" i="1"/>
  <c r="I35" i="1"/>
  <c r="I27" i="1"/>
  <c r="P35" i="1"/>
  <c r="P27" i="1"/>
  <c r="O26" i="6"/>
  <c r="L37" i="1"/>
  <c r="J37" i="1"/>
  <c r="H14" i="4"/>
  <c r="N14" i="4"/>
  <c r="R37" i="1"/>
  <c r="G14" i="4"/>
  <c r="M14" i="4"/>
  <c r="G16" i="1"/>
  <c r="G35" i="1"/>
  <c r="G31" i="1"/>
  <c r="G27" i="1"/>
  <c r="K37" i="1"/>
  <c r="O37" i="1"/>
  <c r="Q37" i="1"/>
  <c r="I31" i="1"/>
  <c r="P31" i="1"/>
  <c r="M37" i="1"/>
  <c r="E21" i="1"/>
  <c r="I14" i="4"/>
  <c r="J14" i="4"/>
  <c r="E21" i="5"/>
  <c r="E47" i="5" s="1"/>
  <c r="H16" i="1"/>
  <c r="H35" i="1"/>
  <c r="H31" i="1"/>
  <c r="H27" i="1"/>
  <c r="K31" i="1"/>
  <c r="K27" i="1"/>
  <c r="O35" i="1"/>
  <c r="O27" i="1"/>
  <c r="Q35" i="1"/>
  <c r="Q27" i="1"/>
  <c r="I37" i="1"/>
  <c r="P37" i="1"/>
  <c r="L31" i="1"/>
  <c r="M35" i="1"/>
  <c r="M27" i="1"/>
  <c r="P14" i="4"/>
  <c r="K14" i="4"/>
  <c r="M20" i="1"/>
  <c r="I20" i="1"/>
  <c r="Q20" i="1"/>
  <c r="O20" i="1"/>
  <c r="N20" i="1"/>
  <c r="L20" i="1"/>
  <c r="P20" i="1"/>
  <c r="K20" i="1"/>
  <c r="M16" i="1"/>
  <c r="I16" i="1"/>
  <c r="Q16" i="1"/>
  <c r="O16" i="1"/>
  <c r="N16" i="1"/>
  <c r="L16" i="1"/>
  <c r="P16" i="1"/>
  <c r="K16" i="1"/>
  <c r="N19" i="1"/>
  <c r="J19" i="1"/>
  <c r="H19" i="1"/>
  <c r="K19" i="1"/>
  <c r="I19" i="1"/>
  <c r="L19" i="1"/>
  <c r="L18" i="1"/>
  <c r="P18" i="1"/>
  <c r="K18" i="1"/>
  <c r="N18" i="1"/>
  <c r="M18" i="1"/>
  <c r="I18" i="1"/>
  <c r="Q18" i="1"/>
  <c r="O18" i="1"/>
  <c r="O34" i="1"/>
  <c r="O30" i="1"/>
  <c r="Q34" i="1"/>
  <c r="Q30" i="1"/>
  <c r="I34" i="1"/>
  <c r="I30" i="1"/>
  <c r="P36" i="1"/>
  <c r="P32" i="1"/>
  <c r="P28" i="1"/>
  <c r="L36" i="1"/>
  <c r="L32" i="1"/>
  <c r="L28" i="1"/>
  <c r="J15" i="1"/>
  <c r="J35" i="1"/>
  <c r="J31" i="1"/>
  <c r="J27" i="1"/>
  <c r="M34" i="1"/>
  <c r="M30" i="1"/>
  <c r="M26" i="1"/>
  <c r="N33" i="1"/>
  <c r="N29" i="1"/>
  <c r="K34" i="1"/>
  <c r="O36" i="1"/>
  <c r="O32" i="1"/>
  <c r="O28" i="1"/>
  <c r="Q36" i="1"/>
  <c r="Q32" i="1"/>
  <c r="Q28" i="1"/>
  <c r="I36" i="1"/>
  <c r="I32" i="1"/>
  <c r="I28" i="1"/>
  <c r="P34" i="1"/>
  <c r="P30" i="1"/>
  <c r="L34" i="1"/>
  <c r="L30" i="1"/>
  <c r="J17" i="1"/>
  <c r="M36" i="1"/>
  <c r="M32" i="1"/>
  <c r="M28" i="1"/>
  <c r="O14" i="4"/>
  <c r="R14" i="4"/>
  <c r="L14" i="4"/>
  <c r="J27" i="7" l="1"/>
  <c r="L27" i="7" s="1"/>
  <c r="G21" i="1"/>
  <c r="R39" i="1"/>
  <c r="R48" i="1" s="1"/>
  <c r="E38" i="11" s="1"/>
  <c r="AD38" i="11" s="1"/>
  <c r="H21" i="1"/>
  <c r="K39" i="1"/>
  <c r="N39" i="1"/>
  <c r="P21" i="1"/>
  <c r="H39" i="1"/>
  <c r="Q39" i="1"/>
  <c r="L39" i="1"/>
  <c r="O21" i="1"/>
  <c r="G39" i="1"/>
  <c r="Q21" i="1"/>
  <c r="O39" i="1"/>
  <c r="J21" i="1"/>
  <c r="P39" i="1"/>
  <c r="N21" i="1"/>
  <c r="M21" i="1"/>
  <c r="M39" i="1"/>
  <c r="J18" i="6"/>
  <c r="P18" i="6"/>
  <c r="N18" i="6"/>
  <c r="O18" i="6"/>
  <c r="L18" i="6"/>
  <c r="M18" i="6"/>
  <c r="H18" i="6"/>
  <c r="K18" i="6"/>
  <c r="I18" i="6"/>
  <c r="K21" i="1"/>
  <c r="F21" i="6"/>
  <c r="N17" i="6"/>
  <c r="M19" i="6"/>
  <c r="I19" i="6"/>
  <c r="K19" i="6"/>
  <c r="O19" i="6"/>
  <c r="P19" i="6"/>
  <c r="N19" i="6"/>
  <c r="H19" i="6"/>
  <c r="J19" i="6"/>
  <c r="L19" i="6"/>
  <c r="J39" i="1"/>
  <c r="I39" i="1"/>
  <c r="L21" i="1"/>
  <c r="I21" i="1"/>
  <c r="O20" i="6"/>
  <c r="L20" i="6"/>
  <c r="J20" i="6"/>
  <c r="P20" i="6"/>
  <c r="N20" i="6"/>
  <c r="I20" i="6"/>
  <c r="K20" i="6"/>
  <c r="M20" i="6"/>
  <c r="H20" i="6"/>
  <c r="N48" i="1" l="1"/>
  <c r="E28" i="11" s="1"/>
  <c r="X28" i="11" s="1"/>
  <c r="X34" i="11" s="1"/>
  <c r="L37" i="5"/>
  <c r="P37" i="5"/>
  <c r="I37" i="5"/>
  <c r="M37" i="5"/>
  <c r="J37" i="5"/>
  <c r="N37" i="5"/>
  <c r="R37" i="5"/>
  <c r="K37" i="5"/>
  <c r="O37" i="5"/>
  <c r="S37" i="5"/>
  <c r="Q37" i="5"/>
  <c r="M48" i="1"/>
  <c r="E26" i="11" s="1"/>
  <c r="T26" i="11" s="1"/>
  <c r="T34" i="11" s="1"/>
  <c r="H21" i="6"/>
  <c r="M21" i="6"/>
  <c r="P21" i="6"/>
  <c r="N21" i="6"/>
  <c r="I21" i="6"/>
  <c r="L21" i="6"/>
  <c r="J21" i="6"/>
  <c r="K21" i="6"/>
  <c r="O21" i="6"/>
  <c r="O15" i="5" l="1"/>
  <c r="S40" i="5"/>
  <c r="Q34" i="5"/>
  <c r="Q20" i="5"/>
  <c r="Q32" i="5"/>
  <c r="Q28" i="5"/>
  <c r="G45" i="5"/>
  <c r="Q16" i="5"/>
  <c r="S19" i="5"/>
  <c r="P18" i="5"/>
  <c r="S33" i="5"/>
  <c r="K35" i="5"/>
  <c r="S29" i="5"/>
  <c r="J27" i="5"/>
  <c r="S25" i="5"/>
  <c r="I30" i="5"/>
  <c r="R17" i="5"/>
  <c r="O26" i="5"/>
  <c r="Q31" i="5"/>
  <c r="R36" i="5"/>
  <c r="K11" i="5"/>
  <c r="P32" i="5"/>
  <c r="S34" i="5"/>
  <c r="J20" i="5"/>
  <c r="O32" i="5"/>
  <c r="R32" i="5"/>
  <c r="N20" i="5"/>
  <c r="N36" i="5"/>
  <c r="I31" i="5"/>
  <c r="S11" i="5"/>
  <c r="T36" i="5"/>
  <c r="R11" i="5"/>
  <c r="L36" i="5"/>
  <c r="L11" i="5"/>
  <c r="M31" i="5"/>
  <c r="K36" i="5"/>
  <c r="J11" i="5"/>
  <c r="Q33" i="5"/>
  <c r="I25" i="5"/>
  <c r="O36" i="5"/>
  <c r="P31" i="5"/>
  <c r="J31" i="5"/>
  <c r="N11" i="5"/>
  <c r="P11" i="5"/>
  <c r="R31" i="5"/>
  <c r="O25" i="5"/>
  <c r="S35" i="5"/>
  <c r="M28" i="5"/>
  <c r="S28" i="5"/>
  <c r="R28" i="5"/>
  <c r="N18" i="5"/>
  <c r="J32" i="5"/>
  <c r="J34" i="5"/>
  <c r="K20" i="5"/>
  <c r="N32" i="5"/>
  <c r="I20" i="5"/>
  <c r="O20" i="5"/>
  <c r="S20" i="5"/>
  <c r="K32" i="5"/>
  <c r="I32" i="5"/>
  <c r="N16" i="5"/>
  <c r="L32" i="5"/>
  <c r="R20" i="5"/>
  <c r="M32" i="5"/>
  <c r="L20" i="5"/>
  <c r="N25" i="5"/>
  <c r="P20" i="5"/>
  <c r="M20" i="5"/>
  <c r="J25" i="5"/>
  <c r="S32" i="5"/>
  <c r="R25" i="5"/>
  <c r="I18" i="5"/>
  <c r="S18" i="5"/>
  <c r="O18" i="5"/>
  <c r="P25" i="5"/>
  <c r="K25" i="5"/>
  <c r="K27" i="5"/>
  <c r="Q25" i="5"/>
  <c r="M25" i="5"/>
  <c r="L25" i="5"/>
  <c r="K18" i="5"/>
  <c r="M17" i="5"/>
  <c r="R29" i="5"/>
  <c r="M33" i="5"/>
  <c r="L27" i="5"/>
  <c r="J40" i="5"/>
  <c r="M18" i="5"/>
  <c r="L18" i="5"/>
  <c r="J30" i="5"/>
  <c r="P33" i="5"/>
  <c r="Q18" i="5"/>
  <c r="Q29" i="5"/>
  <c r="J29" i="5"/>
  <c r="N29" i="5"/>
  <c r="Q27" i="5"/>
  <c r="R27" i="5"/>
  <c r="I40" i="5"/>
  <c r="R18" i="5"/>
  <c r="J18" i="5"/>
  <c r="I33" i="5"/>
  <c r="N27" i="5"/>
  <c r="N31" i="5"/>
  <c r="I36" i="5"/>
  <c r="S31" i="5"/>
  <c r="M27" i="5"/>
  <c r="Q36" i="5"/>
  <c r="K31" i="5"/>
  <c r="Q17" i="5"/>
  <c r="Q11" i="5"/>
  <c r="J28" i="5"/>
  <c r="I11" i="5"/>
  <c r="M29" i="5"/>
  <c r="P36" i="5"/>
  <c r="I29" i="5"/>
  <c r="M36" i="5"/>
  <c r="S27" i="5"/>
  <c r="L31" i="5"/>
  <c r="L29" i="5"/>
  <c r="K29" i="5"/>
  <c r="J36" i="5"/>
  <c r="O27" i="5"/>
  <c r="O31" i="5"/>
  <c r="I27" i="5"/>
  <c r="I28" i="5"/>
  <c r="P28" i="5"/>
  <c r="P27" i="5"/>
  <c r="O11" i="5"/>
  <c r="M11" i="5"/>
  <c r="P29" i="5"/>
  <c r="O29" i="5"/>
  <c r="S36" i="5"/>
  <c r="N34" i="5"/>
  <c r="L33" i="5"/>
  <c r="M34" i="5"/>
  <c r="K16" i="5"/>
  <c r="J19" i="5"/>
  <c r="K19" i="5"/>
  <c r="K34" i="5"/>
  <c r="P16" i="5"/>
  <c r="L34" i="5"/>
  <c r="R33" i="5"/>
  <c r="N33" i="5"/>
  <c r="L19" i="5"/>
  <c r="R34" i="5"/>
  <c r="K33" i="5"/>
  <c r="O33" i="5"/>
  <c r="O34" i="5"/>
  <c r="P34" i="5"/>
  <c r="J33" i="5"/>
  <c r="I34" i="5"/>
  <c r="L16" i="5"/>
  <c r="S16" i="5"/>
  <c r="P26" i="5"/>
  <c r="L26" i="5"/>
  <c r="P19" i="5"/>
  <c r="J16" i="5"/>
  <c r="Q19" i="5"/>
  <c r="J17" i="5"/>
  <c r="R16" i="5"/>
  <c r="K40" i="5"/>
  <c r="I17" i="5"/>
  <c r="N26" i="5"/>
  <c r="I26" i="5"/>
  <c r="L17" i="5"/>
  <c r="M26" i="5"/>
  <c r="N17" i="5"/>
  <c r="S26" i="5"/>
  <c r="I16" i="5"/>
  <c r="J26" i="5"/>
  <c r="L15" i="5"/>
  <c r="R26" i="5"/>
  <c r="S15" i="5"/>
  <c r="O19" i="5"/>
  <c r="S17" i="5"/>
  <c r="M19" i="5"/>
  <c r="K17" i="5"/>
  <c r="P17" i="5"/>
  <c r="K26" i="5"/>
  <c r="O17" i="5"/>
  <c r="Q26" i="5"/>
  <c r="P35" i="5"/>
  <c r="R15" i="5"/>
  <c r="O28" i="5"/>
  <c r="Q40" i="5"/>
  <c r="R40" i="5"/>
  <c r="O35" i="5"/>
  <c r="N35" i="5"/>
  <c r="R35" i="5"/>
  <c r="L28" i="5"/>
  <c r="M16" i="5"/>
  <c r="K28" i="5"/>
  <c r="I15" i="5"/>
  <c r="N28" i="5"/>
  <c r="N19" i="5"/>
  <c r="L40" i="5"/>
  <c r="O16" i="5"/>
  <c r="R19" i="5"/>
  <c r="O40" i="5"/>
  <c r="L35" i="5"/>
  <c r="I19" i="5"/>
  <c r="M40" i="5"/>
  <c r="P40" i="5"/>
  <c r="M35" i="5"/>
  <c r="G38" i="5"/>
  <c r="G21" i="5"/>
  <c r="P15" i="5"/>
  <c r="K15" i="5"/>
  <c r="N40" i="5"/>
  <c r="L30" i="5"/>
  <c r="J35" i="5"/>
  <c r="Q35" i="5"/>
  <c r="I35" i="5"/>
  <c r="M15" i="5"/>
  <c r="J15" i="5"/>
  <c r="Q15" i="5"/>
  <c r="N15" i="5"/>
  <c r="O30" i="5"/>
  <c r="R30" i="5"/>
  <c r="P30" i="5"/>
  <c r="N30" i="5"/>
  <c r="M30" i="5"/>
  <c r="K30" i="5"/>
  <c r="Q30" i="5"/>
  <c r="S30" i="5"/>
  <c r="T38" i="5" l="1"/>
  <c r="T47" i="5" s="1"/>
  <c r="R13" i="4" s="1"/>
  <c r="R38" i="5"/>
  <c r="I21" i="5"/>
  <c r="M38" i="5"/>
  <c r="O38" i="5"/>
  <c r="K38" i="5"/>
  <c r="N38" i="5"/>
  <c r="L38" i="5"/>
  <c r="I38" i="5"/>
  <c r="J38" i="5"/>
  <c r="P38" i="5"/>
  <c r="Q38" i="5"/>
  <c r="S38" i="5"/>
  <c r="L21" i="5"/>
  <c r="G47" i="5"/>
  <c r="R21" i="5"/>
  <c r="O21" i="5"/>
  <c r="S21" i="5"/>
  <c r="Q21" i="5"/>
  <c r="J21" i="5"/>
  <c r="P21" i="5"/>
  <c r="M21" i="5"/>
  <c r="K21" i="5"/>
  <c r="N21" i="5"/>
  <c r="O47" i="5" l="1"/>
  <c r="M13" i="4" s="1"/>
  <c r="M16" i="4" s="1"/>
  <c r="M30" i="4" s="1"/>
  <c r="E26" i="12" s="1"/>
  <c r="V26" i="12" s="1"/>
  <c r="V32" i="12" s="1"/>
  <c r="E16" i="4"/>
  <c r="E30" i="4" s="1"/>
  <c r="R16" i="4"/>
  <c r="R30" i="4" s="1"/>
  <c r="E36" i="12" s="1"/>
  <c r="AF36" i="12" s="1"/>
  <c r="R47" i="5"/>
  <c r="P13" i="4" s="1"/>
  <c r="Q47" i="5"/>
  <c r="O13" i="4" s="1"/>
  <c r="M47" i="5"/>
  <c r="K13" i="4" s="1"/>
  <c r="L47" i="5"/>
  <c r="J13" i="4" s="1"/>
  <c r="I47" i="5"/>
  <c r="G13" i="4" s="1"/>
  <c r="K47" i="5"/>
  <c r="I13" i="4" s="1"/>
  <c r="S47" i="5"/>
  <c r="Q13" i="4" s="1"/>
  <c r="J47" i="5"/>
  <c r="H13" i="4" s="1"/>
  <c r="P47" i="5"/>
  <c r="N13" i="4" s="1"/>
  <c r="N47" i="5"/>
  <c r="L13" i="4" s="1"/>
  <c r="H16" i="4" l="1"/>
  <c r="H30" i="4" s="1"/>
  <c r="E16" i="12" s="1"/>
  <c r="L16" i="4"/>
  <c r="L30" i="4" s="1"/>
  <c r="E20" i="12" s="1"/>
  <c r="N16" i="4"/>
  <c r="N30" i="4" s="1"/>
  <c r="E28" i="12" s="1"/>
  <c r="Z28" i="12" s="1"/>
  <c r="Z32" i="12" s="1"/>
  <c r="G16" i="4"/>
  <c r="G30" i="4" s="1"/>
  <c r="E15" i="12" s="1"/>
  <c r="O16" i="4"/>
  <c r="O30" i="4" s="1"/>
  <c r="E29" i="12" s="1"/>
  <c r="P16" i="4"/>
  <c r="P30" i="4" s="1"/>
  <c r="E30" i="12" s="1"/>
  <c r="AD30" i="12" s="1"/>
  <c r="Q16" i="4"/>
  <c r="Q30" i="4" s="1"/>
  <c r="E34" i="12" s="1"/>
  <c r="K16" i="4"/>
  <c r="K30" i="4" s="1"/>
  <c r="E27" i="12" s="1"/>
  <c r="X27" i="12" s="1"/>
  <c r="X32" i="12" s="1"/>
  <c r="I16" i="4"/>
  <c r="I30" i="4" s="1"/>
  <c r="E25" i="12" s="1"/>
  <c r="W25" i="12" s="1"/>
  <c r="W32" i="12" s="1"/>
  <c r="J16" i="4"/>
  <c r="J30" i="4" s="1"/>
  <c r="E21" i="12" s="1"/>
  <c r="E32" i="12" l="1"/>
  <c r="E39" i="12" s="1"/>
  <c r="U15" i="12"/>
  <c r="U32" i="12" s="1"/>
  <c r="R21" i="12"/>
  <c r="T21" i="12"/>
  <c r="S21" i="12"/>
  <c r="Q21" i="12"/>
  <c r="S20" i="12"/>
  <c r="R20" i="12"/>
  <c r="Y20" i="12"/>
  <c r="Y32" i="12" s="1"/>
  <c r="T20" i="12"/>
  <c r="Q20" i="12"/>
  <c r="O16" i="12"/>
  <c r="O32" i="12" s="1"/>
  <c r="P16" i="12"/>
  <c r="P32" i="12" s="1"/>
  <c r="N16" i="12"/>
  <c r="N32" i="12" s="1"/>
  <c r="E17" i="9"/>
  <c r="E29" i="8" l="1"/>
  <c r="E18" i="8"/>
  <c r="E21" i="8" l="1"/>
  <c r="E23" i="8" s="1"/>
  <c r="E31" i="8" s="1"/>
  <c r="E40" i="7"/>
  <c r="E42" i="8"/>
  <c r="E46" i="8" s="1"/>
  <c r="E25" i="9"/>
  <c r="H37" i="7"/>
  <c r="H19" i="8"/>
  <c r="H16" i="9"/>
  <c r="H38" i="8"/>
  <c r="H44" i="8"/>
  <c r="J44" i="8" s="1"/>
  <c r="H15" i="9"/>
  <c r="H30" i="7"/>
  <c r="I30" i="7" s="1"/>
  <c r="H43" i="7"/>
  <c r="H37" i="8"/>
  <c r="H14" i="9"/>
  <c r="H41" i="8"/>
  <c r="H31" i="7"/>
  <c r="H28" i="7"/>
  <c r="H36" i="7"/>
  <c r="H40" i="8"/>
  <c r="H24" i="7"/>
  <c r="H45" i="7"/>
  <c r="H42" i="7"/>
  <c r="H38" i="7"/>
  <c r="H22" i="8"/>
  <c r="I22" i="8" s="1"/>
  <c r="J22" i="8" s="1"/>
  <c r="L22" i="8" s="1"/>
  <c r="H43" i="8"/>
  <c r="I43" i="8" s="1"/>
  <c r="H39" i="7"/>
  <c r="H36" i="8"/>
  <c r="H41" i="7"/>
  <c r="I41" i="7" s="1"/>
  <c r="J41" i="7" s="1"/>
  <c r="L41" i="7" s="1"/>
  <c r="G23" i="9"/>
  <c r="H23" i="9" s="1"/>
  <c r="H17" i="7"/>
  <c r="J17" i="7" s="1"/>
  <c r="L17" i="7" s="1"/>
  <c r="E19" i="13" s="1"/>
  <c r="AE19" i="13" s="1"/>
  <c r="AE21" i="13" s="1"/>
  <c r="AE76" i="13" s="1"/>
  <c r="AE81" i="13" s="1"/>
  <c r="H16" i="7"/>
  <c r="J16" i="7" s="1"/>
  <c r="L16" i="7" s="1"/>
  <c r="E18" i="13" s="1"/>
  <c r="I18" i="13" s="1"/>
  <c r="I21" i="13" s="1"/>
  <c r="I76" i="13" s="1"/>
  <c r="I81" i="13" s="1"/>
  <c r="E26" i="7"/>
  <c r="E29" i="7" s="1"/>
  <c r="E32" i="7" s="1"/>
  <c r="H25" i="7"/>
  <c r="E62" i="20" l="1"/>
  <c r="E62" i="19"/>
  <c r="E16" i="20"/>
  <c r="H16" i="20" s="1"/>
  <c r="E16" i="19"/>
  <c r="G16" i="19" s="1"/>
  <c r="H45" i="8"/>
  <c r="J45" i="8" s="1"/>
  <c r="J30" i="7"/>
  <c r="L30" i="7" s="1"/>
  <c r="G18" i="8"/>
  <c r="G21" i="8" s="1"/>
  <c r="G23" i="8" s="1"/>
  <c r="H17" i="8"/>
  <c r="J43" i="8"/>
  <c r="J23" i="9"/>
  <c r="G25" i="9"/>
  <c r="H24" i="9"/>
  <c r="J24" i="9" s="1"/>
  <c r="G17" i="9"/>
  <c r="H13" i="9"/>
  <c r="G26" i="7"/>
  <c r="H26" i="7" s="1"/>
  <c r="E21" i="9"/>
  <c r="H20" i="9"/>
  <c r="J31" i="7"/>
  <c r="G18" i="7"/>
  <c r="I45" i="7"/>
  <c r="J45" i="7" s="1"/>
  <c r="L45" i="7" s="1"/>
  <c r="G40" i="7"/>
  <c r="G44" i="7" s="1"/>
  <c r="G46" i="7" s="1"/>
  <c r="H35" i="8"/>
  <c r="H42" i="8" s="1"/>
  <c r="I41" i="8" s="1"/>
  <c r="G42" i="8"/>
  <c r="G46" i="8" s="1"/>
  <c r="H18" i="9"/>
  <c r="I18" i="9" s="1"/>
  <c r="H19" i="9"/>
  <c r="H28" i="8"/>
  <c r="G29" i="8"/>
  <c r="E44" i="7"/>
  <c r="L16" i="19" l="1"/>
  <c r="S16" i="19"/>
  <c r="T16" i="19"/>
  <c r="O16" i="19"/>
  <c r="H16" i="19"/>
  <c r="U16" i="19"/>
  <c r="P16" i="19"/>
  <c r="Q16" i="19"/>
  <c r="I16" i="19"/>
  <c r="K16" i="19"/>
  <c r="N16" i="19"/>
  <c r="M16" i="19"/>
  <c r="R16" i="19"/>
  <c r="J16" i="19"/>
  <c r="U16" i="20"/>
  <c r="L16" i="20"/>
  <c r="M16" i="20"/>
  <c r="Q16" i="20"/>
  <c r="T16" i="20"/>
  <c r="V16" i="20"/>
  <c r="O16" i="20"/>
  <c r="R16" i="20"/>
  <c r="J16" i="20"/>
  <c r="I16" i="20"/>
  <c r="P16" i="20"/>
  <c r="N16" i="20"/>
  <c r="S16" i="20"/>
  <c r="K16" i="20"/>
  <c r="A16" i="20"/>
  <c r="H40" i="7"/>
  <c r="G31" i="8"/>
  <c r="H25" i="9"/>
  <c r="I38" i="8"/>
  <c r="I40" i="8"/>
  <c r="J18" i="9"/>
  <c r="H18" i="8"/>
  <c r="H21" i="8" s="1"/>
  <c r="I35" i="8"/>
  <c r="H46" i="8"/>
  <c r="I39" i="8"/>
  <c r="I37" i="8"/>
  <c r="H29" i="8"/>
  <c r="J20" i="9"/>
  <c r="H17" i="9"/>
  <c r="L43" i="8"/>
  <c r="J41" i="8"/>
  <c r="K24" i="9"/>
  <c r="J25" i="9"/>
  <c r="H44" i="7"/>
  <c r="E46" i="7"/>
  <c r="G29" i="7"/>
  <c r="J19" i="9"/>
  <c r="G21" i="9"/>
  <c r="I36" i="8"/>
  <c r="I38" i="7" l="1"/>
  <c r="J38" i="7" s="1"/>
  <c r="J38" i="8"/>
  <c r="J40" i="8"/>
  <c r="I28" i="8"/>
  <c r="J28" i="8" s="1"/>
  <c r="I36" i="7"/>
  <c r="J36" i="7" s="1"/>
  <c r="E48" i="7"/>
  <c r="H21" i="9"/>
  <c r="I16" i="9"/>
  <c r="I15" i="9"/>
  <c r="I14" i="9"/>
  <c r="L18" i="9"/>
  <c r="J36" i="8"/>
  <c r="J39" i="8"/>
  <c r="I15" i="8"/>
  <c r="I16" i="8"/>
  <c r="I20" i="8"/>
  <c r="J20" i="8" s="1"/>
  <c r="H23" i="8"/>
  <c r="H31" i="8" s="1"/>
  <c r="I27" i="8"/>
  <c r="I19" i="8"/>
  <c r="J35" i="8"/>
  <c r="I42" i="8"/>
  <c r="I37" i="7"/>
  <c r="I42" i="7"/>
  <c r="H46" i="7"/>
  <c r="I43" i="7"/>
  <c r="J37" i="8"/>
  <c r="I17" i="8"/>
  <c r="G32" i="7"/>
  <c r="G48" i="7" s="1"/>
  <c r="H29" i="7"/>
  <c r="K25" i="9"/>
  <c r="L24" i="9"/>
  <c r="L25" i="9" s="1"/>
  <c r="I13" i="9"/>
  <c r="I39" i="7"/>
  <c r="I40" i="7" l="1"/>
  <c r="I44" i="7" s="1"/>
  <c r="I46" i="7" s="1"/>
  <c r="J42" i="7"/>
  <c r="J27" i="8"/>
  <c r="I29" i="8"/>
  <c r="J15" i="8"/>
  <c r="I18" i="8"/>
  <c r="J16" i="9"/>
  <c r="J39" i="7"/>
  <c r="I25" i="7"/>
  <c r="I28" i="7"/>
  <c r="H32" i="7"/>
  <c r="H48" i="7" s="1"/>
  <c r="I24" i="7"/>
  <c r="J37" i="7"/>
  <c r="I17" i="9"/>
  <c r="J13" i="9"/>
  <c r="J43" i="7"/>
  <c r="I46" i="8"/>
  <c r="J14" i="9"/>
  <c r="J17" i="8"/>
  <c r="J42" i="8"/>
  <c r="J46" i="8" s="1"/>
  <c r="J19" i="8"/>
  <c r="J16" i="8"/>
  <c r="J15" i="9"/>
  <c r="G27" i="9"/>
  <c r="G31" i="9" s="1"/>
  <c r="J40" i="7" l="1"/>
  <c r="J44" i="7" s="1"/>
  <c r="J46" i="7" s="1"/>
  <c r="J25" i="7"/>
  <c r="J18" i="8"/>
  <c r="J21" i="8" s="1"/>
  <c r="J23" i="8" s="1"/>
  <c r="I21" i="9"/>
  <c r="J24" i="7"/>
  <c r="I26" i="7"/>
  <c r="J17" i="9"/>
  <c r="J21" i="9" s="1"/>
  <c r="J28" i="7"/>
  <c r="I21" i="8"/>
  <c r="J29" i="8"/>
  <c r="J31" i="8" l="1"/>
  <c r="I29" i="7"/>
  <c r="J26" i="7"/>
  <c r="I23" i="8"/>
  <c r="I31" i="8" s="1"/>
  <c r="I31" i="9"/>
  <c r="J29" i="7" l="1"/>
  <c r="J32" i="7" s="1"/>
  <c r="I32" i="7"/>
  <c r="I48" i="7" s="1"/>
  <c r="J48" i="7" l="1"/>
  <c r="F32" i="6" l="1"/>
  <c r="F34" i="6" s="1"/>
  <c r="H14" i="7" l="1"/>
  <c r="J14" i="7" s="1"/>
  <c r="L14" i="7" s="1"/>
  <c r="E16" i="13" s="1"/>
  <c r="P16" i="13" l="1"/>
  <c r="P21" i="13" s="1"/>
  <c r="P76" i="13" s="1"/>
  <c r="P81" i="13" s="1"/>
  <c r="O16" i="13"/>
  <c r="O21" i="13" s="1"/>
  <c r="O76" i="13" s="1"/>
  <c r="O81" i="13" s="1"/>
  <c r="N16" i="13"/>
  <c r="N21" i="13" s="1"/>
  <c r="N76" i="13" s="1"/>
  <c r="N81" i="13" s="1"/>
  <c r="E34" i="19" l="1"/>
  <c r="E34" i="20"/>
  <c r="E36" i="20"/>
  <c r="E36" i="19"/>
  <c r="E35" i="19"/>
  <c r="E35" i="20"/>
  <c r="H13" i="7"/>
  <c r="E18" i="7"/>
  <c r="E27" i="9" s="1"/>
  <c r="E31" i="9" s="1"/>
  <c r="E38" i="20" l="1"/>
  <c r="E38" i="19"/>
  <c r="J13" i="7"/>
  <c r="H18" i="7"/>
  <c r="H27" i="9" s="1"/>
  <c r="H31" i="9" s="1"/>
  <c r="L13" i="7" l="1"/>
  <c r="J18" i="7"/>
  <c r="J27" i="9" l="1"/>
  <c r="J31" i="9" l="1"/>
  <c r="E54" i="2"/>
  <c r="K31" i="7" l="1"/>
  <c r="K35" i="8"/>
  <c r="K28" i="7"/>
  <c r="K45" i="8"/>
  <c r="K27" i="8"/>
  <c r="K15" i="8"/>
  <c r="K20" i="8"/>
  <c r="L20" i="8" s="1"/>
  <c r="E45" i="13" s="1"/>
  <c r="K25" i="7"/>
  <c r="K44" i="8"/>
  <c r="K13" i="9"/>
  <c r="K28" i="8"/>
  <c r="K20" i="9"/>
  <c r="K19" i="8"/>
  <c r="K41" i="8"/>
  <c r="K15" i="9"/>
  <c r="K19" i="9"/>
  <c r="K36" i="7"/>
  <c r="K14" i="9"/>
  <c r="K39" i="8"/>
  <c r="K38" i="7"/>
  <c r="K39" i="7"/>
  <c r="K40" i="8"/>
  <c r="K37" i="7"/>
  <c r="K17" i="8"/>
  <c r="K36" i="8"/>
  <c r="K16" i="9"/>
  <c r="K43" i="7"/>
  <c r="K16" i="8"/>
  <c r="K37" i="8"/>
  <c r="K38" i="8"/>
  <c r="K42" i="7"/>
  <c r="K24" i="7"/>
  <c r="K15" i="7"/>
  <c r="AF45" i="13" l="1"/>
  <c r="L38" i="8"/>
  <c r="E56" i="13" s="1"/>
  <c r="L16" i="9"/>
  <c r="E70" i="13" s="1"/>
  <c r="AF70" i="13" s="1"/>
  <c r="L40" i="8"/>
  <c r="E58" i="13" s="1"/>
  <c r="F58" i="13" s="1"/>
  <c r="L14" i="9"/>
  <c r="E68" i="13" s="1"/>
  <c r="AF68" i="13" s="1"/>
  <c r="L41" i="8"/>
  <c r="E59" i="13" s="1"/>
  <c r="AD59" i="13" s="1"/>
  <c r="L13" i="9"/>
  <c r="E67" i="13" s="1"/>
  <c r="K17" i="9"/>
  <c r="K18" i="8"/>
  <c r="L15" i="8"/>
  <c r="L35" i="8"/>
  <c r="E53" i="13" s="1"/>
  <c r="K42" i="8"/>
  <c r="K18" i="7"/>
  <c r="L15" i="7"/>
  <c r="E17" i="13" s="1"/>
  <c r="L37" i="8"/>
  <c r="E55" i="13" s="1"/>
  <c r="AC55" i="13" s="1"/>
  <c r="L36" i="8"/>
  <c r="E54" i="13" s="1"/>
  <c r="AC54" i="13" s="1"/>
  <c r="AC63" i="13" s="1"/>
  <c r="L39" i="7"/>
  <c r="E34" i="13" s="1"/>
  <c r="L36" i="7"/>
  <c r="E31" i="13" s="1"/>
  <c r="K40" i="7"/>
  <c r="L19" i="8"/>
  <c r="E44" i="13" s="1"/>
  <c r="AF44" i="13" s="1"/>
  <c r="L44" i="8"/>
  <c r="E60" i="13" s="1"/>
  <c r="W60" i="13" s="1"/>
  <c r="K29" i="8"/>
  <c r="L27" i="8"/>
  <c r="L31" i="7"/>
  <c r="E28" i="13" s="1"/>
  <c r="L24" i="7"/>
  <c r="E25" i="13" s="1"/>
  <c r="L16" i="8"/>
  <c r="L17" i="8"/>
  <c r="E43" i="13" s="1"/>
  <c r="AF43" i="13" s="1"/>
  <c r="L38" i="7"/>
  <c r="E33" i="13" s="1"/>
  <c r="X33" i="13" s="1"/>
  <c r="L19" i="9"/>
  <c r="E71" i="13" s="1"/>
  <c r="AC71" i="13" s="1"/>
  <c r="L20" i="9"/>
  <c r="E72" i="13" s="1"/>
  <c r="L25" i="7"/>
  <c r="E26" i="13" s="1"/>
  <c r="K26" i="7"/>
  <c r="L45" i="8"/>
  <c r="E61" i="13" s="1"/>
  <c r="W61" i="13" s="1"/>
  <c r="L42" i="7"/>
  <c r="L43" i="7"/>
  <c r="E36" i="13" s="1"/>
  <c r="L37" i="7"/>
  <c r="E32" i="13" s="1"/>
  <c r="Y32" i="13" s="1"/>
  <c r="Y38" i="13" s="1"/>
  <c r="Y76" i="13" s="1"/>
  <c r="Y81" i="13" s="1"/>
  <c r="L39" i="8"/>
  <c r="E57" i="13" s="1"/>
  <c r="L15" i="9"/>
  <c r="E69" i="13" s="1"/>
  <c r="AG69" i="13" s="1"/>
  <c r="AG74" i="13" s="1"/>
  <c r="L28" i="8"/>
  <c r="E48" i="13" s="1"/>
  <c r="Z48" i="13" s="1"/>
  <c r="Z50" i="13" s="1"/>
  <c r="L28" i="7"/>
  <c r="E27" i="13" s="1"/>
  <c r="E50" i="19" l="1"/>
  <c r="G50" i="19" s="1"/>
  <c r="E50" i="20"/>
  <c r="H50" i="20" s="1"/>
  <c r="A50" i="20" s="1"/>
  <c r="AG25" i="13"/>
  <c r="T31" i="13"/>
  <c r="R31" i="13"/>
  <c r="Q31" i="13"/>
  <c r="S31" i="13"/>
  <c r="R26" i="13"/>
  <c r="S26" i="13"/>
  <c r="Q26" i="13"/>
  <c r="T26" i="13"/>
  <c r="AF67" i="13"/>
  <c r="AF74" i="13" s="1"/>
  <c r="E74" i="13"/>
  <c r="E35" i="13"/>
  <c r="R21" i="13"/>
  <c r="Q21" i="13"/>
  <c r="E21" i="13"/>
  <c r="AD63" i="13"/>
  <c r="AD76" i="13" s="1"/>
  <c r="AD81" i="13" s="1"/>
  <c r="E61" i="20"/>
  <c r="E61" i="19"/>
  <c r="R63" i="13"/>
  <c r="Q63" i="13"/>
  <c r="E49" i="19"/>
  <c r="G49" i="19" s="1"/>
  <c r="E49" i="20"/>
  <c r="H49" i="20" s="1"/>
  <c r="A49" i="20" s="1"/>
  <c r="W63" i="13"/>
  <c r="W76" i="13" s="1"/>
  <c r="W81" i="13" s="1"/>
  <c r="R27" i="13"/>
  <c r="S27" i="13"/>
  <c r="AA27" i="13"/>
  <c r="Q27" i="13"/>
  <c r="T27" i="13"/>
  <c r="E57" i="19"/>
  <c r="E57" i="20"/>
  <c r="AF50" i="13"/>
  <c r="E60" i="20"/>
  <c r="E60" i="19"/>
  <c r="AC74" i="13"/>
  <c r="AC76" i="13" s="1"/>
  <c r="AC81" i="13" s="1"/>
  <c r="E66" i="19"/>
  <c r="G66" i="19" s="1"/>
  <c r="E66" i="20"/>
  <c r="H66" i="20" s="1"/>
  <c r="X38" i="13"/>
  <c r="X76" i="13" s="1"/>
  <c r="X81" i="13" s="1"/>
  <c r="AB38" i="13"/>
  <c r="AB76" i="13" s="1"/>
  <c r="AB81" i="13" s="1"/>
  <c r="AF38" i="13"/>
  <c r="U38" i="13"/>
  <c r="U76" i="13" s="1"/>
  <c r="U81" i="13" s="1"/>
  <c r="Z38" i="13"/>
  <c r="Z76" i="13" s="1"/>
  <c r="Z81" i="13" s="1"/>
  <c r="F53" i="13"/>
  <c r="F63" i="13" s="1"/>
  <c r="F76" i="13" s="1"/>
  <c r="F81" i="13" s="1"/>
  <c r="E63" i="13"/>
  <c r="E50" i="13"/>
  <c r="L18" i="7"/>
  <c r="L29" i="8"/>
  <c r="L40" i="7"/>
  <c r="L44" i="7" s="1"/>
  <c r="L46" i="7" s="1"/>
  <c r="L18" i="8"/>
  <c r="L21" i="8" s="1"/>
  <c r="L23" i="8" s="1"/>
  <c r="K46" i="8"/>
  <c r="K29" i="7"/>
  <c r="L26" i="7"/>
  <c r="K21" i="8"/>
  <c r="L17" i="9"/>
  <c r="L21" i="9" s="1"/>
  <c r="K44" i="7"/>
  <c r="L42" i="8"/>
  <c r="L46" i="8" s="1"/>
  <c r="K21" i="9"/>
  <c r="AF76" i="13" l="1"/>
  <c r="AF81" i="13" s="1"/>
  <c r="E58" i="20"/>
  <c r="E58" i="19"/>
  <c r="E64" i="20"/>
  <c r="E64" i="19"/>
  <c r="S38" i="13"/>
  <c r="S76" i="13" s="1"/>
  <c r="S81" i="13" s="1"/>
  <c r="E59" i="20"/>
  <c r="E59" i="19"/>
  <c r="T38" i="13"/>
  <c r="T76" i="13" s="1"/>
  <c r="T81" i="13" s="1"/>
  <c r="AA38" i="13"/>
  <c r="AA76" i="13" s="1"/>
  <c r="AA81" i="13" s="1"/>
  <c r="R38" i="13"/>
  <c r="R76" i="13" s="1"/>
  <c r="R81" i="13" s="1"/>
  <c r="E38" i="13"/>
  <c r="E76" i="13" s="1"/>
  <c r="E81" i="13" s="1"/>
  <c r="E56" i="19"/>
  <c r="E56" i="20"/>
  <c r="AG38" i="13"/>
  <c r="AG76" i="13" s="1"/>
  <c r="AG81" i="13" s="1"/>
  <c r="U65" i="20"/>
  <c r="H65" i="19"/>
  <c r="S65" i="20"/>
  <c r="O65" i="19"/>
  <c r="N65" i="19"/>
  <c r="N65" i="20"/>
  <c r="O65" i="20"/>
  <c r="T65" i="19"/>
  <c r="K65" i="19"/>
  <c r="V65" i="20"/>
  <c r="Q65" i="19"/>
  <c r="I65" i="19"/>
  <c r="Q65" i="20"/>
  <c r="L65" i="20"/>
  <c r="U65" i="19"/>
  <c r="R65" i="20"/>
  <c r="J65" i="20"/>
  <c r="P65" i="20"/>
  <c r="P65" i="19"/>
  <c r="J65" i="19"/>
  <c r="M65" i="20"/>
  <c r="K65" i="20"/>
  <c r="L65" i="19"/>
  <c r="S65" i="19"/>
  <c r="M65" i="19"/>
  <c r="I65" i="20"/>
  <c r="T65" i="20"/>
  <c r="R65" i="19"/>
  <c r="Q66" i="20"/>
  <c r="M66" i="20"/>
  <c r="J66" i="20"/>
  <c r="P66" i="20"/>
  <c r="O66" i="20"/>
  <c r="T66" i="20"/>
  <c r="L66" i="20"/>
  <c r="K66" i="20"/>
  <c r="A66" i="20" s="1"/>
  <c r="U66" i="20"/>
  <c r="V66" i="20"/>
  <c r="R66" i="20"/>
  <c r="I66" i="20"/>
  <c r="S66" i="20"/>
  <c r="N66" i="20"/>
  <c r="Q38" i="13"/>
  <c r="Q76" i="13" s="1"/>
  <c r="Q81" i="13" s="1"/>
  <c r="E46" i="19"/>
  <c r="E46" i="20"/>
  <c r="S66" i="19"/>
  <c r="O66" i="19"/>
  <c r="R66" i="19"/>
  <c r="K66" i="19"/>
  <c r="J66" i="19"/>
  <c r="T66" i="19"/>
  <c r="N66" i="19"/>
  <c r="U66" i="19"/>
  <c r="Q66" i="19"/>
  <c r="I66" i="19"/>
  <c r="H66" i="19"/>
  <c r="P66" i="19"/>
  <c r="L66" i="19"/>
  <c r="M66" i="19"/>
  <c r="L31" i="8"/>
  <c r="K23" i="8"/>
  <c r="K32" i="7"/>
  <c r="L29" i="7"/>
  <c r="L32" i="7" s="1"/>
  <c r="L48" i="7" s="1"/>
  <c r="K46" i="7"/>
  <c r="E45" i="19" l="1"/>
  <c r="E45" i="20"/>
  <c r="V74" i="13"/>
  <c r="V76" i="13" s="1"/>
  <c r="V81" i="13" s="1"/>
  <c r="E42" i="19"/>
  <c r="E42" i="20"/>
  <c r="E43" i="20"/>
  <c r="E43" i="19"/>
  <c r="E44" i="20"/>
  <c r="E44" i="19"/>
  <c r="E48" i="19"/>
  <c r="E48" i="20"/>
  <c r="E65" i="19"/>
  <c r="E65" i="20"/>
  <c r="E63" i="19"/>
  <c r="E71" i="19" s="1"/>
  <c r="E63" i="20"/>
  <c r="K27" i="9"/>
  <c r="K31" i="9" s="1"/>
  <c r="L27" i="9"/>
  <c r="K48" i="7"/>
  <c r="K31" i="8"/>
  <c r="E52" i="20" l="1"/>
  <c r="E47" i="20"/>
  <c r="H47" i="20" s="1"/>
  <c r="E47" i="19"/>
  <c r="G47" i="19" s="1"/>
  <c r="J74" i="13"/>
  <c r="J76" i="13" s="1"/>
  <c r="J81" i="13" s="1"/>
  <c r="E52" i="19"/>
  <c r="E81" i="19" s="1"/>
  <c r="E71" i="20"/>
  <c r="L31" i="9"/>
  <c r="E15" i="19" l="1"/>
  <c r="E15" i="20"/>
  <c r="E81" i="20"/>
  <c r="A47" i="20"/>
  <c r="O32" i="6"/>
  <c r="O34" i="6" s="1"/>
  <c r="P45" i="1" s="1"/>
  <c r="P46" i="1" s="1"/>
  <c r="P48" i="1" s="1"/>
  <c r="E30" i="11" s="1"/>
  <c r="AB30" i="11" s="1"/>
  <c r="N32" i="6"/>
  <c r="N34" i="6" s="1"/>
  <c r="O45" i="1" s="1"/>
  <c r="O46" i="1" s="1"/>
  <c r="O48" i="1" s="1"/>
  <c r="E29" i="11" s="1"/>
  <c r="F29" i="12" s="1"/>
  <c r="L32" i="6"/>
  <c r="L34" i="6" s="1"/>
  <c r="K45" i="1" s="1"/>
  <c r="K46" i="1" s="1"/>
  <c r="K48" i="1" s="1"/>
  <c r="E27" i="11" s="1"/>
  <c r="V27" i="11" s="1"/>
  <c r="V34" i="11" s="1"/>
  <c r="P32" i="6"/>
  <c r="P34" i="6" s="1"/>
  <c r="Q45" i="1" s="1"/>
  <c r="Q46" i="1" s="1"/>
  <c r="Q48" i="1" s="1"/>
  <c r="E36" i="11" s="1"/>
  <c r="K32" i="6"/>
  <c r="K34" i="6" s="1"/>
  <c r="J45" i="1" s="1"/>
  <c r="J46" i="1" s="1"/>
  <c r="J48" i="1" s="1"/>
  <c r="E21" i="11" s="1"/>
  <c r="J32" i="6"/>
  <c r="J34" i="6" s="1"/>
  <c r="I45" i="1" s="1"/>
  <c r="I46" i="1" s="1"/>
  <c r="I48" i="1" s="1"/>
  <c r="E25" i="11" s="1"/>
  <c r="U25" i="11" s="1"/>
  <c r="U34" i="11" s="1"/>
  <c r="M32" i="6"/>
  <c r="M34" i="6" s="1"/>
  <c r="L45" i="1" s="1"/>
  <c r="L46" i="1" s="1"/>
  <c r="L48" i="1" s="1"/>
  <c r="E20" i="11" s="1"/>
  <c r="I32" i="6"/>
  <c r="I34" i="6" s="1"/>
  <c r="H45" i="1" s="1"/>
  <c r="H46" i="1" s="1"/>
  <c r="H48" i="1" s="1"/>
  <c r="E16" i="11" s="1"/>
  <c r="H15" i="20" l="1"/>
  <c r="A15" i="20" s="1"/>
  <c r="E18" i="20"/>
  <c r="E83" i="20" s="1"/>
  <c r="G15" i="19"/>
  <c r="E18" i="19"/>
  <c r="E83" i="19" s="1"/>
  <c r="O20" i="11"/>
  <c r="P20" i="11"/>
  <c r="Q20" i="11"/>
  <c r="W20" i="11"/>
  <c r="W34" i="11" s="1"/>
  <c r="R20" i="11"/>
  <c r="O21" i="11"/>
  <c r="Q21" i="11"/>
  <c r="P21" i="11"/>
  <c r="R21" i="11"/>
  <c r="AE36" i="11"/>
  <c r="AE41" i="11" s="1"/>
  <c r="AF36" i="11"/>
  <c r="AF41" i="11" s="1"/>
  <c r="F32" i="12"/>
  <c r="L16" i="11"/>
  <c r="L34" i="11" s="1"/>
  <c r="M16" i="11"/>
  <c r="M34" i="11" s="1"/>
  <c r="N16" i="11"/>
  <c r="N34" i="11" s="1"/>
  <c r="H32" i="6"/>
  <c r="E62" i="17" l="1"/>
  <c r="E62" i="18"/>
  <c r="H34" i="6"/>
  <c r="F62" i="17" l="1"/>
  <c r="J62" i="17"/>
  <c r="I62" i="17"/>
  <c r="H62" i="17"/>
  <c r="P62" i="17"/>
  <c r="O62" i="17"/>
  <c r="M62" i="17"/>
  <c r="G62" i="17"/>
  <c r="N62" i="17"/>
  <c r="K62" i="17"/>
  <c r="R62" i="17"/>
  <c r="L62" i="17"/>
  <c r="Q62" i="17"/>
  <c r="G45" i="1"/>
  <c r="G46" i="1" l="1"/>
  <c r="E45" i="1"/>
  <c r="E46" i="1" s="1"/>
  <c r="E48" i="1" s="1"/>
  <c r="G48" i="1" l="1"/>
  <c r="E15" i="11" s="1"/>
  <c r="E34" i="11" l="1"/>
  <c r="G35" i="10" s="1"/>
  <c r="S15" i="11"/>
  <c r="S34" i="11" s="1"/>
  <c r="J15" i="12" l="1"/>
  <c r="J32" i="12" s="1"/>
  <c r="H15" i="11"/>
  <c r="H34" i="11" s="1"/>
  <c r="F36" i="11"/>
  <c r="F41" i="11" s="1"/>
  <c r="F34" i="12"/>
  <c r="K35" i="10"/>
  <c r="L35" i="10"/>
  <c r="H35" i="10"/>
  <c r="U35" i="10"/>
  <c r="AB35" i="10"/>
  <c r="Y35" i="10"/>
  <c r="Z35" i="10"/>
  <c r="E41" i="11"/>
  <c r="J35" i="10"/>
  <c r="AD35" i="10"/>
  <c r="AA35" i="10"/>
  <c r="AE35" i="10"/>
  <c r="V35" i="10"/>
  <c r="W35" i="10"/>
  <c r="X35" i="10"/>
  <c r="S29" i="10"/>
  <c r="R29" i="11" s="1"/>
  <c r="N35" i="10"/>
  <c r="O35" i="10"/>
  <c r="M35" i="10"/>
  <c r="H15" i="12" l="1"/>
  <c r="H32" i="12" s="1"/>
  <c r="L36" i="11"/>
  <c r="L41" i="11" s="1"/>
  <c r="N34" i="12"/>
  <c r="N39" i="12" s="1"/>
  <c r="K36" i="11"/>
  <c r="K41" i="11" s="1"/>
  <c r="K34" i="12"/>
  <c r="K39" i="12" s="1"/>
  <c r="M36" i="11"/>
  <c r="M41" i="11" s="1"/>
  <c r="O34" i="12"/>
  <c r="O39" i="12" s="1"/>
  <c r="I36" i="11"/>
  <c r="I41" i="11" s="1"/>
  <c r="I34" i="12"/>
  <c r="I39" i="12" s="1"/>
  <c r="J36" i="11"/>
  <c r="J41" i="11" s="1"/>
  <c r="J34" i="12"/>
  <c r="J39" i="12" s="1"/>
  <c r="R34" i="11"/>
  <c r="T29" i="12"/>
  <c r="T32" i="12" s="1"/>
  <c r="Z36" i="11"/>
  <c r="Z41" i="11" s="1"/>
  <c r="AB34" i="12"/>
  <c r="AB39" i="12" s="1"/>
  <c r="N36" i="11"/>
  <c r="N41" i="11" s="1"/>
  <c r="P34" i="12"/>
  <c r="P39" i="12" s="1"/>
  <c r="Y36" i="11"/>
  <c r="Y41" i="11" s="1"/>
  <c r="AA34" i="12"/>
  <c r="AA39" i="12" s="1"/>
  <c r="V36" i="11"/>
  <c r="V41" i="11" s="1"/>
  <c r="X34" i="12"/>
  <c r="X39" i="12" s="1"/>
  <c r="X36" i="11"/>
  <c r="X41" i="11" s="1"/>
  <c r="Z34" i="12"/>
  <c r="Z39" i="12" s="1"/>
  <c r="AC36" i="11"/>
  <c r="AC41" i="11" s="1"/>
  <c r="AE34" i="12"/>
  <c r="AE39" i="12" s="1"/>
  <c r="U36" i="11"/>
  <c r="U41" i="11" s="1"/>
  <c r="W34" i="12"/>
  <c r="W39" i="12" s="1"/>
  <c r="AA36" i="11"/>
  <c r="AA41" i="11" s="1"/>
  <c r="AC34" i="12"/>
  <c r="AC39" i="12" s="1"/>
  <c r="J64" i="20"/>
  <c r="N64" i="20"/>
  <c r="K64" i="20"/>
  <c r="H64" i="19"/>
  <c r="J64" i="19"/>
  <c r="I64" i="19"/>
  <c r="L64" i="19"/>
  <c r="M64" i="19"/>
  <c r="M64" i="20"/>
  <c r="I64" i="20"/>
  <c r="F39" i="12"/>
  <c r="G36" i="11"/>
  <c r="G41" i="11" s="1"/>
  <c r="G34" i="12"/>
  <c r="G39" i="12" s="1"/>
  <c r="W36" i="11"/>
  <c r="W41" i="11" s="1"/>
  <c r="Y34" i="12"/>
  <c r="Y39" i="12" s="1"/>
  <c r="AD36" i="11"/>
  <c r="AD41" i="11" s="1"/>
  <c r="AF34" i="12"/>
  <c r="AF39" i="12" s="1"/>
  <c r="T36" i="11"/>
  <c r="T41" i="11" s="1"/>
  <c r="V34" i="12"/>
  <c r="V39" i="12" s="1"/>
  <c r="E60" i="17"/>
  <c r="E60" i="18"/>
  <c r="Q29" i="10"/>
  <c r="P29" i="11" s="1"/>
  <c r="P29" i="10"/>
  <c r="O29" i="11" s="1"/>
  <c r="Q29" i="12" s="1"/>
  <c r="Q32" i="12" s="1"/>
  <c r="R29" i="10"/>
  <c r="Q29" i="11" s="1"/>
  <c r="E21" i="17" l="1"/>
  <c r="E21" i="18"/>
  <c r="G68" i="20"/>
  <c r="H68" i="20" s="1"/>
  <c r="F68" i="19"/>
  <c r="G68" i="19" s="1"/>
  <c r="E55" i="17"/>
  <c r="E55" i="18"/>
  <c r="E57" i="18"/>
  <c r="E57" i="17"/>
  <c r="F35" i="19"/>
  <c r="G35" i="19" s="1"/>
  <c r="G35" i="20"/>
  <c r="H35" i="20" s="1"/>
  <c r="G56" i="20"/>
  <c r="F56" i="19"/>
  <c r="E61" i="17"/>
  <c r="E61" i="18"/>
  <c r="G61" i="20"/>
  <c r="H61" i="20" s="1"/>
  <c r="F61" i="19"/>
  <c r="G61" i="19" s="1"/>
  <c r="Q34" i="11"/>
  <c r="R35" i="10" s="1"/>
  <c r="S29" i="12"/>
  <c r="S32" i="12" s="1"/>
  <c r="E70" i="17"/>
  <c r="E70" i="18"/>
  <c r="G62" i="20"/>
  <c r="H62" i="20" s="1"/>
  <c r="F62" i="19"/>
  <c r="G62" i="19" s="1"/>
  <c r="F58" i="19"/>
  <c r="G58" i="19" s="1"/>
  <c r="G58" i="20"/>
  <c r="H58" i="20" s="1"/>
  <c r="E34" i="17"/>
  <c r="E34" i="18"/>
  <c r="F48" i="19"/>
  <c r="G48" i="19" s="1"/>
  <c r="G48" i="20"/>
  <c r="H48" i="20" s="1"/>
  <c r="E58" i="18"/>
  <c r="E58" i="17"/>
  <c r="E54" i="18"/>
  <c r="E54" i="17"/>
  <c r="G26" i="20"/>
  <c r="H26" i="20" s="1"/>
  <c r="F26" i="19"/>
  <c r="G26" i="19" s="1"/>
  <c r="G64" i="20"/>
  <c r="H64" i="20" s="1"/>
  <c r="A64" i="20" s="1"/>
  <c r="F64" i="19"/>
  <c r="G64" i="19" s="1"/>
  <c r="G22" i="20"/>
  <c r="F22" i="19"/>
  <c r="E46" i="18"/>
  <c r="E46" i="17"/>
  <c r="F57" i="19"/>
  <c r="G57" i="19" s="1"/>
  <c r="G57" i="20"/>
  <c r="H57" i="20" s="1"/>
  <c r="G60" i="20"/>
  <c r="H60" i="20" s="1"/>
  <c r="F60" i="19"/>
  <c r="G60" i="19" s="1"/>
  <c r="E23" i="18"/>
  <c r="E23" i="17"/>
  <c r="P34" i="11"/>
  <c r="Q35" i="10" s="1"/>
  <c r="R29" i="12"/>
  <c r="R32" i="12" s="1"/>
  <c r="E53" i="17"/>
  <c r="E53" i="18"/>
  <c r="E56" i="17"/>
  <c r="E56" i="18"/>
  <c r="F23" i="19"/>
  <c r="G23" i="19" s="1"/>
  <c r="G23" i="20"/>
  <c r="H23" i="20" s="1"/>
  <c r="F34" i="19"/>
  <c r="G34" i="20"/>
  <c r="E35" i="18"/>
  <c r="E35" i="17"/>
  <c r="E52" i="17"/>
  <c r="E52" i="18"/>
  <c r="G59" i="20"/>
  <c r="H59" i="20" s="1"/>
  <c r="F59" i="19"/>
  <c r="G59" i="19" s="1"/>
  <c r="F60" i="17"/>
  <c r="G60" i="17"/>
  <c r="E15" i="17"/>
  <c r="E15" i="18"/>
  <c r="G65" i="20"/>
  <c r="H65" i="20" s="1"/>
  <c r="A65" i="20" s="1"/>
  <c r="F65" i="19"/>
  <c r="G65" i="19" s="1"/>
  <c r="E22" i="18"/>
  <c r="E22" i="17"/>
  <c r="E33" i="18"/>
  <c r="E33" i="17"/>
  <c r="O34" i="11"/>
  <c r="AB29" i="11"/>
  <c r="S35" i="10"/>
  <c r="K23" i="20" l="1"/>
  <c r="P23" i="20"/>
  <c r="S23" i="20"/>
  <c r="O23" i="20"/>
  <c r="I23" i="20"/>
  <c r="L23" i="20"/>
  <c r="R23" i="20"/>
  <c r="U23" i="20"/>
  <c r="J23" i="20"/>
  <c r="T23" i="20"/>
  <c r="N23" i="20"/>
  <c r="M23" i="20"/>
  <c r="Q23" i="20"/>
  <c r="V23" i="20"/>
  <c r="L58" i="20"/>
  <c r="J58" i="20"/>
  <c r="K58" i="20"/>
  <c r="P58" i="20"/>
  <c r="R58" i="20"/>
  <c r="S58" i="20"/>
  <c r="Q58" i="20"/>
  <c r="O58" i="20"/>
  <c r="I58" i="20"/>
  <c r="T58" i="20"/>
  <c r="V58" i="20"/>
  <c r="M58" i="20"/>
  <c r="N58" i="20"/>
  <c r="U58" i="20"/>
  <c r="J23" i="19"/>
  <c r="R23" i="19"/>
  <c r="O23" i="19"/>
  <c r="K23" i="19"/>
  <c r="P23" i="19"/>
  <c r="L23" i="19"/>
  <c r="N23" i="19"/>
  <c r="T23" i="19"/>
  <c r="H23" i="19"/>
  <c r="I23" i="19"/>
  <c r="Q23" i="19"/>
  <c r="S23" i="19"/>
  <c r="M23" i="19"/>
  <c r="U23" i="19"/>
  <c r="K58" i="19"/>
  <c r="U58" i="19"/>
  <c r="R58" i="19"/>
  <c r="N58" i="19"/>
  <c r="O58" i="19"/>
  <c r="P58" i="19"/>
  <c r="L58" i="19"/>
  <c r="I58" i="19"/>
  <c r="T58" i="19"/>
  <c r="M58" i="19"/>
  <c r="H58" i="19"/>
  <c r="J58" i="19"/>
  <c r="S58" i="19"/>
  <c r="Q58" i="19"/>
  <c r="O60" i="19"/>
  <c r="J60" i="19"/>
  <c r="N60" i="19"/>
  <c r="R60" i="19"/>
  <c r="K60" i="19"/>
  <c r="H60" i="19"/>
  <c r="L60" i="19"/>
  <c r="P60" i="19"/>
  <c r="T60" i="19"/>
  <c r="Q60" i="19"/>
  <c r="I60" i="19"/>
  <c r="S60" i="19"/>
  <c r="M60" i="19"/>
  <c r="U60" i="19"/>
  <c r="K62" i="19"/>
  <c r="P62" i="19"/>
  <c r="L62" i="19"/>
  <c r="I62" i="19"/>
  <c r="T62" i="19"/>
  <c r="Q62" i="19"/>
  <c r="U62" i="19"/>
  <c r="R62" i="19"/>
  <c r="N62" i="19"/>
  <c r="H62" i="19"/>
  <c r="J62" i="19"/>
  <c r="O62" i="19"/>
  <c r="S62" i="19"/>
  <c r="M62" i="19"/>
  <c r="G22" i="19"/>
  <c r="F28" i="19"/>
  <c r="R61" i="19"/>
  <c r="N61" i="19"/>
  <c r="K61" i="19"/>
  <c r="L61" i="19"/>
  <c r="J61" i="19"/>
  <c r="O61" i="19"/>
  <c r="S61" i="19"/>
  <c r="H61" i="19"/>
  <c r="P61" i="19"/>
  <c r="T61" i="19"/>
  <c r="U61" i="19"/>
  <c r="I61" i="19"/>
  <c r="M61" i="19"/>
  <c r="Q61" i="19"/>
  <c r="R36" i="11"/>
  <c r="R41" i="11" s="1"/>
  <c r="T34" i="12"/>
  <c r="T39" i="12" s="1"/>
  <c r="H22" i="20"/>
  <c r="G28" i="20"/>
  <c r="L58" i="17"/>
  <c r="M58" i="17"/>
  <c r="F58" i="17"/>
  <c r="N58" i="17"/>
  <c r="G58" i="17"/>
  <c r="O58" i="17"/>
  <c r="H58" i="17"/>
  <c r="P58" i="17"/>
  <c r="I58" i="17"/>
  <c r="Q58" i="17"/>
  <c r="J58" i="17"/>
  <c r="K58" i="17"/>
  <c r="R58" i="17"/>
  <c r="I61" i="20"/>
  <c r="M61" i="20"/>
  <c r="O61" i="20"/>
  <c r="U61" i="20"/>
  <c r="N61" i="20"/>
  <c r="K61" i="20"/>
  <c r="P61" i="20"/>
  <c r="S61" i="20"/>
  <c r="R61" i="20"/>
  <c r="J61" i="20"/>
  <c r="Q61" i="20"/>
  <c r="L61" i="20"/>
  <c r="T61" i="20"/>
  <c r="V61" i="20"/>
  <c r="Q36" i="11"/>
  <c r="Q41" i="11" s="1"/>
  <c r="S34" i="12"/>
  <c r="S39" i="12" s="1"/>
  <c r="AB34" i="11"/>
  <c r="AC35" i="10" s="1"/>
  <c r="AD29" i="12"/>
  <c r="AD32" i="12" s="1"/>
  <c r="H52" i="17"/>
  <c r="G52" i="17"/>
  <c r="J52" i="17"/>
  <c r="M52" i="17"/>
  <c r="O52" i="17"/>
  <c r="P52" i="17"/>
  <c r="R52" i="17"/>
  <c r="L52" i="17"/>
  <c r="N52" i="17"/>
  <c r="I52" i="17"/>
  <c r="F52" i="17"/>
  <c r="Q52" i="17"/>
  <c r="K52" i="17"/>
  <c r="I56" i="17"/>
  <c r="J56" i="17"/>
  <c r="L56" i="17"/>
  <c r="M56" i="17"/>
  <c r="O56" i="17"/>
  <c r="P56" i="17"/>
  <c r="R56" i="17"/>
  <c r="G56" i="17"/>
  <c r="H56" i="17"/>
  <c r="F56" i="17"/>
  <c r="N56" i="17"/>
  <c r="K56" i="17"/>
  <c r="Q56" i="17"/>
  <c r="J60" i="20"/>
  <c r="P60" i="20"/>
  <c r="I60" i="20"/>
  <c r="U60" i="20"/>
  <c r="M60" i="20"/>
  <c r="Q60" i="20"/>
  <c r="S60" i="20"/>
  <c r="R60" i="20"/>
  <c r="N60" i="20"/>
  <c r="V60" i="20"/>
  <c r="T60" i="20"/>
  <c r="O60" i="20"/>
  <c r="L60" i="20"/>
  <c r="K60" i="20"/>
  <c r="I48" i="20"/>
  <c r="M48" i="20"/>
  <c r="U48" i="20"/>
  <c r="J48" i="20"/>
  <c r="N48" i="20"/>
  <c r="K48" i="20"/>
  <c r="O48" i="20"/>
  <c r="P48" i="20"/>
  <c r="S48" i="20"/>
  <c r="L48" i="20"/>
  <c r="Q48" i="20"/>
  <c r="T48" i="20"/>
  <c r="R48" i="20"/>
  <c r="V48" i="20"/>
  <c r="L62" i="20"/>
  <c r="K62" i="20"/>
  <c r="S62" i="20"/>
  <c r="M62" i="20"/>
  <c r="T62" i="20"/>
  <c r="I62" i="20"/>
  <c r="V62" i="20"/>
  <c r="N62" i="20"/>
  <c r="Q62" i="20"/>
  <c r="O62" i="20"/>
  <c r="P62" i="20"/>
  <c r="J62" i="20"/>
  <c r="R62" i="20"/>
  <c r="U62" i="20"/>
  <c r="J61" i="17"/>
  <c r="R61" i="17"/>
  <c r="K61" i="17"/>
  <c r="L61" i="17"/>
  <c r="M61" i="17"/>
  <c r="F61" i="17"/>
  <c r="N61" i="17"/>
  <c r="G61" i="17"/>
  <c r="O61" i="17"/>
  <c r="H61" i="17"/>
  <c r="I61" i="17"/>
  <c r="Q61" i="17"/>
  <c r="P61" i="17"/>
  <c r="F55" i="17"/>
  <c r="M55" i="17"/>
  <c r="K55" i="17"/>
  <c r="L55" i="17"/>
  <c r="R55" i="17"/>
  <c r="O55" i="17"/>
  <c r="J55" i="17"/>
  <c r="G55" i="17"/>
  <c r="N55" i="17"/>
  <c r="Q55" i="17"/>
  <c r="P55" i="17"/>
  <c r="I55" i="17"/>
  <c r="H55" i="17"/>
  <c r="Q59" i="19"/>
  <c r="I59" i="19"/>
  <c r="L59" i="19"/>
  <c r="T59" i="19"/>
  <c r="M59" i="19"/>
  <c r="J59" i="19"/>
  <c r="N59" i="19"/>
  <c r="R59" i="19"/>
  <c r="O59" i="19"/>
  <c r="S59" i="19"/>
  <c r="U59" i="19"/>
  <c r="H59" i="19"/>
  <c r="P59" i="19"/>
  <c r="K59" i="19"/>
  <c r="K57" i="17"/>
  <c r="G57" i="17"/>
  <c r="R57" i="17"/>
  <c r="I57" i="17"/>
  <c r="J57" i="17"/>
  <c r="L57" i="17"/>
  <c r="M57" i="17"/>
  <c r="N57" i="17"/>
  <c r="F57" i="17"/>
  <c r="O57" i="17"/>
  <c r="Q57" i="17"/>
  <c r="P57" i="17"/>
  <c r="H57" i="17"/>
  <c r="I48" i="19"/>
  <c r="R48" i="19"/>
  <c r="O48" i="19"/>
  <c r="K48" i="19"/>
  <c r="H48" i="19"/>
  <c r="S48" i="19"/>
  <c r="P48" i="19"/>
  <c r="T48" i="19"/>
  <c r="M48" i="19"/>
  <c r="J48" i="19"/>
  <c r="L48" i="19"/>
  <c r="U48" i="19"/>
  <c r="Q48" i="19"/>
  <c r="N48" i="19"/>
  <c r="K68" i="19"/>
  <c r="O68" i="19"/>
  <c r="R68" i="19"/>
  <c r="U68" i="19"/>
  <c r="J68" i="19"/>
  <c r="M68" i="19"/>
  <c r="L68" i="19"/>
  <c r="Q68" i="19"/>
  <c r="S68" i="19"/>
  <c r="N68" i="19"/>
  <c r="P68" i="19"/>
  <c r="I68" i="19"/>
  <c r="T68" i="19"/>
  <c r="H68" i="19"/>
  <c r="J33" i="17"/>
  <c r="R33" i="17"/>
  <c r="K33" i="17"/>
  <c r="L33" i="17"/>
  <c r="M33" i="17"/>
  <c r="F33" i="17"/>
  <c r="N33" i="17"/>
  <c r="G33" i="17"/>
  <c r="O33" i="17"/>
  <c r="P33" i="17"/>
  <c r="H33" i="17"/>
  <c r="I33" i="17"/>
  <c r="Q33" i="17"/>
  <c r="E37" i="17"/>
  <c r="F53" i="17"/>
  <c r="N53" i="17"/>
  <c r="G53" i="17"/>
  <c r="O53" i="17"/>
  <c r="H53" i="17"/>
  <c r="P53" i="17"/>
  <c r="I53" i="17"/>
  <c r="Q53" i="17"/>
  <c r="J53" i="17"/>
  <c r="R53" i="17"/>
  <c r="K53" i="17"/>
  <c r="M53" i="17"/>
  <c r="L53" i="17"/>
  <c r="O57" i="19"/>
  <c r="S57" i="19"/>
  <c r="T57" i="19"/>
  <c r="H57" i="19"/>
  <c r="I57" i="19"/>
  <c r="N57" i="19"/>
  <c r="P57" i="19"/>
  <c r="L57" i="19"/>
  <c r="K57" i="19"/>
  <c r="Q57" i="19"/>
  <c r="M57" i="19"/>
  <c r="J57" i="19"/>
  <c r="U57" i="19"/>
  <c r="R57" i="19"/>
  <c r="J26" i="20"/>
  <c r="N26" i="20"/>
  <c r="R26" i="20"/>
  <c r="V26" i="20"/>
  <c r="K26" i="20"/>
  <c r="O26" i="20"/>
  <c r="P26" i="20"/>
  <c r="L26" i="20"/>
  <c r="T26" i="20"/>
  <c r="Q26" i="20"/>
  <c r="S26" i="20"/>
  <c r="M26" i="20"/>
  <c r="U26" i="20"/>
  <c r="I26" i="20"/>
  <c r="K70" i="17"/>
  <c r="L70" i="17"/>
  <c r="M70" i="17"/>
  <c r="F70" i="17"/>
  <c r="N70" i="17"/>
  <c r="G70" i="17"/>
  <c r="O70" i="17"/>
  <c r="H70" i="17"/>
  <c r="P70" i="17"/>
  <c r="I70" i="17"/>
  <c r="R70" i="17"/>
  <c r="J70" i="17"/>
  <c r="Q70" i="17"/>
  <c r="V77" i="20"/>
  <c r="U77" i="19"/>
  <c r="U76" i="19"/>
  <c r="V76" i="20"/>
  <c r="H56" i="20"/>
  <c r="L68" i="20"/>
  <c r="T68" i="20"/>
  <c r="I68" i="20"/>
  <c r="M68" i="20"/>
  <c r="J68" i="20"/>
  <c r="O68" i="20"/>
  <c r="R68" i="20"/>
  <c r="P68" i="20"/>
  <c r="Q68" i="20"/>
  <c r="K68" i="20"/>
  <c r="S68" i="20"/>
  <c r="N68" i="20"/>
  <c r="V68" i="20"/>
  <c r="U68" i="20"/>
  <c r="P36" i="11"/>
  <c r="P41" i="11" s="1"/>
  <c r="R34" i="12"/>
  <c r="R39" i="12" s="1"/>
  <c r="F15" i="17"/>
  <c r="K15" i="17"/>
  <c r="M15" i="17"/>
  <c r="I15" i="17"/>
  <c r="P15" i="17"/>
  <c r="H15" i="17"/>
  <c r="R15" i="17"/>
  <c r="Q15" i="17"/>
  <c r="L15" i="17"/>
  <c r="J15" i="17"/>
  <c r="N15" i="17"/>
  <c r="O15" i="17"/>
  <c r="G15" i="17"/>
  <c r="J57" i="20"/>
  <c r="R57" i="20"/>
  <c r="M57" i="20"/>
  <c r="K57" i="20"/>
  <c r="N57" i="20"/>
  <c r="S57" i="20"/>
  <c r="O57" i="20"/>
  <c r="L57" i="20"/>
  <c r="I57" i="20"/>
  <c r="Q57" i="20"/>
  <c r="P57" i="20"/>
  <c r="T57" i="20"/>
  <c r="U57" i="20"/>
  <c r="V57" i="20"/>
  <c r="G56" i="19"/>
  <c r="N35" i="20"/>
  <c r="J35" i="20"/>
  <c r="U35" i="20"/>
  <c r="R35" i="20"/>
  <c r="K35" i="20"/>
  <c r="L35" i="20"/>
  <c r="V35" i="20"/>
  <c r="P35" i="20"/>
  <c r="T35" i="20"/>
  <c r="I35" i="20"/>
  <c r="O35" i="20"/>
  <c r="Q35" i="20"/>
  <c r="M35" i="20"/>
  <c r="S35" i="20"/>
  <c r="E27" i="18"/>
  <c r="F23" i="17"/>
  <c r="M23" i="17"/>
  <c r="L23" i="17"/>
  <c r="R23" i="17"/>
  <c r="K23" i="17"/>
  <c r="J23" i="17"/>
  <c r="O23" i="17"/>
  <c r="G23" i="17"/>
  <c r="H23" i="17"/>
  <c r="Q23" i="17"/>
  <c r="N23" i="17"/>
  <c r="I23" i="17"/>
  <c r="P23" i="17"/>
  <c r="M59" i="20"/>
  <c r="O59" i="20"/>
  <c r="R59" i="20"/>
  <c r="K59" i="20"/>
  <c r="S59" i="20"/>
  <c r="P59" i="20"/>
  <c r="T59" i="20"/>
  <c r="I59" i="20"/>
  <c r="N59" i="20"/>
  <c r="U59" i="20"/>
  <c r="Q59" i="20"/>
  <c r="J59" i="20"/>
  <c r="L59" i="20"/>
  <c r="V59" i="20"/>
  <c r="F35" i="17"/>
  <c r="L35" i="17"/>
  <c r="J35" i="17"/>
  <c r="K35" i="17"/>
  <c r="O35" i="17"/>
  <c r="R35" i="17"/>
  <c r="Q35" i="17"/>
  <c r="G35" i="17"/>
  <c r="I35" i="17"/>
  <c r="P35" i="17"/>
  <c r="N35" i="17"/>
  <c r="H35" i="17"/>
  <c r="M35" i="17"/>
  <c r="L26" i="19"/>
  <c r="K26" i="19"/>
  <c r="O26" i="19"/>
  <c r="R26" i="19"/>
  <c r="S26" i="19"/>
  <c r="J26" i="19"/>
  <c r="Q26" i="19"/>
  <c r="N26" i="19"/>
  <c r="I26" i="19"/>
  <c r="P26" i="19"/>
  <c r="M26" i="19"/>
  <c r="H26" i="19"/>
  <c r="U26" i="19"/>
  <c r="T26" i="19"/>
  <c r="E37" i="18"/>
  <c r="G38" i="20"/>
  <c r="H34" i="20"/>
  <c r="K46" i="17"/>
  <c r="L46" i="17"/>
  <c r="M46" i="17"/>
  <c r="F46" i="17"/>
  <c r="N46" i="17"/>
  <c r="G46" i="17"/>
  <c r="O46" i="17"/>
  <c r="H46" i="17"/>
  <c r="P46" i="17"/>
  <c r="Q46" i="17"/>
  <c r="I46" i="17"/>
  <c r="J46" i="17"/>
  <c r="R46" i="17"/>
  <c r="G22" i="17"/>
  <c r="J22" i="17"/>
  <c r="R22" i="17"/>
  <c r="K22" i="17"/>
  <c r="L22" i="17"/>
  <c r="M22" i="17"/>
  <c r="N22" i="17"/>
  <c r="F22" i="17"/>
  <c r="O22" i="17"/>
  <c r="Q22" i="17"/>
  <c r="P22" i="17"/>
  <c r="I22" i="17"/>
  <c r="H22" i="17"/>
  <c r="G34" i="19"/>
  <c r="F38" i="19"/>
  <c r="H54" i="17"/>
  <c r="P54" i="17"/>
  <c r="I54" i="17"/>
  <c r="Q54" i="17"/>
  <c r="J54" i="17"/>
  <c r="R54" i="17"/>
  <c r="K54" i="17"/>
  <c r="L54" i="17"/>
  <c r="M54" i="17"/>
  <c r="F54" i="17"/>
  <c r="G54" i="17"/>
  <c r="N54" i="17"/>
  <c r="O54" i="17"/>
  <c r="F34" i="17"/>
  <c r="O34" i="17"/>
  <c r="P34" i="17"/>
  <c r="I34" i="17"/>
  <c r="Q34" i="17"/>
  <c r="J34" i="17"/>
  <c r="R34" i="17"/>
  <c r="K34" i="17"/>
  <c r="L34" i="17"/>
  <c r="M34" i="17"/>
  <c r="N34" i="17"/>
  <c r="H34" i="17"/>
  <c r="G34" i="17"/>
  <c r="O35" i="19"/>
  <c r="S35" i="19"/>
  <c r="H35" i="19"/>
  <c r="N35" i="19"/>
  <c r="P35" i="19"/>
  <c r="Q35" i="19"/>
  <c r="T35" i="19"/>
  <c r="J35" i="19"/>
  <c r="M35" i="19"/>
  <c r="L35" i="19"/>
  <c r="U35" i="19"/>
  <c r="K35" i="19"/>
  <c r="I35" i="19"/>
  <c r="R35" i="19"/>
  <c r="G21" i="17"/>
  <c r="O21" i="17"/>
  <c r="H21" i="17"/>
  <c r="P21" i="17"/>
  <c r="I21" i="17"/>
  <c r="Q21" i="17"/>
  <c r="J21" i="17"/>
  <c r="R21" i="17"/>
  <c r="K21" i="17"/>
  <c r="L21" i="17"/>
  <c r="F21" i="17"/>
  <c r="M21" i="17"/>
  <c r="N21" i="17"/>
  <c r="E27" i="17"/>
  <c r="P35" i="10"/>
  <c r="Q27" i="17" l="1"/>
  <c r="I37" i="17"/>
  <c r="I27" i="17"/>
  <c r="A62" i="20"/>
  <c r="A35" i="20"/>
  <c r="A48" i="20"/>
  <c r="G37" i="17"/>
  <c r="G27" i="17"/>
  <c r="A23" i="20"/>
  <c r="K37" i="17"/>
  <c r="AB36" i="11"/>
  <c r="AB41" i="11" s="1"/>
  <c r="AD34" i="12"/>
  <c r="AD39" i="12" s="1"/>
  <c r="E41" i="18"/>
  <c r="E41" i="17"/>
  <c r="L27" i="17"/>
  <c r="A57" i="20"/>
  <c r="S76" i="20"/>
  <c r="R76" i="19"/>
  <c r="S77" i="20"/>
  <c r="R77" i="19"/>
  <c r="H37" i="17"/>
  <c r="Q37" i="17"/>
  <c r="M27" i="17"/>
  <c r="O56" i="19"/>
  <c r="S56" i="19"/>
  <c r="H56" i="19"/>
  <c r="L56" i="19"/>
  <c r="P56" i="19"/>
  <c r="T56" i="19"/>
  <c r="Q56" i="19"/>
  <c r="U56" i="19"/>
  <c r="J56" i="19"/>
  <c r="N56" i="19"/>
  <c r="R56" i="19"/>
  <c r="K56" i="19"/>
  <c r="M56" i="19"/>
  <c r="I56" i="19"/>
  <c r="J76" i="19"/>
  <c r="K77" i="20"/>
  <c r="K76" i="20"/>
  <c r="J77" i="19"/>
  <c r="Q22" i="20"/>
  <c r="Q28" i="20" s="1"/>
  <c r="U22" i="20"/>
  <c r="U28" i="20" s="1"/>
  <c r="K22" i="20"/>
  <c r="K28" i="20" s="1"/>
  <c r="J22" i="20"/>
  <c r="J28" i="20" s="1"/>
  <c r="N22" i="20"/>
  <c r="N28" i="20" s="1"/>
  <c r="O22" i="20"/>
  <c r="O28" i="20" s="1"/>
  <c r="I22" i="20"/>
  <c r="I28" i="20" s="1"/>
  <c r="R22" i="20"/>
  <c r="R28" i="20" s="1"/>
  <c r="V22" i="20"/>
  <c r="V28" i="20" s="1"/>
  <c r="M22" i="20"/>
  <c r="M28" i="20" s="1"/>
  <c r="S22" i="20"/>
  <c r="S28" i="20" s="1"/>
  <c r="P22" i="20"/>
  <c r="P28" i="20" s="1"/>
  <c r="L22" i="20"/>
  <c r="L28" i="20" s="1"/>
  <c r="T22" i="20"/>
  <c r="T28" i="20" s="1"/>
  <c r="H28" i="20"/>
  <c r="N27" i="17"/>
  <c r="N77" i="20"/>
  <c r="N76" i="20"/>
  <c r="M77" i="19"/>
  <c r="M76" i="19"/>
  <c r="O36" i="11"/>
  <c r="O41" i="11" s="1"/>
  <c r="Q34" i="12"/>
  <c r="Q39" i="12" s="1"/>
  <c r="R37" i="17"/>
  <c r="H27" i="17"/>
  <c r="F27" i="17"/>
  <c r="R76" i="20"/>
  <c r="Q77" i="19"/>
  <c r="Q76" i="19"/>
  <c r="R77" i="20"/>
  <c r="A26" i="20"/>
  <c r="G45" i="20"/>
  <c r="H45" i="20" s="1"/>
  <c r="F45" i="19"/>
  <c r="G45" i="19" s="1"/>
  <c r="S77" i="19"/>
  <c r="T76" i="20"/>
  <c r="T77" i="20"/>
  <c r="S76" i="19"/>
  <c r="Q77" i="20"/>
  <c r="P76" i="19"/>
  <c r="Q76" i="20"/>
  <c r="P77" i="19"/>
  <c r="F37" i="17"/>
  <c r="A58" i="20"/>
  <c r="R27" i="17"/>
  <c r="L77" i="20"/>
  <c r="K76" i="19"/>
  <c r="K77" i="19"/>
  <c r="L76" i="20"/>
  <c r="O37" i="17"/>
  <c r="J76" i="20"/>
  <c r="J77" i="20"/>
  <c r="I76" i="19"/>
  <c r="I77" i="19"/>
  <c r="E43" i="17"/>
  <c r="E43" i="18"/>
  <c r="Q22" i="19"/>
  <c r="U22" i="19"/>
  <c r="J22" i="19"/>
  <c r="N22" i="19"/>
  <c r="R22" i="19"/>
  <c r="H22" i="19"/>
  <c r="S22" i="19"/>
  <c r="P22" i="19"/>
  <c r="L22" i="19"/>
  <c r="G28" i="19"/>
  <c r="O22" i="19"/>
  <c r="M22" i="19"/>
  <c r="I22" i="19"/>
  <c r="K22" i="19"/>
  <c r="T22" i="19"/>
  <c r="S34" i="19"/>
  <c r="S38" i="19" s="1"/>
  <c r="I34" i="19"/>
  <c r="I38" i="19" s="1"/>
  <c r="L34" i="19"/>
  <c r="L38" i="19" s="1"/>
  <c r="Q34" i="19"/>
  <c r="Q38" i="19" s="1"/>
  <c r="T34" i="19"/>
  <c r="T38" i="19" s="1"/>
  <c r="J34" i="19"/>
  <c r="J38" i="19" s="1"/>
  <c r="U34" i="19"/>
  <c r="U38" i="19" s="1"/>
  <c r="R34" i="19"/>
  <c r="R38" i="19" s="1"/>
  <c r="N34" i="19"/>
  <c r="N38" i="19" s="1"/>
  <c r="O34" i="19"/>
  <c r="O38" i="19" s="1"/>
  <c r="M34" i="19"/>
  <c r="M38" i="19" s="1"/>
  <c r="G38" i="19"/>
  <c r="H34" i="19"/>
  <c r="H38" i="19" s="1"/>
  <c r="K34" i="19"/>
  <c r="K38" i="19" s="1"/>
  <c r="P34" i="19"/>
  <c r="P38" i="19" s="1"/>
  <c r="O27" i="17"/>
  <c r="N37" i="17"/>
  <c r="J37" i="17"/>
  <c r="J27" i="17"/>
  <c r="F44" i="19"/>
  <c r="G44" i="19" s="1"/>
  <c r="G44" i="20"/>
  <c r="H44" i="20" s="1"/>
  <c r="A68" i="20"/>
  <c r="M77" i="20"/>
  <c r="L77" i="19"/>
  <c r="L76" i="19"/>
  <c r="M76" i="20"/>
  <c r="H77" i="19"/>
  <c r="I76" i="20"/>
  <c r="I77" i="20"/>
  <c r="H76" i="19"/>
  <c r="A61" i="20"/>
  <c r="J34" i="20"/>
  <c r="J38" i="20" s="1"/>
  <c r="U34" i="20"/>
  <c r="U38" i="20" s="1"/>
  <c r="O34" i="20"/>
  <c r="O38" i="20" s="1"/>
  <c r="R34" i="20"/>
  <c r="R38" i="20" s="1"/>
  <c r="N34" i="20"/>
  <c r="N38" i="20" s="1"/>
  <c r="K34" i="20"/>
  <c r="K38" i="20" s="1"/>
  <c r="H38" i="20"/>
  <c r="V34" i="20"/>
  <c r="V38" i="20" s="1"/>
  <c r="S34" i="20"/>
  <c r="S38" i="20" s="1"/>
  <c r="I34" i="20"/>
  <c r="I38" i="20" s="1"/>
  <c r="T34" i="20"/>
  <c r="T38" i="20" s="1"/>
  <c r="L34" i="20"/>
  <c r="L38" i="20" s="1"/>
  <c r="P34" i="20"/>
  <c r="P38" i="20" s="1"/>
  <c r="Q34" i="20"/>
  <c r="Q38" i="20" s="1"/>
  <c r="M34" i="20"/>
  <c r="M38" i="20" s="1"/>
  <c r="G42" i="20"/>
  <c r="F42" i="19"/>
  <c r="N76" i="19"/>
  <c r="N77" i="19"/>
  <c r="O77" i="20"/>
  <c r="O76" i="20"/>
  <c r="M37" i="17"/>
  <c r="E44" i="18"/>
  <c r="E44" i="17"/>
  <c r="A59" i="20"/>
  <c r="P37" i="17"/>
  <c r="L37" i="17"/>
  <c r="P27" i="17"/>
  <c r="K27" i="17"/>
  <c r="U56" i="20"/>
  <c r="J56" i="20"/>
  <c r="N56" i="20"/>
  <c r="R56" i="20"/>
  <c r="V56" i="20"/>
  <c r="S56" i="20"/>
  <c r="L56" i="20"/>
  <c r="Q56" i="20"/>
  <c r="I56" i="20"/>
  <c r="P56" i="20"/>
  <c r="K56" i="20"/>
  <c r="T56" i="20"/>
  <c r="M56" i="20"/>
  <c r="O56" i="20"/>
  <c r="U76" i="20"/>
  <c r="T77" i="19"/>
  <c r="T76" i="19"/>
  <c r="U77" i="20"/>
  <c r="P76" i="20"/>
  <c r="O76" i="19"/>
  <c r="P77" i="20"/>
  <c r="O77" i="19"/>
  <c r="A60" i="20"/>
  <c r="T35" i="10"/>
  <c r="A56" i="20" l="1"/>
  <c r="R28" i="19"/>
  <c r="N28" i="19"/>
  <c r="H42" i="20"/>
  <c r="O28" i="19"/>
  <c r="A34" i="20"/>
  <c r="A77" i="20"/>
  <c r="U28" i="19"/>
  <c r="A28" i="20"/>
  <c r="J28" i="19"/>
  <c r="A22" i="20"/>
  <c r="S36" i="11"/>
  <c r="S41" i="11" s="1"/>
  <c r="U34" i="12"/>
  <c r="U39" i="12" s="1"/>
  <c r="A38" i="20"/>
  <c r="A76" i="20"/>
  <c r="K44" i="20"/>
  <c r="P44" i="20"/>
  <c r="I44" i="20"/>
  <c r="L44" i="20"/>
  <c r="Q44" i="20"/>
  <c r="T44" i="20"/>
  <c r="U44" i="20"/>
  <c r="R44" i="20"/>
  <c r="S44" i="20"/>
  <c r="N44" i="20"/>
  <c r="V44" i="20"/>
  <c r="O44" i="20"/>
  <c r="J44" i="20"/>
  <c r="M44" i="20"/>
  <c r="L28" i="19"/>
  <c r="Q28" i="19"/>
  <c r="F63" i="19"/>
  <c r="G63" i="20"/>
  <c r="E42" i="17"/>
  <c r="E42" i="18"/>
  <c r="H44" i="19"/>
  <c r="P44" i="19"/>
  <c r="S44" i="19"/>
  <c r="L44" i="19"/>
  <c r="T44" i="19"/>
  <c r="Q44" i="19"/>
  <c r="U44" i="19"/>
  <c r="J44" i="19"/>
  <c r="N44" i="19"/>
  <c r="I44" i="19"/>
  <c r="M44" i="19"/>
  <c r="R44" i="19"/>
  <c r="K44" i="19"/>
  <c r="O44" i="19"/>
  <c r="P28" i="19"/>
  <c r="T28" i="19"/>
  <c r="Q45" i="20"/>
  <c r="I45" i="20"/>
  <c r="P45" i="20"/>
  <c r="J45" i="20"/>
  <c r="N45" i="20"/>
  <c r="R45" i="20"/>
  <c r="V45" i="20"/>
  <c r="K45" i="20"/>
  <c r="O45" i="20"/>
  <c r="L45" i="20"/>
  <c r="T45" i="20"/>
  <c r="S45" i="20"/>
  <c r="M45" i="20"/>
  <c r="U45" i="20"/>
  <c r="I28" i="19"/>
  <c r="F43" i="19"/>
  <c r="G43" i="19" s="1"/>
  <c r="G43" i="20"/>
  <c r="H43" i="20" s="1"/>
  <c r="G42" i="19"/>
  <c r="M28" i="19"/>
  <c r="H45" i="19"/>
  <c r="L45" i="19"/>
  <c r="Q45" i="19"/>
  <c r="P45" i="19"/>
  <c r="T45" i="19"/>
  <c r="I45" i="19"/>
  <c r="M45" i="19"/>
  <c r="U45" i="19"/>
  <c r="J45" i="19"/>
  <c r="N45" i="19"/>
  <c r="S45" i="19"/>
  <c r="R45" i="19"/>
  <c r="K45" i="19"/>
  <c r="O45" i="19"/>
  <c r="J41" i="17"/>
  <c r="M41" i="17"/>
  <c r="P41" i="17"/>
  <c r="Q41" i="17"/>
  <c r="R41" i="17"/>
  <c r="L41" i="17"/>
  <c r="I41" i="17"/>
  <c r="H41" i="17"/>
  <c r="G41" i="17"/>
  <c r="K41" i="17"/>
  <c r="O41" i="17"/>
  <c r="F41" i="17"/>
  <c r="N41" i="17"/>
  <c r="S28" i="19"/>
  <c r="H44" i="17"/>
  <c r="G44" i="17"/>
  <c r="M44" i="17"/>
  <c r="O44" i="17"/>
  <c r="N44" i="17"/>
  <c r="R44" i="17"/>
  <c r="J44" i="17"/>
  <c r="L44" i="17"/>
  <c r="F44" i="17"/>
  <c r="P44" i="17"/>
  <c r="Q44" i="17"/>
  <c r="K44" i="17"/>
  <c r="I44" i="17"/>
  <c r="K28" i="19"/>
  <c r="H28" i="19"/>
  <c r="F43" i="17"/>
  <c r="K43" i="17"/>
  <c r="R43" i="17"/>
  <c r="Q43" i="17"/>
  <c r="L43" i="17"/>
  <c r="I43" i="17"/>
  <c r="H43" i="17"/>
  <c r="N43" i="17"/>
  <c r="P43" i="17"/>
  <c r="M43" i="17"/>
  <c r="J43" i="17"/>
  <c r="O43" i="17"/>
  <c r="G43" i="17"/>
  <c r="E59" i="18"/>
  <c r="E59" i="17"/>
  <c r="I35" i="10"/>
  <c r="A44" i="20" l="1"/>
  <c r="H63" i="20"/>
  <c r="G71" i="20"/>
  <c r="E45" i="18"/>
  <c r="E45" i="17"/>
  <c r="G46" i="20"/>
  <c r="F46" i="19"/>
  <c r="O43" i="20"/>
  <c r="N43" i="20"/>
  <c r="K43" i="20"/>
  <c r="S43" i="20"/>
  <c r="L43" i="20"/>
  <c r="I43" i="20"/>
  <c r="M43" i="20"/>
  <c r="Q43" i="20"/>
  <c r="U43" i="20"/>
  <c r="J43" i="20"/>
  <c r="P43" i="20"/>
  <c r="V43" i="20"/>
  <c r="R43" i="20"/>
  <c r="T43" i="20"/>
  <c r="L43" i="19"/>
  <c r="J43" i="19"/>
  <c r="K43" i="19"/>
  <c r="O43" i="19"/>
  <c r="R43" i="19"/>
  <c r="S43" i="19"/>
  <c r="P43" i="19"/>
  <c r="H43" i="19"/>
  <c r="T43" i="19"/>
  <c r="U43" i="19"/>
  <c r="Q43" i="19"/>
  <c r="M43" i="19"/>
  <c r="N43" i="19"/>
  <c r="I43" i="19"/>
  <c r="G63" i="19"/>
  <c r="F71" i="19"/>
  <c r="A45" i="20"/>
  <c r="E65" i="18"/>
  <c r="I42" i="17"/>
  <c r="Q42" i="17"/>
  <c r="J42" i="17"/>
  <c r="R42" i="17"/>
  <c r="K42" i="17"/>
  <c r="L42" i="17"/>
  <c r="M42" i="17"/>
  <c r="F42" i="17"/>
  <c r="N42" i="17"/>
  <c r="G42" i="17"/>
  <c r="O42" i="17"/>
  <c r="H42" i="17"/>
  <c r="P42" i="17"/>
  <c r="S42" i="19"/>
  <c r="L42" i="19"/>
  <c r="H42" i="19"/>
  <c r="T42" i="19"/>
  <c r="P42" i="19"/>
  <c r="U42" i="19"/>
  <c r="Q42" i="19"/>
  <c r="K42" i="19"/>
  <c r="J42" i="19"/>
  <c r="N42" i="19"/>
  <c r="O42" i="19"/>
  <c r="R42" i="19"/>
  <c r="I42" i="19"/>
  <c r="M42" i="19"/>
  <c r="I42" i="20"/>
  <c r="R42" i="20"/>
  <c r="V42" i="20"/>
  <c r="K42" i="20"/>
  <c r="O42" i="20"/>
  <c r="S42" i="20"/>
  <c r="T42" i="20"/>
  <c r="M42" i="20"/>
  <c r="Q42" i="20"/>
  <c r="J42" i="20"/>
  <c r="L42" i="20"/>
  <c r="N42" i="20"/>
  <c r="P42" i="20"/>
  <c r="U42" i="20"/>
  <c r="H36" i="11"/>
  <c r="H41" i="11" s="1"/>
  <c r="H34" i="12"/>
  <c r="H39" i="12" s="1"/>
  <c r="F59" i="17"/>
  <c r="F65" i="17" s="1"/>
  <c r="L59" i="17"/>
  <c r="L65" i="17" s="1"/>
  <c r="N59" i="17"/>
  <c r="N65" i="17" s="1"/>
  <c r="Q59" i="17"/>
  <c r="Q65" i="17" s="1"/>
  <c r="I59" i="17"/>
  <c r="I65" i="17" s="1"/>
  <c r="P59" i="17"/>
  <c r="P65" i="17" s="1"/>
  <c r="K59" i="17"/>
  <c r="K65" i="17" s="1"/>
  <c r="J59" i="17"/>
  <c r="J65" i="17" s="1"/>
  <c r="M59" i="17"/>
  <c r="M65" i="17" s="1"/>
  <c r="H59" i="17"/>
  <c r="H65" i="17" s="1"/>
  <c r="O59" i="17"/>
  <c r="O65" i="17" s="1"/>
  <c r="R59" i="17"/>
  <c r="R65" i="17" s="1"/>
  <c r="G59" i="17"/>
  <c r="G65" i="17" s="1"/>
  <c r="E65" i="17"/>
  <c r="A42" i="20" l="1"/>
  <c r="G46" i="19"/>
  <c r="F52" i="19"/>
  <c r="F81" i="19" s="1"/>
  <c r="K45" i="17"/>
  <c r="K48" i="17" s="1"/>
  <c r="G45" i="17"/>
  <c r="G48" i="17" s="1"/>
  <c r="Q45" i="17"/>
  <c r="Q48" i="17" s="1"/>
  <c r="I45" i="17"/>
  <c r="I48" i="17" s="1"/>
  <c r="R45" i="17"/>
  <c r="R48" i="17" s="1"/>
  <c r="J45" i="17"/>
  <c r="J48" i="17" s="1"/>
  <c r="L45" i="17"/>
  <c r="L48" i="17" s="1"/>
  <c r="M45" i="17"/>
  <c r="M48" i="17" s="1"/>
  <c r="N45" i="17"/>
  <c r="N48" i="17" s="1"/>
  <c r="P45" i="17"/>
  <c r="P48" i="17" s="1"/>
  <c r="O45" i="17"/>
  <c r="O48" i="17" s="1"/>
  <c r="H45" i="17"/>
  <c r="H48" i="17" s="1"/>
  <c r="F45" i="17"/>
  <c r="F48" i="17" s="1"/>
  <c r="E48" i="17"/>
  <c r="E48" i="18"/>
  <c r="H46" i="20"/>
  <c r="G52" i="20"/>
  <c r="G81" i="20" s="1"/>
  <c r="I63" i="20"/>
  <c r="P63" i="20"/>
  <c r="T63" i="20"/>
  <c r="J63" i="20"/>
  <c r="Q63" i="20"/>
  <c r="R63" i="20"/>
  <c r="K63" i="20"/>
  <c r="U63" i="20"/>
  <c r="N63" i="20"/>
  <c r="O63" i="20"/>
  <c r="V63" i="20"/>
  <c r="S63" i="20"/>
  <c r="M63" i="20"/>
  <c r="L63" i="20"/>
  <c r="H71" i="20"/>
  <c r="G14" i="20"/>
  <c r="F14" i="19"/>
  <c r="Q63" i="19"/>
  <c r="I63" i="19"/>
  <c r="R63" i="19"/>
  <c r="O63" i="19"/>
  <c r="K63" i="19"/>
  <c r="H63" i="19"/>
  <c r="S63" i="19"/>
  <c r="P63" i="19"/>
  <c r="T63" i="19"/>
  <c r="M63" i="19"/>
  <c r="L63" i="19"/>
  <c r="J63" i="19"/>
  <c r="U63" i="19"/>
  <c r="N63" i="19"/>
  <c r="G71" i="19"/>
  <c r="E14" i="17"/>
  <c r="E14" i="18"/>
  <c r="A63" i="20" l="1"/>
  <c r="O46" i="20"/>
  <c r="O52" i="20" s="1"/>
  <c r="L46" i="20"/>
  <c r="L52" i="20" s="1"/>
  <c r="N46" i="20"/>
  <c r="N52" i="20" s="1"/>
  <c r="P46" i="20"/>
  <c r="P52" i="20" s="1"/>
  <c r="T46" i="20"/>
  <c r="T52" i="20" s="1"/>
  <c r="I46" i="20"/>
  <c r="I52" i="20" s="1"/>
  <c r="M46" i="20"/>
  <c r="M52" i="20" s="1"/>
  <c r="Q46" i="20"/>
  <c r="Q52" i="20" s="1"/>
  <c r="S46" i="20"/>
  <c r="S52" i="20" s="1"/>
  <c r="J46" i="20"/>
  <c r="J52" i="20" s="1"/>
  <c r="U46" i="20"/>
  <c r="U52" i="20" s="1"/>
  <c r="R46" i="20"/>
  <c r="R52" i="20" s="1"/>
  <c r="V46" i="20"/>
  <c r="V52" i="20" s="1"/>
  <c r="K46" i="20"/>
  <c r="K52" i="20" s="1"/>
  <c r="H52" i="20"/>
  <c r="F18" i="19"/>
  <c r="F83" i="19" s="1"/>
  <c r="G14" i="19"/>
  <c r="E17" i="18"/>
  <c r="E68" i="18" s="1"/>
  <c r="T46" i="19"/>
  <c r="T52" i="19" s="1"/>
  <c r="L46" i="19"/>
  <c r="L52" i="19" s="1"/>
  <c r="U46" i="19"/>
  <c r="U52" i="19" s="1"/>
  <c r="R46" i="19"/>
  <c r="R52" i="19" s="1"/>
  <c r="N46" i="19"/>
  <c r="N52" i="19" s="1"/>
  <c r="K46" i="19"/>
  <c r="K52" i="19" s="1"/>
  <c r="O46" i="19"/>
  <c r="O52" i="19" s="1"/>
  <c r="S46" i="19"/>
  <c r="S52" i="19" s="1"/>
  <c r="P46" i="19"/>
  <c r="P52" i="19" s="1"/>
  <c r="I46" i="19"/>
  <c r="I52" i="19" s="1"/>
  <c r="J46" i="19"/>
  <c r="J52" i="19" s="1"/>
  <c r="M46" i="19"/>
  <c r="M52" i="19" s="1"/>
  <c r="Q46" i="19"/>
  <c r="Q52" i="19" s="1"/>
  <c r="H46" i="19"/>
  <c r="H52" i="19" s="1"/>
  <c r="G52" i="19"/>
  <c r="G18" i="20"/>
  <c r="G83" i="20" s="1"/>
  <c r="H14" i="20"/>
  <c r="F14" i="17"/>
  <c r="F17" i="17" s="1"/>
  <c r="F68" i="17" s="1"/>
  <c r="N14" i="17"/>
  <c r="N17" i="17" s="1"/>
  <c r="N68" i="17" s="1"/>
  <c r="O14" i="17"/>
  <c r="O17" i="17" s="1"/>
  <c r="O68" i="17" s="1"/>
  <c r="H14" i="17"/>
  <c r="H17" i="17" s="1"/>
  <c r="H68" i="17" s="1"/>
  <c r="P14" i="17"/>
  <c r="P17" i="17" s="1"/>
  <c r="P68" i="17" s="1"/>
  <c r="I14" i="17"/>
  <c r="I17" i="17" s="1"/>
  <c r="I68" i="17" s="1"/>
  <c r="Q14" i="17"/>
  <c r="Q17" i="17" s="1"/>
  <c r="Q68" i="17" s="1"/>
  <c r="J14" i="17"/>
  <c r="J17" i="17" s="1"/>
  <c r="J68" i="17" s="1"/>
  <c r="R14" i="17"/>
  <c r="R17" i="17" s="1"/>
  <c r="R68" i="17" s="1"/>
  <c r="K14" i="17"/>
  <c r="K17" i="17" s="1"/>
  <c r="K68" i="17" s="1"/>
  <c r="M14" i="17"/>
  <c r="M17" i="17" s="1"/>
  <c r="M68" i="17" s="1"/>
  <c r="L14" i="17"/>
  <c r="L17" i="17" s="1"/>
  <c r="L68" i="17" s="1"/>
  <c r="G14" i="17"/>
  <c r="G17" i="17" s="1"/>
  <c r="G68" i="17" s="1"/>
  <c r="E17" i="17"/>
  <c r="E68" i="17" s="1"/>
  <c r="E73" i="17" s="1"/>
  <c r="A52" i="20" l="1"/>
  <c r="R73" i="17"/>
  <c r="R40" i="15"/>
  <c r="P73" i="17"/>
  <c r="P40" i="15"/>
  <c r="K73" i="17"/>
  <c r="K40" i="15"/>
  <c r="J73" i="17"/>
  <c r="J40" i="15"/>
  <c r="L73" i="17"/>
  <c r="L40" i="15"/>
  <c r="L14" i="20"/>
  <c r="L18" i="20" s="1"/>
  <c r="K14" i="20"/>
  <c r="K18" i="20" s="1"/>
  <c r="P14" i="20"/>
  <c r="P18" i="20" s="1"/>
  <c r="S14" i="20"/>
  <c r="S18" i="20" s="1"/>
  <c r="J14" i="20"/>
  <c r="J18" i="20" s="1"/>
  <c r="H18" i="20"/>
  <c r="M14" i="20"/>
  <c r="M18" i="20" s="1"/>
  <c r="V14" i="20"/>
  <c r="V18" i="20" s="1"/>
  <c r="N14" i="20"/>
  <c r="N18" i="20" s="1"/>
  <c r="Q14" i="20"/>
  <c r="Q18" i="20" s="1"/>
  <c r="T14" i="20"/>
  <c r="T18" i="20" s="1"/>
  <c r="R14" i="20"/>
  <c r="R18" i="20" s="1"/>
  <c r="I14" i="20"/>
  <c r="I18" i="20" s="1"/>
  <c r="U14" i="20"/>
  <c r="U18" i="20" s="1"/>
  <c r="O14" i="20"/>
  <c r="O18" i="20" s="1"/>
  <c r="A46" i="20"/>
  <c r="Q73" i="17"/>
  <c r="Q40" i="15"/>
  <c r="E73" i="18"/>
  <c r="I73" i="17"/>
  <c r="I40" i="15"/>
  <c r="K14" i="19"/>
  <c r="Q14" i="19"/>
  <c r="R14" i="19"/>
  <c r="J14" i="19"/>
  <c r="O14" i="19"/>
  <c r="P14" i="19"/>
  <c r="H14" i="19"/>
  <c r="I14" i="19"/>
  <c r="M14" i="19"/>
  <c r="G18" i="19"/>
  <c r="T14" i="19"/>
  <c r="U14" i="19"/>
  <c r="L14" i="19"/>
  <c r="S14" i="19"/>
  <c r="N14" i="19"/>
  <c r="M73" i="17"/>
  <c r="M40" i="15"/>
  <c r="H81" i="20"/>
  <c r="O73" i="17"/>
  <c r="O40" i="15"/>
  <c r="H73" i="17"/>
  <c r="H40" i="15"/>
  <c r="G73" i="17"/>
  <c r="G40" i="15"/>
  <c r="F73" i="17"/>
  <c r="F40" i="15"/>
  <c r="G81" i="19"/>
  <c r="N73" i="17"/>
  <c r="N40" i="15"/>
  <c r="H59" i="18" l="1"/>
  <c r="S59" i="18"/>
  <c r="P59" i="18"/>
  <c r="I59" i="18"/>
  <c r="J59" i="18"/>
  <c r="L59" i="18"/>
  <c r="K59" i="18"/>
  <c r="O59" i="18"/>
  <c r="G59" i="18"/>
  <c r="Q59" i="18"/>
  <c r="R59" i="18"/>
  <c r="N59" i="18"/>
  <c r="M59" i="18"/>
  <c r="K23" i="18"/>
  <c r="P23" i="18"/>
  <c r="L23" i="18"/>
  <c r="O23" i="18"/>
  <c r="S23" i="18"/>
  <c r="I23" i="18"/>
  <c r="R23" i="18"/>
  <c r="M23" i="18"/>
  <c r="Q23" i="18"/>
  <c r="N23" i="18"/>
  <c r="G23" i="18"/>
  <c r="H23" i="18"/>
  <c r="J23" i="18"/>
  <c r="Q52" i="18"/>
  <c r="R52" i="18"/>
  <c r="I52" i="18"/>
  <c r="M52" i="18"/>
  <c r="K52" i="18"/>
  <c r="P52" i="18"/>
  <c r="J52" i="18"/>
  <c r="N52" i="18"/>
  <c r="H52" i="18"/>
  <c r="S52" i="18"/>
  <c r="O52" i="18"/>
  <c r="G52" i="18"/>
  <c r="L52" i="18"/>
  <c r="F65" i="18"/>
  <c r="A18" i="20"/>
  <c r="G24" i="21"/>
  <c r="M18" i="19"/>
  <c r="R18" i="19"/>
  <c r="O42" i="18"/>
  <c r="S42" i="18"/>
  <c r="N42" i="18"/>
  <c r="J42" i="18"/>
  <c r="M42" i="18"/>
  <c r="G42" i="18"/>
  <c r="H42" i="18"/>
  <c r="L42" i="18"/>
  <c r="P42" i="18"/>
  <c r="R42" i="18"/>
  <c r="I42" i="18"/>
  <c r="Q42" i="18"/>
  <c r="K42" i="18"/>
  <c r="G46" i="18"/>
  <c r="O46" i="18"/>
  <c r="K46" i="18"/>
  <c r="I46" i="18"/>
  <c r="H46" i="18"/>
  <c r="R46" i="18"/>
  <c r="S46" i="18"/>
  <c r="P46" i="18"/>
  <c r="L46" i="18"/>
  <c r="Q46" i="18"/>
  <c r="M46" i="18"/>
  <c r="J46" i="18"/>
  <c r="N46" i="18"/>
  <c r="G61" i="18"/>
  <c r="S61" i="18"/>
  <c r="P61" i="18"/>
  <c r="K61" i="18"/>
  <c r="O61" i="18"/>
  <c r="L61" i="18"/>
  <c r="Q61" i="18"/>
  <c r="H61" i="18"/>
  <c r="M61" i="18"/>
  <c r="I61" i="18"/>
  <c r="R61" i="18"/>
  <c r="J61" i="18"/>
  <c r="N61" i="18"/>
  <c r="J24" i="21"/>
  <c r="H43" i="18"/>
  <c r="L43" i="18"/>
  <c r="S43" i="18"/>
  <c r="I43" i="18"/>
  <c r="P43" i="18"/>
  <c r="N43" i="18"/>
  <c r="M43" i="18"/>
  <c r="R43" i="18"/>
  <c r="K43" i="18"/>
  <c r="G43" i="18"/>
  <c r="Q43" i="18"/>
  <c r="O43" i="18"/>
  <c r="J43" i="18"/>
  <c r="P21" i="18"/>
  <c r="N21" i="18"/>
  <c r="I21" i="18"/>
  <c r="M21" i="18"/>
  <c r="S21" i="18"/>
  <c r="L21" i="18"/>
  <c r="Q21" i="18"/>
  <c r="F27" i="18"/>
  <c r="G21" i="18"/>
  <c r="J21" i="18"/>
  <c r="O21" i="18"/>
  <c r="K21" i="18"/>
  <c r="H21" i="18"/>
  <c r="R21" i="18"/>
  <c r="H18" i="19"/>
  <c r="S34" i="18"/>
  <c r="P34" i="18"/>
  <c r="K34" i="18"/>
  <c r="L34" i="18"/>
  <c r="Q34" i="18"/>
  <c r="R34" i="18"/>
  <c r="N34" i="18"/>
  <c r="J34" i="18"/>
  <c r="M34" i="18"/>
  <c r="H34" i="18"/>
  <c r="G34" i="18"/>
  <c r="I34" i="18"/>
  <c r="O34" i="18"/>
  <c r="K24" i="21"/>
  <c r="N24" i="21"/>
  <c r="H24" i="21"/>
  <c r="S18" i="19"/>
  <c r="K44" i="18"/>
  <c r="S44" i="18"/>
  <c r="I44" i="18"/>
  <c r="P44" i="18"/>
  <c r="M44" i="18"/>
  <c r="G44" i="18"/>
  <c r="Q44" i="18"/>
  <c r="N44" i="18"/>
  <c r="H44" i="18"/>
  <c r="L44" i="18"/>
  <c r="J44" i="18"/>
  <c r="O44" i="18"/>
  <c r="R44" i="18"/>
  <c r="S55" i="18"/>
  <c r="M55" i="18"/>
  <c r="G55" i="18"/>
  <c r="I55" i="18"/>
  <c r="O55" i="18"/>
  <c r="Q55" i="18"/>
  <c r="J55" i="18"/>
  <c r="H55" i="18"/>
  <c r="P55" i="18"/>
  <c r="L55" i="18"/>
  <c r="R55" i="18"/>
  <c r="K55" i="18"/>
  <c r="N55" i="18"/>
  <c r="J54" i="18"/>
  <c r="M54" i="18"/>
  <c r="R54" i="18"/>
  <c r="O54" i="18"/>
  <c r="H54" i="18"/>
  <c r="L54" i="18"/>
  <c r="P54" i="18"/>
  <c r="N54" i="18"/>
  <c r="I54" i="18"/>
  <c r="G54" i="18"/>
  <c r="S54" i="18"/>
  <c r="Q54" i="18"/>
  <c r="K54" i="18"/>
  <c r="M24" i="21"/>
  <c r="Q18" i="19"/>
  <c r="N18" i="19"/>
  <c r="N57" i="18"/>
  <c r="R57" i="18"/>
  <c r="P57" i="18"/>
  <c r="O57" i="18"/>
  <c r="J57" i="18"/>
  <c r="G57" i="18"/>
  <c r="M57" i="18"/>
  <c r="H57" i="18"/>
  <c r="Q57" i="18"/>
  <c r="L57" i="18"/>
  <c r="K57" i="18"/>
  <c r="I57" i="18"/>
  <c r="S57" i="18"/>
  <c r="Q24" i="21"/>
  <c r="G83" i="19"/>
  <c r="M14" i="18"/>
  <c r="S14" i="18"/>
  <c r="G14" i="18"/>
  <c r="N14" i="18"/>
  <c r="J14" i="18"/>
  <c r="K14" i="18"/>
  <c r="P14" i="18"/>
  <c r="R14" i="18"/>
  <c r="O14" i="18"/>
  <c r="L14" i="18"/>
  <c r="I14" i="18"/>
  <c r="Q14" i="18"/>
  <c r="H14" i="18"/>
  <c r="F17" i="18"/>
  <c r="L18" i="19"/>
  <c r="P18" i="19"/>
  <c r="J53" i="18"/>
  <c r="G53" i="18"/>
  <c r="N53" i="18"/>
  <c r="R53" i="18"/>
  <c r="K53" i="18"/>
  <c r="L53" i="18"/>
  <c r="O53" i="18"/>
  <c r="Q53" i="18"/>
  <c r="S53" i="18"/>
  <c r="H53" i="18"/>
  <c r="M53" i="18"/>
  <c r="P53" i="18"/>
  <c r="I53" i="18"/>
  <c r="N58" i="18"/>
  <c r="R58" i="18"/>
  <c r="I58" i="18"/>
  <c r="G58" i="18"/>
  <c r="J58" i="18"/>
  <c r="O58" i="18"/>
  <c r="K58" i="18"/>
  <c r="H58" i="18"/>
  <c r="P58" i="18"/>
  <c r="Q58" i="18"/>
  <c r="M58" i="18"/>
  <c r="S58" i="18"/>
  <c r="L58" i="18"/>
  <c r="H15" i="18"/>
  <c r="N15" i="18"/>
  <c r="O15" i="18"/>
  <c r="P15" i="18"/>
  <c r="J15" i="18"/>
  <c r="R15" i="18"/>
  <c r="G15" i="18"/>
  <c r="M15" i="18"/>
  <c r="I15" i="18"/>
  <c r="L15" i="18"/>
  <c r="K15" i="18"/>
  <c r="S15" i="18"/>
  <c r="Q15" i="18"/>
  <c r="A14" i="20"/>
  <c r="P24" i="21"/>
  <c r="I18" i="19"/>
  <c r="K18" i="19"/>
  <c r="E40" i="15"/>
  <c r="U18" i="19"/>
  <c r="O18" i="19"/>
  <c r="I24" i="21"/>
  <c r="S33" i="18"/>
  <c r="P33" i="18"/>
  <c r="Q33" i="18"/>
  <c r="R33" i="18"/>
  <c r="F37" i="18"/>
  <c r="I33" i="18"/>
  <c r="L33" i="18"/>
  <c r="M33" i="18"/>
  <c r="N33" i="18"/>
  <c r="H33" i="18"/>
  <c r="O33" i="18"/>
  <c r="J33" i="18"/>
  <c r="G33" i="18"/>
  <c r="K33" i="18"/>
  <c r="R22" i="18"/>
  <c r="P22" i="18"/>
  <c r="K22" i="18"/>
  <c r="M22" i="18"/>
  <c r="S22" i="18"/>
  <c r="H22" i="18"/>
  <c r="I22" i="18"/>
  <c r="G22" i="18"/>
  <c r="L22" i="18"/>
  <c r="J22" i="18"/>
  <c r="Q22" i="18"/>
  <c r="N22" i="18"/>
  <c r="O22" i="18"/>
  <c r="M60" i="18"/>
  <c r="J60" i="18"/>
  <c r="P60" i="18"/>
  <c r="H60" i="18"/>
  <c r="R60" i="18"/>
  <c r="K60" i="18"/>
  <c r="N60" i="18"/>
  <c r="S60" i="18"/>
  <c r="G60" i="18"/>
  <c r="L60" i="18"/>
  <c r="O60" i="18"/>
  <c r="I60" i="18"/>
  <c r="Q60" i="18"/>
  <c r="H83" i="20"/>
  <c r="N41" i="18"/>
  <c r="J41" i="18"/>
  <c r="L41" i="18"/>
  <c r="K41" i="18"/>
  <c r="F48" i="18"/>
  <c r="I41" i="18"/>
  <c r="R41" i="18"/>
  <c r="G41" i="18"/>
  <c r="O41" i="18"/>
  <c r="H41" i="18"/>
  <c r="S41" i="18"/>
  <c r="M41" i="18"/>
  <c r="Q41" i="18"/>
  <c r="P41" i="18"/>
  <c r="F24" i="21"/>
  <c r="O24" i="21"/>
  <c r="T18" i="19"/>
  <c r="J18" i="19"/>
  <c r="K45" i="18"/>
  <c r="I45" i="18"/>
  <c r="N45" i="18"/>
  <c r="S45" i="18"/>
  <c r="Q45" i="18"/>
  <c r="L45" i="18"/>
  <c r="P45" i="18"/>
  <c r="H45" i="18"/>
  <c r="R45" i="18"/>
  <c r="J45" i="18"/>
  <c r="G45" i="18"/>
  <c r="O45" i="18"/>
  <c r="M45" i="18"/>
  <c r="R56" i="18"/>
  <c r="H56" i="18"/>
  <c r="G56" i="18"/>
  <c r="L56" i="18"/>
  <c r="P56" i="18"/>
  <c r="K56" i="18"/>
  <c r="S56" i="18"/>
  <c r="J56" i="18"/>
  <c r="M56" i="18"/>
  <c r="Q56" i="18"/>
  <c r="N56" i="18"/>
  <c r="I56" i="18"/>
  <c r="O56" i="18"/>
  <c r="H35" i="18"/>
  <c r="I35" i="18"/>
  <c r="N35" i="18"/>
  <c r="P35" i="18"/>
  <c r="J35" i="18"/>
  <c r="L35" i="18"/>
  <c r="G35" i="18"/>
  <c r="Q35" i="18"/>
  <c r="R35" i="18"/>
  <c r="O35" i="18"/>
  <c r="M35" i="18"/>
  <c r="K35" i="18"/>
  <c r="S35" i="18"/>
  <c r="Q62" i="18"/>
  <c r="S62" i="18"/>
  <c r="R62" i="18"/>
  <c r="O62" i="18"/>
  <c r="G62" i="18"/>
  <c r="K62" i="18"/>
  <c r="H62" i="18"/>
  <c r="L62" i="18"/>
  <c r="J62" i="18"/>
  <c r="I62" i="18"/>
  <c r="P62" i="18"/>
  <c r="M62" i="18"/>
  <c r="N62" i="18"/>
  <c r="L24" i="21"/>
  <c r="R24" i="21"/>
  <c r="I27" i="18" l="1"/>
  <c r="M48" i="18"/>
  <c r="K48" i="18"/>
  <c r="P27" i="18"/>
  <c r="G37" i="18"/>
  <c r="H48" i="18"/>
  <c r="J48" i="18"/>
  <c r="J37" i="18"/>
  <c r="L37" i="18"/>
  <c r="K17" i="18"/>
  <c r="G88" i="19"/>
  <c r="O27" i="18"/>
  <c r="F68" i="18"/>
  <c r="F73" i="18" s="1"/>
  <c r="P65" i="18"/>
  <c r="S48" i="18"/>
  <c r="L48" i="18"/>
  <c r="K37" i="18"/>
  <c r="I37" i="18"/>
  <c r="H17" i="18"/>
  <c r="J17" i="18"/>
  <c r="J27" i="18"/>
  <c r="N27" i="18"/>
  <c r="L65" i="18"/>
  <c r="K65" i="18"/>
  <c r="O48" i="18"/>
  <c r="G48" i="18"/>
  <c r="O37" i="18"/>
  <c r="Q37" i="18"/>
  <c r="L17" i="18"/>
  <c r="S17" i="18"/>
  <c r="Q27" i="18"/>
  <c r="S65" i="18"/>
  <c r="R65" i="18"/>
  <c r="N17" i="18"/>
  <c r="M65" i="18"/>
  <c r="I65" i="18"/>
  <c r="R48" i="18"/>
  <c r="H37" i="18"/>
  <c r="P37" i="18"/>
  <c r="L41" i="16"/>
  <c r="H41" i="16"/>
  <c r="J41" i="16"/>
  <c r="R41" i="16"/>
  <c r="S41" i="16"/>
  <c r="M41" i="16"/>
  <c r="P41" i="16"/>
  <c r="Q41" i="16"/>
  <c r="N41" i="16"/>
  <c r="O41" i="16"/>
  <c r="I41" i="16"/>
  <c r="F41" i="16"/>
  <c r="G41" i="16"/>
  <c r="K41" i="16"/>
  <c r="O17" i="18"/>
  <c r="M17" i="18"/>
  <c r="R27" i="18"/>
  <c r="L27" i="18"/>
  <c r="H65" i="18"/>
  <c r="Q65" i="18"/>
  <c r="G27" i="18"/>
  <c r="G65" i="18"/>
  <c r="N48" i="18"/>
  <c r="R37" i="18"/>
  <c r="I17" i="18"/>
  <c r="P48" i="18"/>
  <c r="I48" i="18"/>
  <c r="N37" i="18"/>
  <c r="S37" i="18"/>
  <c r="R17" i="18"/>
  <c r="H27" i="18"/>
  <c r="S27" i="18"/>
  <c r="N65" i="18"/>
  <c r="Q17" i="18"/>
  <c r="G17" i="18"/>
  <c r="O65" i="18"/>
  <c r="Q48" i="18"/>
  <c r="M37" i="18"/>
  <c r="P17" i="18"/>
  <c r="K27" i="18"/>
  <c r="M27" i="18"/>
  <c r="J65" i="18"/>
  <c r="K68" i="18" l="1"/>
  <c r="K73" i="18" s="1"/>
  <c r="O68" i="18"/>
  <c r="O73" i="18" s="1"/>
  <c r="J68" i="18"/>
  <c r="J73" i="18" s="1"/>
  <c r="H68" i="18"/>
  <c r="H73" i="18" s="1"/>
  <c r="I75" i="19"/>
  <c r="J67" i="20"/>
  <c r="J71" i="20" s="1"/>
  <c r="J74" i="20"/>
  <c r="I67" i="19"/>
  <c r="I71" i="19" s="1"/>
  <c r="J75" i="20"/>
  <c r="I74" i="19"/>
  <c r="V75" i="20"/>
  <c r="U75" i="19"/>
  <c r="U74" i="19"/>
  <c r="V67" i="20"/>
  <c r="V71" i="20" s="1"/>
  <c r="V74" i="20"/>
  <c r="U67" i="19"/>
  <c r="U71" i="19" s="1"/>
  <c r="H67" i="19"/>
  <c r="H71" i="19" s="1"/>
  <c r="I67" i="20"/>
  <c r="H75" i="19"/>
  <c r="I75" i="20"/>
  <c r="I74" i="20"/>
  <c r="H74" i="19"/>
  <c r="E41" i="16"/>
  <c r="U75" i="20"/>
  <c r="U67" i="20"/>
  <c r="U71" i="20" s="1"/>
  <c r="T67" i="19"/>
  <c r="T71" i="19" s="1"/>
  <c r="U74" i="20"/>
  <c r="T75" i="19"/>
  <c r="T74" i="19"/>
  <c r="I68" i="18"/>
  <c r="I73" i="18" s="1"/>
  <c r="M74" i="20"/>
  <c r="M75" i="20"/>
  <c r="L74" i="19"/>
  <c r="L75" i="19"/>
  <c r="M67" i="20"/>
  <c r="M71" i="20" s="1"/>
  <c r="L67" i="19"/>
  <c r="L71" i="19" s="1"/>
  <c r="R75" i="20"/>
  <c r="R74" i="20"/>
  <c r="Q74" i="19"/>
  <c r="Q75" i="19"/>
  <c r="Q67" i="19"/>
  <c r="Q71" i="19" s="1"/>
  <c r="R67" i="20"/>
  <c r="R71" i="20" s="1"/>
  <c r="J75" i="19"/>
  <c r="K74" i="20"/>
  <c r="J74" i="19"/>
  <c r="J67" i="19"/>
  <c r="K75" i="20"/>
  <c r="K67" i="20"/>
  <c r="K71" i="20" s="1"/>
  <c r="M68" i="18"/>
  <c r="M73" i="18" s="1"/>
  <c r="L68" i="18"/>
  <c r="L73" i="18" s="1"/>
  <c r="O67" i="20"/>
  <c r="O71" i="20" s="1"/>
  <c r="N67" i="19"/>
  <c r="N71" i="19" s="1"/>
  <c r="O75" i="20"/>
  <c r="N74" i="19"/>
  <c r="O74" i="20"/>
  <c r="N75" i="19"/>
  <c r="G68" i="18"/>
  <c r="G73" i="18" s="1"/>
  <c r="T75" i="20"/>
  <c r="S67" i="19"/>
  <c r="S71" i="19" s="1"/>
  <c r="T74" i="20"/>
  <c r="S75" i="19"/>
  <c r="S74" i="19"/>
  <c r="T67" i="20"/>
  <c r="T71" i="20" s="1"/>
  <c r="N68" i="18"/>
  <c r="N73" i="18" s="1"/>
  <c r="R75" i="19"/>
  <c r="S74" i="20"/>
  <c r="R74" i="19"/>
  <c r="S67" i="20"/>
  <c r="S71" i="20" s="1"/>
  <c r="S75" i="20"/>
  <c r="R67" i="19"/>
  <c r="R71" i="19" s="1"/>
  <c r="R68" i="18"/>
  <c r="R73" i="18" s="1"/>
  <c r="K74" i="19"/>
  <c r="K67" i="19"/>
  <c r="K71" i="19" s="1"/>
  <c r="K75" i="19"/>
  <c r="L75" i="20"/>
  <c r="L67" i="20"/>
  <c r="L71" i="20" s="1"/>
  <c r="L74" i="20"/>
  <c r="L79" i="20" s="1"/>
  <c r="Q67" i="20"/>
  <c r="Q71" i="20" s="1"/>
  <c r="P67" i="19"/>
  <c r="P71" i="19" s="1"/>
  <c r="Q74" i="20"/>
  <c r="Q75" i="20"/>
  <c r="P74" i="19"/>
  <c r="P75" i="19"/>
  <c r="Q68" i="18"/>
  <c r="Q73" i="18" s="1"/>
  <c r="N75" i="20"/>
  <c r="M75" i="19"/>
  <c r="M74" i="19"/>
  <c r="N67" i="20"/>
  <c r="N71" i="20" s="1"/>
  <c r="M67" i="19"/>
  <c r="M71" i="19" s="1"/>
  <c r="N74" i="20"/>
  <c r="O75" i="19"/>
  <c r="O67" i="19"/>
  <c r="O71" i="19" s="1"/>
  <c r="P75" i="20"/>
  <c r="P74" i="20"/>
  <c r="O74" i="19"/>
  <c r="P67" i="20"/>
  <c r="P71" i="20" s="1"/>
  <c r="S68" i="18"/>
  <c r="S73" i="18" s="1"/>
  <c r="P68" i="18"/>
  <c r="P73" i="18" s="1"/>
  <c r="R79" i="20" l="1"/>
  <c r="M79" i="20"/>
  <c r="M81" i="20" s="1"/>
  <c r="M83" i="20" s="1"/>
  <c r="S79" i="20"/>
  <c r="S81" i="20" s="1"/>
  <c r="S83" i="20" s="1"/>
  <c r="K79" i="20"/>
  <c r="K81" i="20" s="1"/>
  <c r="K83" i="20" s="1"/>
  <c r="N79" i="20"/>
  <c r="Q79" i="20"/>
  <c r="Q81" i="20" s="1"/>
  <c r="Q83" i="20" s="1"/>
  <c r="U79" i="20"/>
  <c r="U81" i="20" s="1"/>
  <c r="U83" i="20" s="1"/>
  <c r="P79" i="20"/>
  <c r="P81" i="20" s="1"/>
  <c r="P83" i="20" s="1"/>
  <c r="O79" i="20"/>
  <c r="O81" i="20" s="1"/>
  <c r="O83" i="20" s="1"/>
  <c r="A67" i="20"/>
  <c r="I71" i="20"/>
  <c r="A71" i="20" s="1"/>
  <c r="I79" i="19"/>
  <c r="I81" i="19" s="1"/>
  <c r="I83" i="19" s="1"/>
  <c r="K79" i="19"/>
  <c r="K81" i="19" s="1"/>
  <c r="K83" i="19" s="1"/>
  <c r="L81" i="20"/>
  <c r="L83" i="20" s="1"/>
  <c r="S79" i="19"/>
  <c r="S81" i="19" s="1"/>
  <c r="S83" i="19" s="1"/>
  <c r="N79" i="19"/>
  <c r="N81" i="19" s="1"/>
  <c r="N83" i="19" s="1"/>
  <c r="Q79" i="19"/>
  <c r="Q81" i="19" s="1"/>
  <c r="Q83" i="19" s="1"/>
  <c r="O79" i="19"/>
  <c r="O81" i="19" s="1"/>
  <c r="O83" i="19" s="1"/>
  <c r="L79" i="19"/>
  <c r="L81" i="19" s="1"/>
  <c r="L83" i="19" s="1"/>
  <c r="J71" i="19"/>
  <c r="R81" i="20"/>
  <c r="R83" i="20" s="1"/>
  <c r="V79" i="20"/>
  <c r="V81" i="20" s="1"/>
  <c r="V83" i="20" s="1"/>
  <c r="J79" i="20"/>
  <c r="J81" i="20" s="1"/>
  <c r="J83" i="20" s="1"/>
  <c r="R79" i="19"/>
  <c r="R81" i="19" s="1"/>
  <c r="R83" i="19" s="1"/>
  <c r="T79" i="20"/>
  <c r="T81" i="20" s="1"/>
  <c r="T83" i="20" s="1"/>
  <c r="J79" i="19"/>
  <c r="H79" i="19"/>
  <c r="H81" i="19" s="1"/>
  <c r="T79" i="19"/>
  <c r="T81" i="19" s="1"/>
  <c r="T83" i="19" s="1"/>
  <c r="I79" i="20"/>
  <c r="A74" i="20"/>
  <c r="U79" i="19"/>
  <c r="U81" i="19" s="1"/>
  <c r="U83" i="19" s="1"/>
  <c r="M79" i="19"/>
  <c r="M81" i="19" s="1"/>
  <c r="M83" i="19" s="1"/>
  <c r="N81" i="20"/>
  <c r="N83" i="20" s="1"/>
  <c r="P79" i="19"/>
  <c r="P81" i="19" s="1"/>
  <c r="P83" i="19" s="1"/>
  <c r="A75" i="20"/>
  <c r="S88" i="19" l="1"/>
  <c r="K88" i="19"/>
  <c r="O88" i="19"/>
  <c r="P88" i="19"/>
  <c r="Q88" i="19"/>
  <c r="J81" i="19"/>
  <c r="J83" i="19" s="1"/>
  <c r="U88" i="19"/>
  <c r="M88" i="19"/>
  <c r="A79" i="20"/>
  <c r="I81" i="20"/>
  <c r="R88" i="19"/>
  <c r="N88" i="19"/>
  <c r="I88" i="19"/>
  <c r="T88" i="19"/>
  <c r="L88" i="19"/>
  <c r="G17" i="21" l="1"/>
  <c r="G54" i="21"/>
  <c r="G57" i="21" s="1"/>
  <c r="K17" i="21"/>
  <c r="K54" i="21"/>
  <c r="K57" i="21" s="1"/>
  <c r="N54" i="21"/>
  <c r="N57" i="21" s="1"/>
  <c r="N17" i="21"/>
  <c r="I17" i="21"/>
  <c r="I54" i="21"/>
  <c r="I57" i="21" s="1"/>
  <c r="R17" i="21"/>
  <c r="R20" i="21" s="1"/>
  <c r="R54" i="21"/>
  <c r="R57" i="21" s="1"/>
  <c r="T17" i="21"/>
  <c r="T54" i="21"/>
  <c r="T57" i="21" s="1"/>
  <c r="J88" i="19"/>
  <c r="H83" i="19"/>
  <c r="M54" i="21"/>
  <c r="M57" i="21" s="1"/>
  <c r="M17" i="21"/>
  <c r="L54" i="21"/>
  <c r="L57" i="21" s="1"/>
  <c r="L17" i="21"/>
  <c r="P17" i="21"/>
  <c r="P54" i="21"/>
  <c r="P57" i="21" s="1"/>
  <c r="O17" i="21"/>
  <c r="O54" i="21"/>
  <c r="O57" i="21" s="1"/>
  <c r="Q17" i="21"/>
  <c r="Q54" i="21"/>
  <c r="Q57" i="21" s="1"/>
  <c r="J17" i="21"/>
  <c r="J54" i="21"/>
  <c r="J57" i="21" s="1"/>
  <c r="I83" i="20"/>
  <c r="A83" i="20" s="1"/>
  <c r="A81" i="20"/>
  <c r="L20" i="21" l="1"/>
  <c r="L28" i="21"/>
  <c r="J28" i="21"/>
  <c r="J20" i="21"/>
  <c r="I28" i="21"/>
  <c r="I20" i="21"/>
  <c r="N28" i="21"/>
  <c r="N20" i="21"/>
  <c r="Q20" i="21"/>
  <c r="Q28" i="21"/>
  <c r="T28" i="21"/>
  <c r="T20" i="21"/>
  <c r="M28" i="21"/>
  <c r="M20" i="21"/>
  <c r="O28" i="21"/>
  <c r="O20" i="21"/>
  <c r="H88" i="19"/>
  <c r="F17" i="21" s="1"/>
  <c r="K28" i="21"/>
  <c r="K20" i="21"/>
  <c r="H17" i="21"/>
  <c r="H54" i="21"/>
  <c r="H57" i="21" s="1"/>
  <c r="P28" i="21"/>
  <c r="P20" i="21"/>
  <c r="G28" i="21"/>
  <c r="G20" i="21"/>
  <c r="H28" i="21" l="1"/>
  <c r="H20" i="21"/>
  <c r="F54" i="21"/>
  <c r="E17" i="21" l="1"/>
  <c r="F20" i="21"/>
  <c r="E20" i="21" s="1"/>
  <c r="F28" i="21"/>
  <c r="F57" i="21"/>
  <c r="E57" i="21" s="1"/>
  <c r="E54" i="21"/>
</calcChain>
</file>

<file path=xl/sharedStrings.xml><?xml version="1.0" encoding="utf-8"?>
<sst xmlns="http://schemas.openxmlformats.org/spreadsheetml/2006/main" count="1916" uniqueCount="504">
  <si>
    <t>Functionalization Factors</t>
  </si>
  <si>
    <t>Year Ended December 31, 2018</t>
  </si>
  <si>
    <t>------------------------------------</t>
  </si>
  <si>
    <t>(millions of dollars)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</si>
  <si>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</si>
  <si>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</si>
  <si>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</si>
  <si>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</si>
  <si>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</si>
  <si>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</si>
  <si>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</si>
  <si>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</si>
  <si>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</si>
  <si>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</si>
  <si>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</si>
  <si>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Col. 12</t>
  </si>
  <si>
    <t>Col. 13</t>
  </si>
  <si>
    <t>Total</t>
  </si>
  <si>
    <t>Gas Supply</t>
  </si>
  <si>
    <t>Storage</t>
  </si>
  <si>
    <t>Sales Stations</t>
  </si>
  <si>
    <t>Distribution Measurement</t>
  </si>
  <si>
    <t>Services</t>
  </si>
  <si>
    <t>Mains</t>
  </si>
  <si>
    <t>Meters</t>
  </si>
  <si>
    <t>Rental Equipment</t>
  </si>
  <si>
    <t>Sales / Marketing</t>
  </si>
  <si>
    <t>Customer Accounting</t>
  </si>
  <si>
    <t>Unidentifiable</t>
  </si>
  <si>
    <t>CIS</t>
  </si>
  <si>
    <t>1.</t>
  </si>
  <si>
    <t>Distribution Plant</t>
  </si>
  <si>
    <t>2.1</t>
  </si>
  <si>
    <t>Land</t>
  </si>
  <si>
    <t>2.2</t>
  </si>
  <si>
    <t>Structures &amp; Improvements</t>
  </si>
  <si>
    <t>2.3</t>
  </si>
  <si>
    <t>2.4</t>
  </si>
  <si>
    <t>Meas. Reg. &amp; Telemetering</t>
  </si>
  <si>
    <t>2.5</t>
  </si>
  <si>
    <t>2.6</t>
  </si>
  <si>
    <t>2.</t>
  </si>
  <si>
    <t>Total Distribution Plant</t>
  </si>
  <si>
    <t>General Plant</t>
  </si>
  <si>
    <t>3.1</t>
  </si>
  <si>
    <t>3.2</t>
  </si>
  <si>
    <t>3.3</t>
  </si>
  <si>
    <t>Office Furniture &amp; Equipment</t>
  </si>
  <si>
    <t>3.4</t>
  </si>
  <si>
    <t>Transportation Equipment</t>
  </si>
  <si>
    <t>3.5</t>
  </si>
  <si>
    <t>Heavy Work Equipment</t>
  </si>
  <si>
    <t>3.6</t>
  </si>
  <si>
    <t>Tools &amp; Work Equipment</t>
  </si>
  <si>
    <t>3.7</t>
  </si>
  <si>
    <t>3.8</t>
  </si>
  <si>
    <t>Communication Equipment</t>
  </si>
  <si>
    <t>3.9</t>
  </si>
  <si>
    <t>Compressors</t>
  </si>
  <si>
    <t>3.10</t>
  </si>
  <si>
    <t>Computer Equipment</t>
  </si>
  <si>
    <t>3.11</t>
  </si>
  <si>
    <t>Software Acquired/Developed</t>
  </si>
  <si>
    <t>3.12</t>
  </si>
  <si>
    <t>3.</t>
  </si>
  <si>
    <t>Total General Plant</t>
  </si>
  <si>
    <t>4.</t>
  </si>
  <si>
    <t>Other Plant</t>
  </si>
  <si>
    <t>5.</t>
  </si>
  <si>
    <t>Prepaid Expenses</t>
  </si>
  <si>
    <t>Materials &amp; Supplies</t>
  </si>
  <si>
    <t>6.1</t>
  </si>
  <si>
    <t>Pipe</t>
  </si>
  <si>
    <t>6.2</t>
  </si>
  <si>
    <t>Tools</t>
  </si>
  <si>
    <t>6.3</t>
  </si>
  <si>
    <t>Construction Supplies</t>
  </si>
  <si>
    <t>Net Investments</t>
  </si>
  <si>
    <t>7.</t>
  </si>
  <si>
    <t>Municipal Taxes</t>
  </si>
  <si>
    <t>8.</t>
  </si>
  <si>
    <t>Capital Taxes</t>
  </si>
  <si>
    <t>9.</t>
  </si>
  <si>
    <t>Fringe Denominator</t>
  </si>
  <si>
    <t>This denominator is made up of the sum of all labour from the start file, after adjusting DSM and removing fringe</t>
  </si>
  <si>
    <t>10.</t>
  </si>
  <si>
    <t>A&amp;G Denominator</t>
  </si>
  <si>
    <t>Functionalization of</t>
  </si>
  <si>
    <t>Depreciation</t>
  </si>
  <si>
    <t>Col. 14</t>
  </si>
  <si>
    <t>Depreciation by Component</t>
  </si>
  <si>
    <t>HST Revenue</t>
  </si>
  <si>
    <t>3.13</t>
  </si>
  <si>
    <t>WAMS</t>
  </si>
  <si>
    <t>Plant Held for Future Use</t>
  </si>
  <si>
    <t>Other Items</t>
  </si>
  <si>
    <t>5.1</t>
  </si>
  <si>
    <t>Working Capital Allowance</t>
  </si>
  <si>
    <t>Total Other Items</t>
  </si>
  <si>
    <t>6.</t>
  </si>
  <si>
    <t>Total Depreciation</t>
  </si>
  <si>
    <t>Ontario Utility Rate Base</t>
  </si>
  <si>
    <t>Col. 15</t>
  </si>
  <si>
    <t>Net Rate Base</t>
  </si>
  <si>
    <t>Total Rate Base</t>
  </si>
  <si>
    <t>Ontario Net Investments</t>
  </si>
  <si>
    <t>Investment &amp; Revenues</t>
  </si>
  <si>
    <t>Investment Costs</t>
  </si>
  <si>
    <t>1.1</t>
  </si>
  <si>
    <t>1.2</t>
  </si>
  <si>
    <t>1.3</t>
  </si>
  <si>
    <t>Miscellaneous Revenues</t>
  </si>
  <si>
    <t>Rentals</t>
  </si>
  <si>
    <t>Transactional Services</t>
  </si>
  <si>
    <t>Miscellaneous Income</t>
  </si>
  <si>
    <t>Late Payment Penalties</t>
  </si>
  <si>
    <t>Open Bill Revenue</t>
  </si>
  <si>
    <t>Customer Accounting Charge</t>
  </si>
  <si>
    <t>2.7</t>
  </si>
  <si>
    <t>Meter Charge</t>
  </si>
  <si>
    <t>2.8</t>
  </si>
  <si>
    <t>Service Alteration Charge</t>
  </si>
  <si>
    <t>Total Revenues</t>
  </si>
  <si>
    <t>Net Investments Total</t>
  </si>
  <si>
    <t>Ontario Utility Working Capital</t>
  </si>
  <si>
    <t>Total Requirement</t>
  </si>
  <si>
    <t>NGV Inventory</t>
  </si>
  <si>
    <t>Warehouse Inventory</t>
  </si>
  <si>
    <t>Holding Account</t>
  </si>
  <si>
    <t>Total Materials &amp; Supplies</t>
  </si>
  <si>
    <t>Mortgages Receivable</t>
  </si>
  <si>
    <t>Rebilled Construction Work</t>
  </si>
  <si>
    <t>Gas in Inventory</t>
  </si>
  <si>
    <t>Customer Security Deposits</t>
  </si>
  <si>
    <t>Working Cash Allowance</t>
  </si>
  <si>
    <t>7.1</t>
  </si>
  <si>
    <t>Gas Costs / O&amp;M</t>
  </si>
  <si>
    <t>7.2</t>
  </si>
  <si>
    <t>HST</t>
  </si>
  <si>
    <t>Total Working Cash Allowance</t>
  </si>
  <si>
    <t>Total Working Capital</t>
  </si>
  <si>
    <t>Ontario Utility O&amp;M</t>
  </si>
  <si>
    <t>Cost of Service</t>
  </si>
  <si>
    <t>Fringe Benefits</t>
  </si>
  <si>
    <t>Sub-Total</t>
  </si>
  <si>
    <t>Supervision</t>
  </si>
  <si>
    <t>A&amp;G Overhead</t>
  </si>
  <si>
    <t>Gas Purchased</t>
  </si>
  <si>
    <t>Gas Storage</t>
  </si>
  <si>
    <t>A&amp;G</t>
  </si>
  <si>
    <t>1.4</t>
  </si>
  <si>
    <t>System Gas Management</t>
  </si>
  <si>
    <t>1.5</t>
  </si>
  <si>
    <t>Direct Purchase Management</t>
  </si>
  <si>
    <t>Total Gas Supply</t>
  </si>
  <si>
    <t>Distribution Costs</t>
  </si>
  <si>
    <t>Operating Costs</t>
  </si>
  <si>
    <t>2.1.1</t>
  </si>
  <si>
    <t>Chart Processing</t>
  </si>
  <si>
    <t>2.1.2</t>
  </si>
  <si>
    <t>Distribution Stations</t>
  </si>
  <si>
    <t>2.1.3</t>
  </si>
  <si>
    <t>2.1.4</t>
  </si>
  <si>
    <t>Supervision M&amp;R</t>
  </si>
  <si>
    <t>2.1.5</t>
  </si>
  <si>
    <t>System Operation</t>
  </si>
  <si>
    <t>2.1.6</t>
  </si>
  <si>
    <t>2.1.7</t>
  </si>
  <si>
    <t>Supervision Dist Operations</t>
  </si>
  <si>
    <t>2.1.8</t>
  </si>
  <si>
    <t>Gas Dispatched</t>
  </si>
  <si>
    <t>Total Operating Costs</t>
  </si>
  <si>
    <t>Maintenance Costs</t>
  </si>
  <si>
    <t>2.2.1</t>
  </si>
  <si>
    <t>Distribution System Reg</t>
  </si>
  <si>
    <t>2.2.2</t>
  </si>
  <si>
    <t>Sales Meteres</t>
  </si>
  <si>
    <t>2.2.3</t>
  </si>
  <si>
    <t>Other Meters</t>
  </si>
  <si>
    <t>2.2.4</t>
  </si>
  <si>
    <t>Instruments</t>
  </si>
  <si>
    <t>2.2.5</t>
  </si>
  <si>
    <t>Sub-Total M&amp;R</t>
  </si>
  <si>
    <t>2.2.6</t>
  </si>
  <si>
    <t>2.2.7</t>
  </si>
  <si>
    <t>2.2.8</t>
  </si>
  <si>
    <t>Structures</t>
  </si>
  <si>
    <t>2.2.9</t>
  </si>
  <si>
    <t>Sub-Total Maintenance</t>
  </si>
  <si>
    <t>2.2.10</t>
  </si>
  <si>
    <t>Supervision Dist Maintenance</t>
  </si>
  <si>
    <t>Total Maintenance Costs</t>
  </si>
  <si>
    <t>Total Distribution Costs</t>
  </si>
  <si>
    <t>Customer Service Costs</t>
  </si>
  <si>
    <t>3.1.1</t>
  </si>
  <si>
    <t>Heating Equipment Service</t>
  </si>
  <si>
    <t>3.1.2</t>
  </si>
  <si>
    <t>Other Service Work</t>
  </si>
  <si>
    <t>3.1.3</t>
  </si>
  <si>
    <t>Inspect Appl. Inst.</t>
  </si>
  <si>
    <t>3.1.4</t>
  </si>
  <si>
    <t>Sub-Total Service Work</t>
  </si>
  <si>
    <t>3.1.5</t>
  </si>
  <si>
    <t>Meter Locks, Unlocks, Exchanges</t>
  </si>
  <si>
    <t>3.1.6</t>
  </si>
  <si>
    <t>Jobbing Contracts Costs</t>
  </si>
  <si>
    <t>3.1.7</t>
  </si>
  <si>
    <t>3.1.8</t>
  </si>
  <si>
    <t>Training &amp; Supervision</t>
  </si>
  <si>
    <t>3.2.1</t>
  </si>
  <si>
    <t>Co Equipment on Customer Premises</t>
  </si>
  <si>
    <t>3.2.2</t>
  </si>
  <si>
    <t>Service Lines</t>
  </si>
  <si>
    <t>Total Customer Service Costs</t>
  </si>
  <si>
    <t>Sales / Marketing Costs</t>
  </si>
  <si>
    <t>4.1</t>
  </si>
  <si>
    <t>Residential Promotion</t>
  </si>
  <si>
    <t>4.2</t>
  </si>
  <si>
    <t>Commerical Promotion</t>
  </si>
  <si>
    <t>4.3</t>
  </si>
  <si>
    <t>Industrial Promotion</t>
  </si>
  <si>
    <t>4.4</t>
  </si>
  <si>
    <t>General Sales Promotion</t>
  </si>
  <si>
    <t>4.5</t>
  </si>
  <si>
    <t>Merchandising Expenses</t>
  </si>
  <si>
    <t>4.6</t>
  </si>
  <si>
    <t>NGV Operation</t>
  </si>
  <si>
    <t>4.7</t>
  </si>
  <si>
    <t>Contract Administration Costs</t>
  </si>
  <si>
    <t>4.8</t>
  </si>
  <si>
    <t>4.9</t>
  </si>
  <si>
    <t>General Supervision</t>
  </si>
  <si>
    <t>4.10</t>
  </si>
  <si>
    <t>DSM - Program</t>
  </si>
  <si>
    <t>4.11</t>
  </si>
  <si>
    <t>DSM - General</t>
  </si>
  <si>
    <t>Total Sales</t>
  </si>
  <si>
    <t>Customer Accounting Costs</t>
  </si>
  <si>
    <t>Billing</t>
  </si>
  <si>
    <t>5.2</t>
  </si>
  <si>
    <t>Service &amp; Billing Enquiry</t>
  </si>
  <si>
    <t>5.3</t>
  </si>
  <si>
    <t>Meter Reading</t>
  </si>
  <si>
    <t>5.4</t>
  </si>
  <si>
    <t>Credit &amp; Collection</t>
  </si>
  <si>
    <t>5.5</t>
  </si>
  <si>
    <t>5.6</t>
  </si>
  <si>
    <t>5.7</t>
  </si>
  <si>
    <t>Large Volume Customer Care</t>
  </si>
  <si>
    <t>5.8</t>
  </si>
  <si>
    <t>Uncollectible Accounts</t>
  </si>
  <si>
    <t>Total Customer Accounting</t>
  </si>
  <si>
    <t>Admin &amp; General Overhead</t>
  </si>
  <si>
    <t>Sub-Total A&amp;G and F/B</t>
  </si>
  <si>
    <t>Total Operating &amp; Maintenance</t>
  </si>
  <si>
    <t>Fixed Financing Costs</t>
  </si>
  <si>
    <t>11.</t>
  </si>
  <si>
    <t>TOTAL O&amp;M EXPENSE</t>
  </si>
  <si>
    <t>Classification</t>
  </si>
  <si>
    <t>Classification of</t>
  </si>
  <si>
    <t>Factors</t>
  </si>
  <si>
    <t>Col. 16</t>
  </si>
  <si>
    <t>Col. 17</t>
  </si>
  <si>
    <t>Col. 18</t>
  </si>
  <si>
    <t>Col. 19</t>
  </si>
  <si>
    <t>Col. 20</t>
  </si>
  <si>
    <t>Col. 21</t>
  </si>
  <si>
    <t>Col. 22</t>
  </si>
  <si>
    <t>Col. 23</t>
  </si>
  <si>
    <t>Col. 24</t>
  </si>
  <si>
    <t>Col. 25</t>
  </si>
  <si>
    <t>Col. 26</t>
  </si>
  <si>
    <t>Product Costs</t>
  </si>
  <si>
    <t>Load Balancing</t>
  </si>
  <si>
    <t>Storage Costs</t>
  </si>
  <si>
    <t>Customer Related Investments</t>
  </si>
  <si>
    <t>Number of Customers</t>
  </si>
  <si>
    <t>Specific Classes</t>
  </si>
  <si>
    <t>Winter Commodity</t>
  </si>
  <si>
    <t>Annual Commodity</t>
  </si>
  <si>
    <t>Peak</t>
  </si>
  <si>
    <t>Seasonal</t>
  </si>
  <si>
    <t>Annual</t>
  </si>
  <si>
    <t>Deliverability</t>
  </si>
  <si>
    <t>Space</t>
  </si>
  <si>
    <t>Winter</t>
  </si>
  <si>
    <t>TP Capacity &lt;=4"</t>
  </si>
  <si>
    <t>TP Capacity &gt;4"</t>
  </si>
  <si>
    <t>HP Capacity</t>
  </si>
  <si>
    <t>LP Capacity</t>
  </si>
  <si>
    <t>Commodity</t>
  </si>
  <si>
    <t>Customer Plant</t>
  </si>
  <si>
    <t>Commercial / Industrial</t>
  </si>
  <si>
    <t>Contracts</t>
  </si>
  <si>
    <t>Direct Purchase</t>
  </si>
  <si>
    <t>Readings Processed</t>
  </si>
  <si>
    <t>Distribution</t>
  </si>
  <si>
    <t>Distribution Reg</t>
  </si>
  <si>
    <t>Customer</t>
  </si>
  <si>
    <t>Sales Station</t>
  </si>
  <si>
    <t>Sales/Marketing</t>
  </si>
  <si>
    <t>12.</t>
  </si>
  <si>
    <t>Sub - Total</t>
  </si>
  <si>
    <t>13.</t>
  </si>
  <si>
    <t>14.</t>
  </si>
  <si>
    <t>15.</t>
  </si>
  <si>
    <t>Total Classified</t>
  </si>
  <si>
    <t>Col. 27</t>
  </si>
  <si>
    <t>Col. 28</t>
  </si>
  <si>
    <t>Net Investment</t>
  </si>
  <si>
    <t>DSM Peak</t>
  </si>
  <si>
    <t>DSM Annual</t>
  </si>
  <si>
    <t>O&amp;M</t>
  </si>
  <si>
    <t>Col. 29</t>
  </si>
  <si>
    <t>Col. 30</t>
  </si>
  <si>
    <t>Col. 31</t>
  </si>
  <si>
    <t>System Gas</t>
  </si>
  <si>
    <t>Bad Debt Commodity</t>
  </si>
  <si>
    <t>Transportation Annual</t>
  </si>
  <si>
    <t>Bad Debt Distribution</t>
  </si>
  <si>
    <t>DSM</t>
  </si>
  <si>
    <t>Deferred Taxes</t>
  </si>
  <si>
    <t>Fixed Financing</t>
  </si>
  <si>
    <t>Stored Gas</t>
  </si>
  <si>
    <t>OPERATING COSTS</t>
  </si>
  <si>
    <t>District Stations</t>
  </si>
  <si>
    <t>System Operations</t>
  </si>
  <si>
    <t>MAINTENANCE COSTS</t>
  </si>
  <si>
    <t>Dist. System Reg.</t>
  </si>
  <si>
    <t>Sales Meters</t>
  </si>
  <si>
    <t>2.9</t>
  </si>
  <si>
    <t>2.10</t>
  </si>
  <si>
    <t>Customer Service</t>
  </si>
  <si>
    <t>Appliance Inspection</t>
  </si>
  <si>
    <t>Locks / Unlocks / Exchanges</t>
  </si>
  <si>
    <t>JC Costs</t>
  </si>
  <si>
    <t>Total Customer Service</t>
  </si>
  <si>
    <t>Residential</t>
  </si>
  <si>
    <t>Commercial</t>
  </si>
  <si>
    <t>Industrial</t>
  </si>
  <si>
    <t>General Promotion</t>
  </si>
  <si>
    <t>Merchandising Expense</t>
  </si>
  <si>
    <t>Contract Administration</t>
  </si>
  <si>
    <t>Total Promotions</t>
  </si>
  <si>
    <t>Service and Billing Enquiry</t>
  </si>
  <si>
    <t>Credit and Collection</t>
  </si>
  <si>
    <t>Uncollectibles</t>
  </si>
  <si>
    <t>Total O&amp;M</t>
  </si>
  <si>
    <t>Total O&amp;M Expense</t>
  </si>
  <si>
    <t>Allocation Factors</t>
  </si>
  <si>
    <t>Factor Total</t>
  </si>
  <si>
    <t>Rate 1</t>
  </si>
  <si>
    <t>Rate 6</t>
  </si>
  <si>
    <t>Rate 9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</si>
  <si>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</si>
  <si>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</si>
  <si>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</si>
  <si>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</si>
  <si>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</si>
  <si>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</si>
  <si>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</si>
  <si>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</si>
  <si>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 Firm</t>
  </si>
  <si>
    <t>Rate 300 Interruptible</t>
  </si>
  <si>
    <t>Commodity Responsibility</t>
  </si>
  <si>
    <t>Annual Sales</t>
  </si>
  <si>
    <t>Bundled Annual Deliveries</t>
  </si>
  <si>
    <t>Total Annual Deliveries</t>
  </si>
  <si>
    <t>Bundled Peak Delivery</t>
  </si>
  <si>
    <t>System Gas Sales</t>
  </si>
  <si>
    <t>Distribution Capacity Responsibility</t>
  </si>
  <si>
    <t>Delivery Demand TP &gt; 4"</t>
  </si>
  <si>
    <t>Delivery Demand TP &lt;= 4"</t>
  </si>
  <si>
    <t>Delivery Demand HP</t>
  </si>
  <si>
    <t>Delivery Demand LP</t>
  </si>
  <si>
    <t>Cust. Rel Plant</t>
  </si>
  <si>
    <t>Storage Responsibility</t>
  </si>
  <si>
    <t>Customer Responsibility</t>
  </si>
  <si>
    <t>Total Customer Count</t>
  </si>
  <si>
    <t>Comm / Ind. Customer Count</t>
  </si>
  <si>
    <t>Chart Readings non AMR per year</t>
  </si>
  <si>
    <t>Chart Readings AMR per year</t>
  </si>
  <si>
    <t>Meter Readings per year</t>
  </si>
  <si>
    <t>Direct Purchase Customers</t>
  </si>
  <si>
    <t>Rate Base</t>
  </si>
  <si>
    <t>Load Factor</t>
  </si>
  <si>
    <t>Dawn Transportation</t>
  </si>
  <si>
    <t>Bundled Transportation Deliveries</t>
  </si>
  <si>
    <t>Bundled Winter Deliveries</t>
  </si>
  <si>
    <t>Allocation Percentages</t>
  </si>
  <si>
    <t>Separation Expense Allocator</t>
  </si>
  <si>
    <t>4.12</t>
  </si>
  <si>
    <t>Bundled Dawn Transportation Deliveries</t>
  </si>
  <si>
    <t>NGV Specific Classes Info</t>
  </si>
  <si>
    <t>Rate Base $</t>
  </si>
  <si>
    <t>Inventory $</t>
  </si>
  <si>
    <t>O&amp;M Allocation Factor %</t>
  </si>
  <si>
    <t>Rental Revenue and Depreciation</t>
  </si>
  <si>
    <t>Allocation of Rate Base</t>
  </si>
  <si>
    <t>Rate 300</t>
  </si>
  <si>
    <t>Rate 300 Int</t>
  </si>
  <si>
    <t>SUPPLY COST</t>
  </si>
  <si>
    <t>PRODUCT COST</t>
  </si>
  <si>
    <t>Total Gas Cost</t>
  </si>
  <si>
    <t>PIPELINE TRANSPORTATION</t>
  </si>
  <si>
    <t>DSM - Peak</t>
  </si>
  <si>
    <t>DSM - Annual</t>
  </si>
  <si>
    <t>Total Pipeline Trans. Cost</t>
  </si>
  <si>
    <t>FACILITIES' COST</t>
  </si>
  <si>
    <t>STORAGE FACILITIES</t>
  </si>
  <si>
    <t>Total Storage</t>
  </si>
  <si>
    <t>DISTRIBUTION FACILITIES</t>
  </si>
  <si>
    <t>Capacity TP &gt; 4"</t>
  </si>
  <si>
    <t>Capacity TP &lt;= 4"</t>
  </si>
  <si>
    <t>Capacity HP</t>
  </si>
  <si>
    <t>Capacity LP</t>
  </si>
  <si>
    <t>Total Distribution</t>
  </si>
  <si>
    <t>CUSTOMER RELATED</t>
  </si>
  <si>
    <t>Comm / Ind. Customers</t>
  </si>
  <si>
    <t>Total Customers</t>
  </si>
  <si>
    <t>5.9</t>
  </si>
  <si>
    <t>5.10</t>
  </si>
  <si>
    <t>5.11</t>
  </si>
  <si>
    <t>Total Customer Related</t>
  </si>
  <si>
    <t>Total Rate Base + CIS</t>
  </si>
  <si>
    <t>Allocation of Return &amp; Taxes</t>
  </si>
  <si>
    <t>Return &amp; Taxes</t>
  </si>
  <si>
    <t>Allocation of Cost of Service</t>
  </si>
  <si>
    <t>O&amp;M Costs</t>
  </si>
  <si>
    <t>Net Investment Costs</t>
  </si>
  <si>
    <t>Rate 332</t>
  </si>
  <si>
    <t>Factors
Exhibit
G2.6.3*</t>
  </si>
  <si>
    <t>System Gas Fee</t>
  </si>
  <si>
    <t>Annual - Transportation</t>
  </si>
  <si>
    <t>Interruptible Credit</t>
  </si>
  <si>
    <t>TS Revenue</t>
  </si>
  <si>
    <t>Dawn T-Service</t>
  </si>
  <si>
    <t>Seasonal Credit</t>
  </si>
  <si>
    <t>5.12</t>
  </si>
  <si>
    <t>Financing Costs</t>
  </si>
  <si>
    <t>5.13</t>
  </si>
  <si>
    <t>CIS Depreciation</t>
  </si>
  <si>
    <t>Return</t>
  </si>
  <si>
    <t>Taxes</t>
  </si>
  <si>
    <t>CIS Return</t>
  </si>
  <si>
    <t>6.4</t>
  </si>
  <si>
    <t>CIS Tax</t>
  </si>
  <si>
    <t>Return and Taxes</t>
  </si>
  <si>
    <t>Total Facilities</t>
  </si>
  <si>
    <t>Total Cost of Service</t>
  </si>
  <si>
    <t>GTA Revenue Requirement</t>
  </si>
  <si>
    <t>Total 2018 Cost of Service</t>
  </si>
  <si>
    <t xml:space="preserve"> REVENUE REQUIREMENT FOR SHARED PORTION OF SEGMENT A</t>
  </si>
  <si>
    <t>DECEMBER 31, 2018</t>
  </si>
  <si>
    <t>------------------------------------------</t>
  </si>
  <si>
    <t>($ Million)</t>
  </si>
  <si>
    <t>ITEM</t>
  </si>
  <si>
    <t>REVENUE</t>
  </si>
  <si>
    <t>RATE</t>
  </si>
  <si>
    <t>NO.</t>
  </si>
  <si>
    <t>DESCRIPTION</t>
  </si>
  <si>
    <t>REQUIREMENT</t>
  </si>
  <si>
    <t>1</t>
  </si>
  <si>
    <t>6</t>
  </si>
  <si>
    <t>9</t>
  </si>
  <si>
    <t>100</t>
  </si>
  <si>
    <t>110</t>
  </si>
  <si>
    <t>115</t>
  </si>
  <si>
    <t>135</t>
  </si>
  <si>
    <t>145</t>
  </si>
  <si>
    <t>170</t>
  </si>
  <si>
    <t>200</t>
  </si>
  <si>
    <t>300</t>
  </si>
  <si>
    <t>300 Int</t>
  </si>
  <si>
    <t>Enbridge Revenue Requirement from Segment A</t>
  </si>
  <si>
    <t>Annual Transportation</t>
  </si>
  <si>
    <t>Dawn T Transportation</t>
  </si>
  <si>
    <t>Seasonal Balancing - Space</t>
  </si>
  <si>
    <t>Seasonal Balancing - Deliverability</t>
  </si>
  <si>
    <t>Enbridge Revenue Requirement from Segment A (40%)</t>
  </si>
  <si>
    <t>Non-Shared Portion of Revenue Requirement (Segment A)</t>
  </si>
  <si>
    <t>Transportation</t>
  </si>
  <si>
    <t>Revenue Requirement Segment B</t>
  </si>
  <si>
    <t>Total Revenue Requirement for Enbridge</t>
  </si>
  <si>
    <t>Rate 332 Revenue Requirement from Segment A (60%)</t>
  </si>
  <si>
    <t>Total Revenue Requirement for the GTA Project</t>
  </si>
  <si>
    <t>GTA Costs</t>
  </si>
  <si>
    <t>Supply Cost</t>
  </si>
  <si>
    <t>Product Cost</t>
  </si>
  <si>
    <t>Pipeline Transportation</t>
  </si>
  <si>
    <t>Dawn T</t>
  </si>
  <si>
    <t>Facilities' Cost</t>
  </si>
  <si>
    <t>Storage Facilities</t>
  </si>
  <si>
    <t>Distribution Facilities</t>
  </si>
  <si>
    <t>Customer Related</t>
  </si>
  <si>
    <t>Revenue to Cost / Rate of Return Comparisons</t>
  </si>
  <si>
    <t>Rate 325 &amp; 330</t>
  </si>
  <si>
    <t>Sales and Transportation Revenue</t>
  </si>
  <si>
    <t>Unbilled Revenues</t>
  </si>
  <si>
    <t>Over / Under Contribution</t>
  </si>
  <si>
    <r>
      <t>Over / Under Contribution per 10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3</t>
    </r>
  </si>
  <si>
    <t>Return on Rate Base</t>
  </si>
  <si>
    <t>Revenue to Cost Ratio</t>
  </si>
  <si>
    <t>Excluding Gas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</si>
</sst>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0"/>
    <numFmt numFmtId="165" formatCode="0.00_);\(0.00\)"/>
    <numFmt numFmtId="166" formatCode="#,##0.0000_);\(#,##0.0000\)"/>
    <numFmt numFmtId="167" formatCode="_(* #,##0.0000_);_(* \(#,##0.0000\);_(* &quot;-&quot;??_);_(@_)"/>
    <numFmt numFmtId="168" formatCode="0.0%"/>
    <numFmt numFmtId="169" formatCode="#,##0.0_);\(#,##0.0\)"/>
    <numFmt numFmtId="170" formatCode="#,##0.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MT"/>
    </font>
    <font>
      <sz val="11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sz val="10"/>
      <name val="Helvetica"/>
      <family val="2"/>
    </font>
    <font>
      <sz val="10"/>
      <color theme="1"/>
      <name val="Calibri"/>
      <family val="2"/>
      <scheme val="minor"/>
    </font>
    <font>
      <i/>
      <sz val="10"/>
      <name val="Helvetica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Calibri"/>
      <family val="2"/>
      <scheme val="minor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</cellStyleXfs>
  <cellXfs count="102">
    <xf numFmtId="0" fontId="0" fillId="0" borderId="0" xfId="0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quotePrefix="1" applyFont="1" applyAlignment="1">
      <alignment horizontal="center"/>
    </xf>
    <xf numFmtId="39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0" xfId="0" quotePrefix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quotePrefix="1" applyFont="1"/>
    <xf numFmtId="164" fontId="2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164" fontId="2" fillId="0" borderId="0" xfId="0" applyNumberFormat="1" applyFont="1"/>
    <xf numFmtId="166" fontId="2" fillId="0" borderId="0" xfId="0" applyNumberFormat="1" applyFont="1" applyAlignment="1">
      <alignment horizontal="center"/>
    </xf>
    <xf numFmtId="39" fontId="4" fillId="0" borderId="1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/>
    </xf>
    <xf numFmtId="39" fontId="4" fillId="0" borderId="0" xfId="0" applyNumberFormat="1" applyFont="1"/>
    <xf numFmtId="39" fontId="2" fillId="0" borderId="0" xfId="0" applyNumberFormat="1" applyFont="1" applyAlignment="1">
      <alignment horizontal="center"/>
    </xf>
    <xf numFmtId="39" fontId="2" fillId="0" borderId="1" xfId="0" applyNumberFormat="1" applyFont="1" applyBorder="1" applyAlignment="1">
      <alignment horizontal="center"/>
    </xf>
    <xf numFmtId="39" fontId="2" fillId="0" borderId="2" xfId="0" applyNumberFormat="1" applyFont="1" applyBorder="1" applyAlignment="1">
      <alignment horizontal="center"/>
    </xf>
    <xf numFmtId="39" fontId="2" fillId="0" borderId="0" xfId="0" applyNumberFormat="1" applyFont="1"/>
    <xf numFmtId="39" fontId="2" fillId="0" borderId="0" xfId="0" quotePrefix="1" applyNumberFormat="1" applyFont="1" applyAlignment="1">
      <alignment horizontal="center"/>
    </xf>
    <xf numFmtId="0" fontId="2" fillId="0" borderId="2" xfId="0" applyFont="1" applyBorder="1"/>
    <xf numFmtId="2" fontId="4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1" xfId="0" quotePrefix="1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0" xfId="0" quotePrefix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0" xfId="0" quotePrefix="1" applyNumberFormat="1" applyFont="1" applyAlignment="1">
      <alignment horizontal="center"/>
    </xf>
    <xf numFmtId="0" fontId="6" fillId="0" borderId="0" xfId="0" applyFont="1"/>
    <xf numFmtId="165" fontId="4" fillId="0" borderId="0" xfId="0" applyNumberFormat="1" applyFont="1" applyAlignment="1">
      <alignment horizontal="center"/>
    </xf>
    <xf numFmtId="10" fontId="4" fillId="0" borderId="0" xfId="0" applyNumberFormat="1" applyFont="1"/>
    <xf numFmtId="165" fontId="4" fillId="0" borderId="1" xfId="0" applyNumberFormat="1" applyFont="1" applyBorder="1" applyAlignment="1">
      <alignment horizontal="center"/>
    </xf>
    <xf numFmtId="165" fontId="4" fillId="0" borderId="0" xfId="0" quotePrefix="1" applyNumberFormat="1" applyFont="1" applyAlignment="1">
      <alignment horizontal="center"/>
    </xf>
    <xf numFmtId="165" fontId="4" fillId="0" borderId="1" xfId="0" quotePrefix="1" applyNumberFormat="1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left"/>
    </xf>
    <xf numFmtId="39" fontId="4" fillId="0" borderId="0" xfId="0" quotePrefix="1" applyNumberFormat="1" applyFont="1" applyAlignment="1">
      <alignment horizont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39" fontId="11" fillId="0" borderId="0" xfId="0" applyNumberFormat="1" applyFont="1" applyAlignment="1">
      <alignment horizontal="center"/>
    </xf>
    <xf numFmtId="0" fontId="5" fillId="0" borderId="0" xfId="0" applyFont="1"/>
    <xf numFmtId="39" fontId="5" fillId="0" borderId="0" xfId="0" applyNumberFormat="1" applyFont="1" applyAlignment="1">
      <alignment horizontal="center"/>
    </xf>
    <xf numFmtId="39" fontId="4" fillId="0" borderId="2" xfId="0" quotePrefix="1" applyNumberFormat="1" applyFont="1" applyBorder="1" applyAlignment="1">
      <alignment horizontal="center"/>
    </xf>
    <xf numFmtId="0" fontId="4" fillId="0" borderId="3" xfId="0" applyFont="1" applyBorder="1"/>
    <xf numFmtId="39" fontId="4" fillId="0" borderId="3" xfId="0" quotePrefix="1" applyNumberFormat="1" applyFont="1" applyBorder="1" applyAlignment="1">
      <alignment horizontal="center"/>
    </xf>
    <xf numFmtId="39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39" fontId="2" fillId="0" borderId="3" xfId="0" applyNumberFormat="1" applyFont="1" applyBorder="1" applyAlignment="1">
      <alignment horizontal="center"/>
    </xf>
    <xf numFmtId="0" fontId="12" fillId="0" borderId="0" xfId="0" applyFont="1"/>
    <xf numFmtId="169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left" vertical="center"/>
    </xf>
    <xf numFmtId="167" fontId="2" fillId="0" borderId="0" xfId="1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166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13" fillId="0" borderId="0" xfId="0" applyFont="1"/>
    <xf numFmtId="43" fontId="2" fillId="0" borderId="0" xfId="1" applyFont="1" applyFill="1" applyAlignment="1">
      <alignment horizontal="center"/>
    </xf>
    <xf numFmtId="39" fontId="7" fillId="0" borderId="0" xfId="3" applyNumberFormat="1" applyFont="1" applyAlignment="1">
      <alignment horizontal="right" wrapText="1"/>
    </xf>
    <xf numFmtId="0" fontId="7" fillId="0" borderId="0" xfId="3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/>
    </xf>
    <xf numFmtId="170" fontId="2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3" fontId="2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39" fontId="7" fillId="0" borderId="0" xfId="3" applyNumberFormat="1" applyFont="1" applyAlignment="1">
      <alignment horizontal="centerContinuous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9" fontId="7" fillId="0" borderId="0" xfId="3" applyNumberFormat="1" applyFont="1" applyAlignment="1">
      <alignment horizontal="center" wrapText="1"/>
    </xf>
    <xf numFmtId="0" fontId="13" fillId="0" borderId="0" xfId="0" applyFont="1" applyAlignment="1">
      <alignment wrapText="1"/>
    </xf>
    <xf numFmtId="15" fontId="7" fillId="0" borderId="0" xfId="3" quotePrefix="1" applyNumberFormat="1" applyFont="1" applyAlignment="1">
      <alignment horizontal="center"/>
    </xf>
    <xf numFmtId="0" fontId="13" fillId="0" borderId="0" xfId="0" applyFont="1" applyAlignment="1"/>
    <xf numFmtId="39" fontId="7" fillId="0" borderId="0" xfId="3" applyNumberFormat="1" applyFont="1" applyAlignment="1">
      <alignment horizontal="center"/>
    </xf>
    <xf numFmtId="0" fontId="13" fillId="0" borderId="0" xfId="0" applyFont="1" applyAlignment="1">
      <alignment horizontal="center"/>
    </xf>
  </cellXfs>
  <cellStyles count="4">
    <cellStyle name="Comma" xfId="1" builtinId="3"/>
    <cellStyle name="Exhibits" xfId="2" xr:uid="{5B60888F-A063-4B96-BE50-86775FD49C06}"/>
    <cellStyle name="Normal" xfId="0" builtinId="0"/>
    <cellStyle name="Normal 2" xfId="3" xr:uid="{D027790A-E5E7-44BF-AC8B-7082F441AC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63"/>
  <sheetViews>
    <sheetView view="pageLayout" zoomScaleNormal="98" workbookViewId="0"/>
  </sheetViews>
  <sheetFormatPr defaultColWidth="9.1796875" defaultRowHeight="12.5"/>
  <cols>
    <col min="1" max="1" width="3.1796875" style="9" customWidth="1"/>
    <col min="2" max="2" width="4" style="9" bestFit="1" customWidth="1"/>
    <col min="3" max="3" width="25.54296875" style="9" customWidth="1"/>
    <col min="4" max="4" width="0.26953125" style="9" hidden="1" customWidth="1"/>
    <col min="5" max="5" width="12.7265625" style="9" customWidth="1"/>
    <col min="6" max="6" width="0.81640625" style="9" hidden="1" customWidth="1"/>
    <col min="7" max="18" width="12.7265625" style="9" customWidth="1"/>
    <col min="19" max="16384" width="9.1796875" style="9"/>
  </cols>
  <sheetData>
    <row r="1" spans="2:18" ht="11.25" customHeight="1">
      <c r="C1" s="90" t="s">
        <v>0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2:18" ht="11.25" customHeight="1">
      <c r="C2" s="90" t="s">
        <v>1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2:18" ht="11.25" customHeight="1">
      <c r="C3" s="91" t="s">
        <v>2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2:18" ht="11.25" customHeight="1">
      <c r="C4" s="90" t="s">
        <v>3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</row>
    <row r="5" spans="2:18" ht="11.25" customHeight="1"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2:18" ht="11.25" customHeight="1">
      <c r="E6" s="10" t="s">
        <v>4</v>
      </c>
      <c r="F6" s="10"/>
      <c r="G6" s="10" t="s">
        <v>5</v>
      </c>
      <c r="H6" s="10" t="s">
        <v>6</v>
      </c>
      <c r="I6" s="10" t="s">
        <v>7</v>
      </c>
      <c r="J6" s="10" t="s">
        <v>8</v>
      </c>
      <c r="K6" s="10" t="s">
        <v>9</v>
      </c>
      <c r="L6" s="10" t="s">
        <v>10</v>
      </c>
      <c r="M6" s="10" t="s">
        <v>11</v>
      </c>
      <c r="N6" s="10" t="s">
        <v>12</v>
      </c>
      <c r="O6" s="10" t="s">
        <v>13</v>
      </c>
      <c r="P6" s="10" t="s">
        <v>14</v>
      </c>
      <c r="Q6" s="10" t="s">
        <v>15</v>
      </c>
      <c r="R6" s="10" t="s">
        <v>16</v>
      </c>
    </row>
    <row r="7" spans="2:18" ht="11.25" customHeight="1"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2:18" ht="31.5" customHeight="1">
      <c r="D8" s="11"/>
      <c r="E8" s="12" t="s">
        <v>17</v>
      </c>
      <c r="F8" s="12"/>
      <c r="G8" s="12" t="s">
        <v>18</v>
      </c>
      <c r="H8" s="12" t="s">
        <v>19</v>
      </c>
      <c r="I8" s="12" t="s">
        <v>20</v>
      </c>
      <c r="J8" s="12" t="s">
        <v>21</v>
      </c>
      <c r="K8" s="12" t="s">
        <v>22</v>
      </c>
      <c r="L8" s="12" t="s">
        <v>23</v>
      </c>
      <c r="M8" s="12" t="s">
        <v>24</v>
      </c>
      <c r="N8" s="12" t="s">
        <v>25</v>
      </c>
      <c r="O8" s="12" t="s">
        <v>26</v>
      </c>
      <c r="P8" s="12" t="s">
        <v>27</v>
      </c>
      <c r="Q8" s="12" t="s">
        <v>28</v>
      </c>
      <c r="R8" s="12" t="s">
        <v>29</v>
      </c>
    </row>
    <row r="9" spans="2:18"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2:18" ht="12.75" customHeight="1">
      <c r="B10" s="13" t="s">
        <v>30</v>
      </c>
      <c r="C10" s="9" t="s">
        <v>18</v>
      </c>
      <c r="E10" s="14">
        <f>SUM(G10:R10)</f>
        <v>1</v>
      </c>
      <c r="F10" s="14"/>
      <c r="G10" s="14">
        <v>0</v>
      </c>
      <c r="H10" s="14">
        <v>1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spans="2:18" ht="12.75" customHeight="1"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2:18" ht="12.75" customHeight="1">
      <c r="C12" s="9" t="s">
        <v>31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2:18" ht="12.75" customHeight="1"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2:18" ht="12.75" customHeight="1">
      <c r="B14" s="13" t="s">
        <v>32</v>
      </c>
      <c r="C14" s="9" t="s">
        <v>33</v>
      </c>
      <c r="E14" s="14">
        <f>SUM(G14:R14)</f>
        <v>1</v>
      </c>
      <c r="F14" s="14"/>
      <c r="G14" s="14">
        <v>9.7599999999999996E-3</v>
      </c>
      <c r="H14" s="14">
        <v>0</v>
      </c>
      <c r="I14" s="14">
        <v>4.7400000000000003E-3</v>
      </c>
      <c r="J14" s="14">
        <v>2.3E-3</v>
      </c>
      <c r="K14" s="14">
        <v>0.11860999999999999</v>
      </c>
      <c r="L14" s="14">
        <f>0.09612+0.2+0.1</f>
        <v>0.39612000000000003</v>
      </c>
      <c r="M14" s="14">
        <v>2.3E-3</v>
      </c>
      <c r="N14" s="14">
        <v>0</v>
      </c>
      <c r="O14" s="14">
        <f>0.1611-0.1</f>
        <v>6.1099999999999988E-2</v>
      </c>
      <c r="P14" s="14">
        <f>0.4264-0.2</f>
        <v>0.22639999999999999</v>
      </c>
      <c r="Q14" s="14">
        <f>1-SUM(G14:P14)</f>
        <v>0.17867000000000011</v>
      </c>
      <c r="R14" s="14">
        <v>0</v>
      </c>
    </row>
    <row r="15" spans="2:18" ht="12.75" customHeight="1">
      <c r="B15" s="13" t="s">
        <v>34</v>
      </c>
      <c r="C15" s="9" t="s">
        <v>35</v>
      </c>
      <c r="E15" s="14">
        <f t="shared" ref="E15:E19" si="0">SUM(G15:R15)</f>
        <v>1</v>
      </c>
      <c r="F15" s="14"/>
      <c r="G15" s="14">
        <v>9.7599999999999996E-3</v>
      </c>
      <c r="H15" s="14">
        <v>0</v>
      </c>
      <c r="I15" s="14">
        <v>4.7400000000000003E-3</v>
      </c>
      <c r="J15" s="14">
        <v>2.3E-3</v>
      </c>
      <c r="K15" s="14">
        <v>0.11860999999999999</v>
      </c>
      <c r="L15" s="14">
        <v>9.6119999999999997E-2</v>
      </c>
      <c r="M15" s="14">
        <v>2.3E-3</v>
      </c>
      <c r="N15" s="14">
        <v>0</v>
      </c>
      <c r="O15" s="14">
        <v>0.16109999999999999</v>
      </c>
      <c r="P15" s="14">
        <v>0.4264</v>
      </c>
      <c r="Q15" s="14">
        <f>1-SUM(G15:P15)</f>
        <v>0.17867</v>
      </c>
      <c r="R15" s="14">
        <v>0</v>
      </c>
    </row>
    <row r="16" spans="2:18" ht="12.75" customHeight="1">
      <c r="B16" s="13" t="s">
        <v>36</v>
      </c>
      <c r="C16" s="9" t="s">
        <v>23</v>
      </c>
      <c r="E16" s="14">
        <f t="shared" si="0"/>
        <v>1</v>
      </c>
      <c r="F16" s="14"/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spans="2:18" ht="12.75" customHeight="1">
      <c r="B17" s="13" t="s">
        <v>37</v>
      </c>
      <c r="C17" s="9" t="s">
        <v>38</v>
      </c>
      <c r="E17" s="14">
        <f>SUM(G17:R17)</f>
        <v>1</v>
      </c>
      <c r="F17" s="14"/>
      <c r="G17" s="14">
        <v>0</v>
      </c>
      <c r="H17" s="14">
        <v>0</v>
      </c>
      <c r="I17" s="14">
        <v>0.46320773334744991</v>
      </c>
      <c r="J17" s="14">
        <v>0.53679226665255009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spans="2:18" ht="12.75" customHeight="1">
      <c r="B18" s="13" t="s">
        <v>39</v>
      </c>
      <c r="C18" s="9" t="s">
        <v>22</v>
      </c>
      <c r="E18" s="14">
        <f t="shared" si="0"/>
        <v>1</v>
      </c>
      <c r="F18" s="14"/>
      <c r="G18" s="14">
        <v>0</v>
      </c>
      <c r="H18" s="14">
        <v>0</v>
      </c>
      <c r="I18" s="14">
        <v>0</v>
      </c>
      <c r="J18" s="14">
        <v>0</v>
      </c>
      <c r="K18" s="14">
        <v>1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  <row r="19" spans="2:18" ht="12.75" customHeight="1">
      <c r="B19" s="13" t="s">
        <v>40</v>
      </c>
      <c r="C19" s="9" t="s">
        <v>24</v>
      </c>
      <c r="E19" s="14">
        <f t="shared" si="0"/>
        <v>1</v>
      </c>
      <c r="F19" s="14"/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1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  <row r="20" spans="2:18" ht="12.75" customHeight="1">
      <c r="B20" s="13" t="s">
        <v>41</v>
      </c>
      <c r="C20" s="9" t="s">
        <v>42</v>
      </c>
      <c r="E20" s="15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2:18" ht="12.75" customHeight="1"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2:18" ht="12.75" customHeight="1">
      <c r="C22" s="9" t="s">
        <v>43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2:18" ht="12.75" customHeight="1"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2:18" ht="12.75" customHeight="1">
      <c r="B24" s="13" t="s">
        <v>44</v>
      </c>
      <c r="C24" s="9" t="s">
        <v>33</v>
      </c>
      <c r="E24" s="14">
        <f>SUM(G24:R24)</f>
        <v>1</v>
      </c>
      <c r="F24" s="14"/>
      <c r="G24" s="14">
        <v>0</v>
      </c>
      <c r="H24" s="14">
        <v>0</v>
      </c>
      <c r="I24" s="14">
        <v>0</v>
      </c>
      <c r="J24" s="14">
        <v>0</v>
      </c>
      <c r="K24" s="14">
        <v>0.33579999999999999</v>
      </c>
      <c r="L24" s="14">
        <v>4.5199999999999997E-2</v>
      </c>
      <c r="M24" s="14">
        <v>0</v>
      </c>
      <c r="N24" s="14">
        <v>0</v>
      </c>
      <c r="O24" s="14">
        <v>0.12573000000000001</v>
      </c>
      <c r="P24" s="14">
        <v>0.35343999999999998</v>
      </c>
      <c r="Q24" s="14">
        <v>0.13983000000000001</v>
      </c>
      <c r="R24" s="14">
        <v>0</v>
      </c>
    </row>
    <row r="25" spans="2:18" ht="12.75" customHeight="1">
      <c r="B25" s="13" t="s">
        <v>45</v>
      </c>
      <c r="C25" s="9" t="s">
        <v>35</v>
      </c>
      <c r="E25" s="14">
        <f t="shared" ref="E25:E35" si="1">SUM(G25:R25)</f>
        <v>1</v>
      </c>
      <c r="F25" s="14"/>
      <c r="G25" s="14">
        <v>0</v>
      </c>
      <c r="H25" s="14">
        <v>0</v>
      </c>
      <c r="I25" s="14">
        <v>0</v>
      </c>
      <c r="J25" s="14">
        <v>0</v>
      </c>
      <c r="K25" s="14">
        <v>0.33579999999999999</v>
      </c>
      <c r="L25" s="14">
        <v>4.5199999999999997E-2</v>
      </c>
      <c r="M25" s="14">
        <v>0</v>
      </c>
      <c r="N25" s="14">
        <v>0</v>
      </c>
      <c r="O25" s="14">
        <v>0.12573000000000001</v>
      </c>
      <c r="P25" s="14">
        <v>0.35343999999999998</v>
      </c>
      <c r="Q25" s="14">
        <v>0.13983000000000001</v>
      </c>
      <c r="R25" s="14">
        <v>0</v>
      </c>
    </row>
    <row r="26" spans="2:18" ht="12.75" customHeight="1">
      <c r="B26" s="13" t="s">
        <v>46</v>
      </c>
      <c r="C26" s="9" t="s">
        <v>47</v>
      </c>
      <c r="E26" s="14">
        <f t="shared" si="1"/>
        <v>1</v>
      </c>
      <c r="F26" s="14"/>
      <c r="G26" s="14">
        <v>1.4E-3</v>
      </c>
      <c r="H26" s="14">
        <v>1.1999999999999999E-3</v>
      </c>
      <c r="I26" s="14">
        <v>1.2999999999999999E-3</v>
      </c>
      <c r="J26" s="14">
        <v>0.123</v>
      </c>
      <c r="K26" s="14">
        <v>0.1613</v>
      </c>
      <c r="L26" s="14">
        <v>0.2001</v>
      </c>
      <c r="M26" s="14">
        <v>4.6300000000000001E-2</v>
      </c>
      <c r="N26" s="14">
        <v>1.66E-2</v>
      </c>
      <c r="O26" s="14">
        <v>2.3900000000000001E-2</v>
      </c>
      <c r="P26" s="14">
        <v>3.1399999999999997E-2</v>
      </c>
      <c r="Q26" s="14">
        <v>0.39350000000000002</v>
      </c>
      <c r="R26" s="14">
        <v>0</v>
      </c>
    </row>
    <row r="27" spans="2:18" ht="12.75" customHeight="1">
      <c r="B27" s="13" t="s">
        <v>48</v>
      </c>
      <c r="C27" s="9" t="s">
        <v>49</v>
      </c>
      <c r="E27" s="14">
        <f t="shared" si="1"/>
        <v>1</v>
      </c>
      <c r="F27" s="14"/>
      <c r="G27" s="14">
        <v>0</v>
      </c>
      <c r="H27" s="14">
        <v>0</v>
      </c>
      <c r="I27" s="14">
        <v>0</v>
      </c>
      <c r="J27" s="14">
        <f>529.64/226896.39</f>
        <v>2.3342812990546037E-3</v>
      </c>
      <c r="K27" s="14">
        <f>67291.27/226896.39</f>
        <v>0.29657267795225828</v>
      </c>
      <c r="L27" s="14">
        <f>151692.68/226896.39</f>
        <v>0.66855484126477283</v>
      </c>
      <c r="M27" s="14">
        <v>0</v>
      </c>
      <c r="N27" s="14">
        <v>0</v>
      </c>
      <c r="O27" s="14">
        <f>7382.8/226896.39</f>
        <v>3.2538199483914218E-2</v>
      </c>
      <c r="P27" s="14">
        <v>0</v>
      </c>
      <c r="Q27" s="14">
        <v>0</v>
      </c>
      <c r="R27" s="14">
        <v>0</v>
      </c>
    </row>
    <row r="28" spans="2:18" ht="12.75" customHeight="1">
      <c r="B28" s="13" t="s">
        <v>50</v>
      </c>
      <c r="C28" s="9" t="s">
        <v>51</v>
      </c>
      <c r="E28" s="14">
        <f t="shared" si="1"/>
        <v>1</v>
      </c>
      <c r="F28" s="14"/>
      <c r="G28" s="14">
        <v>0</v>
      </c>
      <c r="H28" s="14">
        <v>0</v>
      </c>
      <c r="I28" s="14">
        <v>0</v>
      </c>
      <c r="J28" s="14">
        <f>529.64/226896.39</f>
        <v>2.3342812990546037E-3</v>
      </c>
      <c r="K28" s="14">
        <f>67291.27/226896.39</f>
        <v>0.29657267795225828</v>
      </c>
      <c r="L28" s="14">
        <f>151692.68/226896.39</f>
        <v>0.66855484126477283</v>
      </c>
      <c r="M28" s="14">
        <v>0</v>
      </c>
      <c r="N28" s="14">
        <v>0</v>
      </c>
      <c r="O28" s="14">
        <f>7382.8/226896.39</f>
        <v>3.2538199483914218E-2</v>
      </c>
      <c r="P28" s="14">
        <v>0</v>
      </c>
      <c r="Q28" s="14">
        <v>0</v>
      </c>
      <c r="R28" s="14">
        <v>0</v>
      </c>
    </row>
    <row r="29" spans="2:18" ht="12.75" customHeight="1">
      <c r="B29" s="13" t="s">
        <v>52</v>
      </c>
      <c r="C29" s="9" t="s">
        <v>53</v>
      </c>
      <c r="E29" s="14">
        <f t="shared" si="1"/>
        <v>1</v>
      </c>
      <c r="F29" s="14"/>
      <c r="G29" s="14">
        <v>0</v>
      </c>
      <c r="H29" s="14">
        <v>0</v>
      </c>
      <c r="I29" s="14">
        <v>0</v>
      </c>
      <c r="J29" s="14">
        <v>0</v>
      </c>
      <c r="K29" s="14">
        <v>0.5</v>
      </c>
      <c r="L29" s="14">
        <v>0.5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</row>
    <row r="30" spans="2:18" ht="12.75" customHeight="1">
      <c r="B30" s="13" t="s">
        <v>54</v>
      </c>
      <c r="C30" s="9" t="s">
        <v>25</v>
      </c>
      <c r="E30" s="14">
        <f>SUM(G30:R30)</f>
        <v>1</v>
      </c>
      <c r="F30" s="14"/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</v>
      </c>
      <c r="O30" s="14">
        <v>0</v>
      </c>
      <c r="P30" s="14">
        <v>0</v>
      </c>
      <c r="Q30" s="14">
        <v>0</v>
      </c>
      <c r="R30" s="14">
        <v>0</v>
      </c>
    </row>
    <row r="31" spans="2:18" ht="12.75" customHeight="1">
      <c r="B31" s="13" t="s">
        <v>55</v>
      </c>
      <c r="C31" s="9" t="s">
        <v>56</v>
      </c>
      <c r="E31" s="14">
        <f t="shared" si="1"/>
        <v>1</v>
      </c>
      <c r="F31" s="14"/>
      <c r="G31" s="14">
        <v>1.4E-2</v>
      </c>
      <c r="H31" s="14">
        <v>0</v>
      </c>
      <c r="I31" s="14">
        <v>8.0000000000000002E-3</v>
      </c>
      <c r="J31" s="14">
        <v>0.28299999999999997</v>
      </c>
      <c r="K31" s="14">
        <v>8.5999999999999993E-2</v>
      </c>
      <c r="L31" s="14">
        <v>0.125</v>
      </c>
      <c r="M31" s="14">
        <v>0</v>
      </c>
      <c r="N31" s="14">
        <v>1E-3</v>
      </c>
      <c r="O31" s="14">
        <v>9.4E-2</v>
      </c>
      <c r="P31" s="14">
        <v>0.17100000000000001</v>
      </c>
      <c r="Q31" s="14">
        <v>0.218</v>
      </c>
      <c r="R31" s="14">
        <v>0</v>
      </c>
    </row>
    <row r="32" spans="2:18" ht="12.75" customHeight="1">
      <c r="B32" s="13" t="s">
        <v>57</v>
      </c>
      <c r="C32" s="9" t="s">
        <v>58</v>
      </c>
      <c r="E32" s="14">
        <f t="shared" si="1"/>
        <v>1</v>
      </c>
      <c r="F32" s="14"/>
      <c r="G32" s="14">
        <v>0</v>
      </c>
      <c r="H32" s="14">
        <v>0</v>
      </c>
      <c r="I32" s="14">
        <v>0</v>
      </c>
      <c r="J32" s="14">
        <f>529.64/226896.39</f>
        <v>2.3342812990546037E-3</v>
      </c>
      <c r="K32" s="14">
        <f>67291.27/226896.39</f>
        <v>0.29657267795225828</v>
      </c>
      <c r="L32" s="14">
        <f>151692.68/226896.39</f>
        <v>0.66855484126477283</v>
      </c>
      <c r="M32" s="14">
        <v>0</v>
      </c>
      <c r="N32" s="14">
        <v>0</v>
      </c>
      <c r="O32" s="14">
        <f>7382.8/226896.39</f>
        <v>3.2538199483914218E-2</v>
      </c>
      <c r="P32" s="14">
        <v>0</v>
      </c>
      <c r="Q32" s="14">
        <v>0</v>
      </c>
      <c r="R32" s="14">
        <v>0</v>
      </c>
    </row>
    <row r="33" spans="2:18" ht="12.75" customHeight="1">
      <c r="B33" s="13" t="s">
        <v>59</v>
      </c>
      <c r="C33" s="9" t="s">
        <v>60</v>
      </c>
      <c r="E33" s="14">
        <f>SUM(G33:R33)</f>
        <v>1</v>
      </c>
      <c r="F33" s="14"/>
      <c r="G33" s="14">
        <v>2.41E-2</v>
      </c>
      <c r="H33" s="14">
        <v>3.3999999999999998E-3</v>
      </c>
      <c r="I33" s="14">
        <v>2.3300000000000001E-2</v>
      </c>
      <c r="J33" s="14">
        <v>8.4900000000000003E-2</v>
      </c>
      <c r="K33" s="14">
        <v>0.1613</v>
      </c>
      <c r="L33" s="14">
        <v>0.2611</v>
      </c>
      <c r="M33" s="14">
        <v>8.4900000000000003E-2</v>
      </c>
      <c r="N33" s="14">
        <v>1.5E-3</v>
      </c>
      <c r="O33" s="14">
        <v>8.8999999999999999E-3</v>
      </c>
      <c r="P33" s="14">
        <v>0.23089999999999999</v>
      </c>
      <c r="Q33" s="14">
        <v>0.1157</v>
      </c>
      <c r="R33" s="14">
        <v>0</v>
      </c>
    </row>
    <row r="34" spans="2:18" ht="12.75" customHeight="1">
      <c r="B34" s="13" t="s">
        <v>61</v>
      </c>
      <c r="C34" s="9" t="s">
        <v>62</v>
      </c>
      <c r="E34" s="14">
        <f t="shared" si="1"/>
        <v>1</v>
      </c>
      <c r="F34" s="14"/>
      <c r="G34" s="14">
        <v>2.41E-2</v>
      </c>
      <c r="H34" s="14">
        <v>3.3999999999999998E-3</v>
      </c>
      <c r="I34" s="14">
        <v>2.3300000000000001E-2</v>
      </c>
      <c r="J34" s="14">
        <v>8.4900000000000003E-2</v>
      </c>
      <c r="K34" s="14">
        <v>0.1613</v>
      </c>
      <c r="L34" s="14">
        <v>0.2611</v>
      </c>
      <c r="M34" s="14">
        <v>8.4900000000000003E-2</v>
      </c>
      <c r="N34" s="14">
        <v>1.5E-3</v>
      </c>
      <c r="O34" s="14">
        <v>8.8999999999999999E-3</v>
      </c>
      <c r="P34" s="14">
        <v>0.23089999999999999</v>
      </c>
      <c r="Q34" s="14">
        <v>0.1157</v>
      </c>
      <c r="R34" s="14">
        <v>0</v>
      </c>
    </row>
    <row r="35" spans="2:18" ht="12.75" customHeight="1">
      <c r="B35" s="13" t="s">
        <v>63</v>
      </c>
      <c r="C35" s="9" t="s">
        <v>29</v>
      </c>
      <c r="E35" s="14">
        <f t="shared" si="1"/>
        <v>1</v>
      </c>
      <c r="F35" s="14"/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</v>
      </c>
    </row>
    <row r="36" spans="2:18" ht="12.75" customHeight="1">
      <c r="B36" s="13" t="s">
        <v>64</v>
      </c>
      <c r="C36" s="9" t="s">
        <v>65</v>
      </c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2:18" ht="12.75" customHeight="1"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2:18" ht="12.75" customHeight="1">
      <c r="B38" s="13" t="s">
        <v>66</v>
      </c>
      <c r="C38" s="9" t="s">
        <v>67</v>
      </c>
      <c r="E38" s="14">
        <f>SUM(G38:R38)</f>
        <v>1</v>
      </c>
      <c r="F38" s="14"/>
      <c r="G38" s="14">
        <v>0</v>
      </c>
      <c r="H38" s="14">
        <v>0</v>
      </c>
      <c r="I38" s="14">
        <v>0</v>
      </c>
      <c r="J38" s="14">
        <v>0</v>
      </c>
      <c r="K38" s="14">
        <v>0.43625230665995601</v>
      </c>
      <c r="L38" s="14">
        <v>0.56374769334004404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2:18" ht="12.75" customHeight="1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2:18" ht="12.75" customHeight="1">
      <c r="B40" s="13" t="s">
        <v>68</v>
      </c>
      <c r="C40" s="9" t="s">
        <v>69</v>
      </c>
      <c r="E40" s="14">
        <f>SUM(G40:R40)</f>
        <v>1</v>
      </c>
      <c r="F40" s="14"/>
      <c r="G40" s="14">
        <v>0</v>
      </c>
      <c r="H40" s="14">
        <v>0</v>
      </c>
      <c r="I40" s="14">
        <v>0</v>
      </c>
      <c r="J40" s="14">
        <v>0</v>
      </c>
      <c r="K40" s="14">
        <v>0.1225</v>
      </c>
      <c r="L40" s="14">
        <v>0.1225</v>
      </c>
      <c r="M40" s="14">
        <v>0</v>
      </c>
      <c r="N40" s="14">
        <v>0</v>
      </c>
      <c r="O40" s="14">
        <v>9.1000000000000004E-3</v>
      </c>
      <c r="P40" s="14">
        <v>0</v>
      </c>
      <c r="Q40" s="14">
        <f>1-SUM(G40:P40)</f>
        <v>0.74590000000000001</v>
      </c>
      <c r="R40" s="14">
        <v>0</v>
      </c>
    </row>
    <row r="41" spans="2:18" ht="12.75" customHeight="1"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2:18" ht="12.75" customHeight="1">
      <c r="C42" s="9" t="s">
        <v>70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2:18" ht="12.75" customHeight="1"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2:18" ht="12.75" customHeight="1">
      <c r="B44" s="13" t="s">
        <v>71</v>
      </c>
      <c r="C44" s="9" t="s">
        <v>72</v>
      </c>
      <c r="E44" s="14">
        <f>SUM(G44:R44)</f>
        <v>1</v>
      </c>
      <c r="F44" s="16"/>
      <c r="G44" s="14">
        <v>0</v>
      </c>
      <c r="H44" s="14">
        <v>0</v>
      </c>
      <c r="I44" s="14">
        <v>0</v>
      </c>
      <c r="J44" s="14">
        <v>0</v>
      </c>
      <c r="K44" s="14">
        <f>1.251/5.5</f>
        <v>0.22745454545454544</v>
      </c>
      <c r="L44" s="14">
        <f>4.249/5.5</f>
        <v>0.77254545454545454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</row>
    <row r="45" spans="2:18" ht="12.75" customHeight="1">
      <c r="B45" s="13" t="s">
        <v>73</v>
      </c>
      <c r="C45" s="9" t="s">
        <v>74</v>
      </c>
      <c r="E45" s="14">
        <f>SUM(G45:R45)</f>
        <v>1</v>
      </c>
      <c r="F45" s="16"/>
      <c r="G45" s="14">
        <v>0</v>
      </c>
      <c r="H45" s="14">
        <v>0</v>
      </c>
      <c r="I45" s="14">
        <v>0</v>
      </c>
      <c r="J45" s="14">
        <v>0</v>
      </c>
      <c r="K45" s="14">
        <v>0.5</v>
      </c>
      <c r="L45" s="14">
        <v>0.5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</row>
    <row r="46" spans="2:18" ht="12.75" customHeight="1">
      <c r="B46" s="13" t="s">
        <v>75</v>
      </c>
      <c r="C46" s="9" t="s">
        <v>76</v>
      </c>
      <c r="E46" s="14">
        <f>SUM(G46:R46)</f>
        <v>1</v>
      </c>
      <c r="F46" s="16"/>
      <c r="G46" s="14">
        <v>0</v>
      </c>
      <c r="H46" s="14">
        <v>0</v>
      </c>
      <c r="I46" s="14">
        <v>0</v>
      </c>
      <c r="J46" s="14">
        <v>0</v>
      </c>
      <c r="K46" s="14">
        <v>0.5</v>
      </c>
      <c r="L46" s="14">
        <v>0.5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</row>
    <row r="47" spans="2:18" ht="12.75" customHeight="1">
      <c r="E47" s="16"/>
      <c r="F47" s="16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2:18" ht="12.75" customHeight="1">
      <c r="C48" s="9" t="s">
        <v>77</v>
      </c>
      <c r="E48" s="16"/>
      <c r="F48" s="16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2:18" ht="12.75" customHeight="1">
      <c r="E49" s="16"/>
      <c r="F49" s="16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2:18" ht="12.75" customHeight="1">
      <c r="B50" s="13" t="s">
        <v>78</v>
      </c>
      <c r="C50" s="9" t="s">
        <v>79</v>
      </c>
      <c r="E50" s="14">
        <f>SUM(G50:R50)</f>
        <v>1</v>
      </c>
      <c r="F50" s="16"/>
      <c r="G50" s="14">
        <f>0+0.0489*G15</f>
        <v>4.7726399999999998E-4</v>
      </c>
      <c r="H50" s="14">
        <f>0+0.0489*H15</f>
        <v>0</v>
      </c>
      <c r="I50" s="14">
        <f>0.009/2+0.0489*I15</f>
        <v>4.731786E-3</v>
      </c>
      <c r="J50" s="14">
        <f>0.009/2+0.0489*J15</f>
        <v>4.6124699999999996E-3</v>
      </c>
      <c r="K50" s="14">
        <f>0.2696+0.0489*K15</f>
        <v>0.27540002899999999</v>
      </c>
      <c r="L50" s="14">
        <f>0.6725+0.0489*L15</f>
        <v>0.67720026799999999</v>
      </c>
      <c r="M50" s="14">
        <f>0+0.0489*M15</f>
        <v>1.1247E-4</v>
      </c>
      <c r="N50" s="14">
        <f t="shared" ref="N50" si="2">0+0.0517*N15</f>
        <v>0</v>
      </c>
      <c r="O50" s="14">
        <f>0+0.0489*O15</f>
        <v>7.8777899999999991E-3</v>
      </c>
      <c r="P50" s="14">
        <f>0+0.0489*P15</f>
        <v>2.0850959999999998E-2</v>
      </c>
      <c r="Q50" s="14">
        <f>0+0.0489*Q15</f>
        <v>8.7369630000000004E-3</v>
      </c>
      <c r="R50" s="14">
        <f>0+0.0489*R15</f>
        <v>0</v>
      </c>
    </row>
    <row r="51" spans="2:18" ht="12.75" customHeight="1">
      <c r="B51" s="13" t="s">
        <v>80</v>
      </c>
      <c r="C51" s="9" t="s">
        <v>81</v>
      </c>
      <c r="E51" s="14">
        <f>SUM(G51:R51)</f>
        <v>0</v>
      </c>
      <c r="F51" s="16"/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</row>
    <row r="52" spans="2:18" ht="12.75" customHeight="1"/>
    <row r="53" spans="2:18" ht="12.75" customHeight="1">
      <c r="B53" s="13" t="s">
        <v>82</v>
      </c>
      <c r="C53" s="9" t="s">
        <v>83</v>
      </c>
      <c r="E53" s="17">
        <v>110.49770817392388</v>
      </c>
      <c r="G53" s="9" t="s">
        <v>84</v>
      </c>
    </row>
    <row r="54" spans="2:18" ht="12.75" customHeight="1">
      <c r="B54" s="13" t="s">
        <v>85</v>
      </c>
      <c r="C54" s="9" t="s">
        <v>86</v>
      </c>
      <c r="E54" s="17">
        <f>'Function - O&amp;M3'!$J$27-'Function - O&amp;M3'!$J$25-'Function - O&amp;M1'!$J$18+0.03*'Function - O&amp;M1'!$J$18</f>
        <v>425.68118778316369</v>
      </c>
    </row>
    <row r="55" spans="2:18" ht="11.25" customHeight="1"/>
    <row r="56" spans="2:18" ht="11.25" customHeight="1"/>
    <row r="57" spans="2:18" ht="11.25" customHeight="1"/>
    <row r="58" spans="2:18" ht="11.25" customHeight="1"/>
    <row r="59" spans="2:18" ht="11.25" customHeight="1"/>
    <row r="60" spans="2:18" ht="11.25" customHeight="1"/>
    <row r="61" spans="2:18" ht="11.25" customHeight="1"/>
    <row r="62" spans="2:18" ht="11.25" customHeight="1"/>
    <row r="63" spans="2:18" ht="11.25" customHeight="1"/>
  </sheetData>
  <mergeCells count="4">
    <mergeCell ref="C1:R1"/>
    <mergeCell ref="C2:R2"/>
    <mergeCell ref="C3:R3"/>
    <mergeCell ref="C4:R4"/>
  </mergeCells>
  <pageMargins left="0.7" right="0.7" top="0.75" bottom="0.75" header="0.3" footer="0.3"/>
  <pageSetup scale="62" orientation="landscape" r:id="rId1"/>
  <headerFooter>
    <oddHeader>&amp;R&amp;"Arial,Regular"&amp;10Filed: 2023-03-08
EB-2022-0200
Exhibit I.7.1-VECC-62
Attachment 1</oddHeader>
  </headerFooter>
  <ignoredErrors>
    <ignoredError sqref="B10:B38 B39 B47:B49 B41:B43 B40 B44:B46 B50:B51 B5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DD9D4-87A4-466C-B124-85C406B29BCE}">
  <sheetPr>
    <tabColor theme="6" tint="0.59999389629810485"/>
  </sheetPr>
  <dimension ref="A1:AI48"/>
  <sheetViews>
    <sheetView zoomScale="96" zoomScaleNormal="96" workbookViewId="0"/>
  </sheetViews>
  <sheetFormatPr defaultColWidth="9.1796875" defaultRowHeight="12.5"/>
  <cols>
    <col min="1" max="1" width="3.54296875" style="9" customWidth="1"/>
    <col min="2" max="2" width="4" style="9" bestFit="1" customWidth="1"/>
    <col min="3" max="3" width="18.1796875" style="9" bestFit="1" customWidth="1"/>
    <col min="4" max="4" width="0.1796875" style="9" customWidth="1"/>
    <col min="5" max="6" width="9.1796875" style="10" customWidth="1"/>
    <col min="7" max="8" width="10.7265625" style="10" customWidth="1"/>
    <col min="9" max="11" width="9.1796875" style="10" customWidth="1"/>
    <col min="12" max="12" width="11.7265625" style="10" customWidth="1"/>
    <col min="13" max="18" width="9.1796875" style="10" customWidth="1"/>
    <col min="19" max="19" width="10.81640625" style="10" customWidth="1"/>
    <col min="20" max="24" width="9.1796875" style="9" customWidth="1"/>
    <col min="25" max="25" width="11" style="9" customWidth="1"/>
    <col min="26" max="28" width="9.1796875" style="9" customWidth="1"/>
    <col min="29" max="29" width="10" style="9" customWidth="1"/>
    <col min="30" max="32" width="9.1796875" style="9" customWidth="1"/>
    <col min="33" max="16384" width="9.1796875" style="9"/>
  </cols>
  <sheetData>
    <row r="1" spans="1:35">
      <c r="F1" s="90" t="s">
        <v>259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 t="s">
        <v>259</v>
      </c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35">
      <c r="F2" s="90" t="s">
        <v>101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 t="s">
        <v>101</v>
      </c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35">
      <c r="F3" s="90" t="str">
        <f>'Classification - Factor'!F3</f>
        <v>Year Ended December 31, 2018</v>
      </c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 t="str">
        <f>'Classification - Factor'!F3</f>
        <v>Year Ended December 31, 2018</v>
      </c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</row>
    <row r="4" spans="1:35">
      <c r="F4" s="91" t="s">
        <v>2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 t="s">
        <v>2</v>
      </c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</row>
    <row r="5" spans="1:35">
      <c r="F5" s="90" t="s">
        <v>3</v>
      </c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 t="s">
        <v>3</v>
      </c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</row>
    <row r="7" spans="1:35"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10" t="s">
        <v>16</v>
      </c>
      <c r="R7" s="10" t="s">
        <v>89</v>
      </c>
      <c r="S7" s="10" t="s">
        <v>102</v>
      </c>
      <c r="T7" s="10" t="s">
        <v>261</v>
      </c>
      <c r="U7" s="10" t="s">
        <v>262</v>
      </c>
      <c r="V7" s="10" t="s">
        <v>263</v>
      </c>
      <c r="W7" s="10" t="s">
        <v>264</v>
      </c>
      <c r="X7" s="10" t="s">
        <v>265</v>
      </c>
      <c r="Y7" s="10" t="s">
        <v>266</v>
      </c>
      <c r="Z7" s="10" t="s">
        <v>267</v>
      </c>
      <c r="AA7" s="10" t="s">
        <v>268</v>
      </c>
      <c r="AB7" s="10" t="s">
        <v>269</v>
      </c>
      <c r="AC7" s="10" t="s">
        <v>270</v>
      </c>
      <c r="AD7" s="10" t="s">
        <v>271</v>
      </c>
      <c r="AE7" s="10" t="s">
        <v>307</v>
      </c>
      <c r="AF7" s="10" t="s">
        <v>308</v>
      </c>
    </row>
    <row r="8" spans="1:35">
      <c r="G8" s="94" t="s">
        <v>18</v>
      </c>
      <c r="H8" s="90"/>
      <c r="I8" s="90"/>
      <c r="J8" s="90"/>
      <c r="K8" s="95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5">
      <c r="G9" s="94" t="s">
        <v>272</v>
      </c>
      <c r="H9" s="95"/>
      <c r="I9" s="94" t="s">
        <v>273</v>
      </c>
      <c r="J9" s="90"/>
      <c r="K9" s="95"/>
      <c r="L9" s="94" t="s">
        <v>274</v>
      </c>
      <c r="M9" s="90"/>
      <c r="N9" s="95"/>
      <c r="O9" s="94" t="s">
        <v>155</v>
      </c>
      <c r="P9" s="90"/>
      <c r="Q9" s="90"/>
      <c r="R9" s="90"/>
      <c r="S9" s="95"/>
      <c r="T9" s="94" t="s">
        <v>275</v>
      </c>
      <c r="U9" s="90"/>
      <c r="V9" s="90"/>
      <c r="W9" s="90"/>
      <c r="X9" s="95"/>
      <c r="Y9" s="94" t="s">
        <v>276</v>
      </c>
      <c r="Z9" s="90"/>
      <c r="AA9" s="90"/>
      <c r="AB9" s="95"/>
    </row>
    <row r="10" spans="1:35"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5" ht="37.5">
      <c r="D11" s="11"/>
      <c r="E11" s="12" t="s">
        <v>17</v>
      </c>
      <c r="F11" s="12" t="s">
        <v>277</v>
      </c>
      <c r="G11" s="12" t="s">
        <v>278</v>
      </c>
      <c r="H11" s="12" t="s">
        <v>279</v>
      </c>
      <c r="I11" s="12" t="s">
        <v>280</v>
      </c>
      <c r="J11" s="12" t="s">
        <v>281</v>
      </c>
      <c r="K11" s="12" t="s">
        <v>282</v>
      </c>
      <c r="L11" s="12" t="s">
        <v>283</v>
      </c>
      <c r="M11" s="12" t="s">
        <v>284</v>
      </c>
      <c r="N11" s="12" t="s">
        <v>285</v>
      </c>
      <c r="O11" s="12" t="s">
        <v>286</v>
      </c>
      <c r="P11" s="12" t="s">
        <v>287</v>
      </c>
      <c r="Q11" s="12" t="s">
        <v>288</v>
      </c>
      <c r="R11" s="12" t="s">
        <v>289</v>
      </c>
      <c r="S11" s="12" t="s">
        <v>290</v>
      </c>
      <c r="T11" s="12" t="s">
        <v>24</v>
      </c>
      <c r="U11" s="12" t="s">
        <v>20</v>
      </c>
      <c r="V11" s="12" t="s">
        <v>22</v>
      </c>
      <c r="W11" s="12" t="s">
        <v>291</v>
      </c>
      <c r="X11" s="12" t="s">
        <v>112</v>
      </c>
      <c r="Y11" s="12" t="s">
        <v>292</v>
      </c>
      <c r="Z11" s="12" t="s">
        <v>293</v>
      </c>
      <c r="AA11" s="12" t="s">
        <v>294</v>
      </c>
      <c r="AB11" s="12" t="s">
        <v>17</v>
      </c>
      <c r="AC11" s="12" t="s">
        <v>295</v>
      </c>
      <c r="AD11" s="12" t="s">
        <v>29</v>
      </c>
      <c r="AE11" s="12" t="s">
        <v>91</v>
      </c>
      <c r="AF11" s="12" t="s">
        <v>93</v>
      </c>
    </row>
    <row r="12" spans="1:35"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5">
      <c r="C13" s="9" t="s">
        <v>18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spans="1:35">
      <c r="E14" s="21"/>
      <c r="F14" s="21"/>
      <c r="G14" s="21"/>
      <c r="H14" s="21"/>
      <c r="I14" s="21"/>
      <c r="J14" s="21"/>
      <c r="K14" s="21"/>
      <c r="L14" s="21"/>
      <c r="M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pans="1:35">
      <c r="A15" s="24"/>
      <c r="B15" s="13" t="s">
        <v>30</v>
      </c>
      <c r="C15" s="9" t="s">
        <v>18</v>
      </c>
      <c r="E15" s="21">
        <f>'Function - Rate Base'!$G$48</f>
        <v>398.49088066830006</v>
      </c>
      <c r="F15" s="21"/>
      <c r="G15" s="21"/>
      <c r="H15" s="21">
        <f>E15-SUM(I15:S15)</f>
        <v>27.286837044420338</v>
      </c>
      <c r="I15" s="21"/>
      <c r="J15" s="21">
        <f>'Function - Working Capital'!$F$25</f>
        <v>370.9</v>
      </c>
      <c r="K15" s="21"/>
      <c r="L15" s="21"/>
      <c r="M15" s="21"/>
      <c r="O15" s="21"/>
      <c r="P15" s="21"/>
      <c r="Q15" s="21"/>
      <c r="R15" s="21"/>
      <c r="S15" s="21">
        <f>(E15-J15)*'Classification - Factor'!T15</f>
        <v>0.30404362387973988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</row>
    <row r="16" spans="1:35">
      <c r="A16" s="24"/>
      <c r="B16" s="13" t="s">
        <v>41</v>
      </c>
      <c r="C16" s="9" t="s">
        <v>19</v>
      </c>
      <c r="E16" s="21">
        <f>'Function - Rate Base'!$H$48</f>
        <v>7.3298766554771255</v>
      </c>
      <c r="F16" s="21"/>
      <c r="G16" s="21"/>
      <c r="H16" s="21"/>
      <c r="L16" s="21">
        <f>$E$16*'Classification - Factor'!M16</f>
        <v>4.8273779890268846</v>
      </c>
      <c r="M16" s="21">
        <f>$E$16*'Classification - Factor'!N16</f>
        <v>2.50249866645024</v>
      </c>
      <c r="N16" s="21">
        <f>$E$16*'Classification - Factor'!O16</f>
        <v>0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1:32">
      <c r="A17" s="24"/>
      <c r="B17" s="13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</row>
    <row r="18" spans="1:32">
      <c r="A18" s="24"/>
      <c r="B18" s="13"/>
      <c r="C18" s="9" t="s">
        <v>296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1:32">
      <c r="A19" s="24"/>
      <c r="B19" s="13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</row>
    <row r="20" spans="1:32">
      <c r="A20" s="24"/>
      <c r="B20" s="13" t="s">
        <v>64</v>
      </c>
      <c r="C20" s="9" t="s">
        <v>23</v>
      </c>
      <c r="E20" s="21">
        <f>'Function - Rate Base'!$L$48</f>
        <v>2753.4717686094732</v>
      </c>
      <c r="F20" s="21"/>
      <c r="G20" s="21"/>
      <c r="H20" s="21"/>
      <c r="I20" s="21"/>
      <c r="J20" s="21"/>
      <c r="K20" s="21"/>
      <c r="L20" s="21"/>
      <c r="M20" s="21"/>
      <c r="N20" s="21"/>
      <c r="O20" s="21">
        <f>$E$20*'Classification - Factor'!P20</f>
        <v>67.079239878434123</v>
      </c>
      <c r="P20" s="21">
        <f>$E$20*'Classification - Factor'!Q20</f>
        <v>611.20494480947684</v>
      </c>
      <c r="Q20" s="21">
        <f>$E$20*'Classification - Factor'!R20</f>
        <v>193.42504637309841</v>
      </c>
      <c r="R20" s="21">
        <f>$E$20*'Classification - Factor'!S20</f>
        <v>1047.2648316518691</v>
      </c>
      <c r="S20" s="21"/>
      <c r="T20" s="21"/>
      <c r="U20" s="21"/>
      <c r="V20" s="21"/>
      <c r="W20" s="21">
        <f>$E$20*'Classification - Factor'!X20</f>
        <v>834.49770589659477</v>
      </c>
      <c r="X20" s="21"/>
      <c r="Y20" s="21"/>
      <c r="Z20" s="21"/>
      <c r="AA20" s="21"/>
      <c r="AB20" s="21"/>
      <c r="AC20" s="21"/>
      <c r="AD20" s="21"/>
      <c r="AE20" s="21"/>
      <c r="AF20" s="21"/>
    </row>
    <row r="21" spans="1:32">
      <c r="A21" s="24"/>
      <c r="B21" s="13" t="s">
        <v>66</v>
      </c>
      <c r="C21" s="9" t="s">
        <v>297</v>
      </c>
      <c r="E21" s="21">
        <f>'Function - Rate Base'!$J$48</f>
        <v>201.30485663829725</v>
      </c>
      <c r="F21" s="21"/>
      <c r="G21" s="21"/>
      <c r="H21" s="21"/>
      <c r="I21" s="21"/>
      <c r="J21" s="21"/>
      <c r="K21" s="21"/>
      <c r="L21" s="21"/>
      <c r="M21" s="21"/>
      <c r="N21" s="21"/>
      <c r="O21" s="21">
        <f>$E$21*'Classification - Factor'!P21</f>
        <v>7.0367687763555473</v>
      </c>
      <c r="P21" s="21">
        <f>$E$21*'Classification - Factor'!Q21</f>
        <v>64.1168248087465</v>
      </c>
      <c r="Q21" s="21">
        <f>$E$21*'Classification - Factor'!R21</f>
        <v>20.290738674886654</v>
      </c>
      <c r="R21" s="21">
        <f>$E$21*'Classification - Factor'!S21</f>
        <v>109.86052437830855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</row>
    <row r="22" spans="1:32">
      <c r="A22" s="24"/>
      <c r="B22" s="13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spans="1:32">
      <c r="A23" s="24"/>
      <c r="B23" s="13"/>
      <c r="C23" s="9" t="s">
        <v>298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spans="1:32">
      <c r="A24" s="24"/>
      <c r="B24" s="13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  <row r="25" spans="1:32">
      <c r="A25" s="24"/>
      <c r="B25" s="13" t="s">
        <v>68</v>
      </c>
      <c r="C25" s="9" t="s">
        <v>299</v>
      </c>
      <c r="E25" s="21">
        <f>'Function - Rate Base'!$I$48</f>
        <v>167.35474550995116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>
        <f>E25</f>
        <v>167.35474550995116</v>
      </c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</row>
    <row r="26" spans="1:32">
      <c r="A26" s="24"/>
      <c r="B26" s="13" t="s">
        <v>99</v>
      </c>
      <c r="C26" s="9" t="s">
        <v>24</v>
      </c>
      <c r="E26" s="21">
        <f>'Function - Rate Base'!$M$48</f>
        <v>224.48579351000001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>
        <f>E26</f>
        <v>224.48579351000001</v>
      </c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</row>
    <row r="27" spans="1:32">
      <c r="A27" s="24"/>
      <c r="B27" s="13" t="s">
        <v>78</v>
      </c>
      <c r="C27" s="9" t="s">
        <v>22</v>
      </c>
      <c r="E27" s="21">
        <f>'Function - Rate Base'!$K$48</f>
        <v>1801.2624019729483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U27" s="21"/>
      <c r="V27" s="21">
        <f>E27</f>
        <v>1801.2624019729483</v>
      </c>
      <c r="W27" s="21"/>
      <c r="X27" s="21"/>
      <c r="Y27" s="21"/>
      <c r="Z27" s="21"/>
      <c r="AA27" s="21"/>
      <c r="AB27" s="21"/>
      <c r="AC27" s="21"/>
      <c r="AD27" s="21"/>
      <c r="AE27" s="21"/>
      <c r="AF27" s="21"/>
    </row>
    <row r="28" spans="1:32">
      <c r="A28" s="24"/>
      <c r="B28" s="13" t="s">
        <v>80</v>
      </c>
      <c r="C28" s="9" t="s">
        <v>25</v>
      </c>
      <c r="E28" s="21">
        <f>'Function - Rate Base'!$N$48</f>
        <v>15.311322480000001</v>
      </c>
      <c r="F28" s="21">
        <v>1.5070109999999999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W28" s="21"/>
      <c r="X28" s="21">
        <f>E28-F28</f>
        <v>13.804311480000001</v>
      </c>
      <c r="Y28" s="21"/>
      <c r="Z28" s="21"/>
      <c r="AA28" s="21"/>
      <c r="AB28" s="21"/>
      <c r="AC28" s="21"/>
      <c r="AD28" s="21"/>
      <c r="AE28" s="21"/>
      <c r="AF28" s="21"/>
    </row>
    <row r="29" spans="1:32">
      <c r="A29" s="24"/>
      <c r="B29" s="13" t="s">
        <v>82</v>
      </c>
      <c r="C29" s="9" t="s">
        <v>300</v>
      </c>
      <c r="E29" s="21">
        <f>'Function - Rate Base'!$O$48</f>
        <v>26.353826317255958</v>
      </c>
      <c r="F29" s="21">
        <v>0.36749999999999999</v>
      </c>
      <c r="G29" s="21"/>
      <c r="H29" s="21"/>
      <c r="I29" s="21"/>
      <c r="J29" s="21"/>
      <c r="K29" s="21"/>
      <c r="L29" s="21"/>
      <c r="M29" s="21"/>
      <c r="N29" s="21"/>
      <c r="O29" s="21">
        <f>$E$29*'Classification - Factor'!P29</f>
        <v>0.46060930983888554</v>
      </c>
      <c r="P29" s="21">
        <f>$E$29*'Classification - Factor'!Q29</f>
        <v>4.1969272208362884</v>
      </c>
      <c r="Q29" s="21">
        <f>$E$29*'Classification - Factor'!R29</f>
        <v>1.3281810777362533</v>
      </c>
      <c r="R29" s="21">
        <f>$E$29*'Classification - Factor'!S29</f>
        <v>7.191195550216551</v>
      </c>
      <c r="S29" s="21"/>
      <c r="T29" s="21"/>
      <c r="U29" s="21"/>
      <c r="V29" s="21"/>
      <c r="W29" s="21"/>
      <c r="X29" s="21"/>
      <c r="Y29" s="21"/>
      <c r="Z29" s="21"/>
      <c r="AA29" s="21"/>
      <c r="AB29" s="21">
        <f>E29-SUM(F29:R29)</f>
        <v>12.809413158627979</v>
      </c>
      <c r="AC29" s="21"/>
      <c r="AD29" s="21"/>
      <c r="AE29" s="21"/>
      <c r="AF29" s="21"/>
    </row>
    <row r="30" spans="1:32">
      <c r="A30" s="24"/>
      <c r="B30" s="13" t="s">
        <v>85</v>
      </c>
      <c r="C30" s="9" t="s">
        <v>27</v>
      </c>
      <c r="E30" s="21">
        <f>'Function - Rate Base'!$P$48</f>
        <v>30.636602499850824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>
        <f>E30</f>
        <v>30.636602499850824</v>
      </c>
      <c r="AC30" s="21"/>
      <c r="AD30" s="21"/>
      <c r="AE30" s="21"/>
      <c r="AF30" s="21"/>
    </row>
    <row r="31" spans="1:32">
      <c r="A31" s="24"/>
      <c r="B31" s="13" t="s">
        <v>256</v>
      </c>
      <c r="C31" s="9" t="s">
        <v>91</v>
      </c>
      <c r="E31" s="21">
        <f>'Function - Rate Base'!$S$48</f>
        <v>-29.42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>
        <f>E31</f>
        <v>-29.42</v>
      </c>
      <c r="AF31" s="21"/>
    </row>
    <row r="32" spans="1:32">
      <c r="A32" s="24"/>
      <c r="B32" s="13"/>
      <c r="C32" s="11"/>
      <c r="D32" s="11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1:32">
      <c r="A33" s="24"/>
      <c r="B33" s="13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>
      <c r="A34" s="24"/>
      <c r="B34" s="13" t="s">
        <v>301</v>
      </c>
      <c r="C34" s="9" t="s">
        <v>302</v>
      </c>
      <c r="E34" s="25">
        <f>SUM(E15:E32)</f>
        <v>5596.5820748615533</v>
      </c>
      <c r="F34" s="25">
        <f t="shared" ref="F34:AE34" si="0">SUM(F15:F31)</f>
        <v>1.8745109999999998</v>
      </c>
      <c r="G34" s="25">
        <f t="shared" si="0"/>
        <v>0</v>
      </c>
      <c r="H34" s="25">
        <f t="shared" si="0"/>
        <v>27.286837044420338</v>
      </c>
      <c r="I34" s="25">
        <f t="shared" si="0"/>
        <v>0</v>
      </c>
      <c r="J34" s="25">
        <f t="shared" si="0"/>
        <v>370.9</v>
      </c>
      <c r="K34" s="25">
        <f t="shared" si="0"/>
        <v>0</v>
      </c>
      <c r="L34" s="25">
        <f t="shared" si="0"/>
        <v>4.8273779890268846</v>
      </c>
      <c r="M34" s="25">
        <f t="shared" si="0"/>
        <v>2.50249866645024</v>
      </c>
      <c r="N34" s="25">
        <f t="shared" si="0"/>
        <v>0</v>
      </c>
      <c r="O34" s="25">
        <f t="shared" si="0"/>
        <v>74.576617964628554</v>
      </c>
      <c r="P34" s="25">
        <f t="shared" si="0"/>
        <v>679.51869683905966</v>
      </c>
      <c r="Q34" s="25">
        <f t="shared" si="0"/>
        <v>215.04396612572131</v>
      </c>
      <c r="R34" s="25">
        <f t="shared" si="0"/>
        <v>1164.3165515803944</v>
      </c>
      <c r="S34" s="25">
        <f t="shared" si="0"/>
        <v>0.30404362387973988</v>
      </c>
      <c r="T34" s="25">
        <f t="shared" si="0"/>
        <v>224.48579351000001</v>
      </c>
      <c r="U34" s="25">
        <f t="shared" si="0"/>
        <v>167.35474550995116</v>
      </c>
      <c r="V34" s="25">
        <f t="shared" si="0"/>
        <v>1801.2624019729483</v>
      </c>
      <c r="W34" s="25">
        <f t="shared" si="0"/>
        <v>834.49770589659477</v>
      </c>
      <c r="X34" s="25">
        <f t="shared" si="0"/>
        <v>13.804311480000001</v>
      </c>
      <c r="Y34" s="25">
        <f t="shared" si="0"/>
        <v>0</v>
      </c>
      <c r="Z34" s="25">
        <f t="shared" si="0"/>
        <v>0</v>
      </c>
      <c r="AA34" s="25">
        <f t="shared" si="0"/>
        <v>0</v>
      </c>
      <c r="AB34" s="25">
        <f t="shared" si="0"/>
        <v>43.4460156584788</v>
      </c>
      <c r="AC34" s="25">
        <f t="shared" si="0"/>
        <v>0</v>
      </c>
      <c r="AD34" s="25">
        <f t="shared" si="0"/>
        <v>0</v>
      </c>
      <c r="AE34" s="25">
        <f t="shared" si="0"/>
        <v>-29.42</v>
      </c>
      <c r="AF34" s="25">
        <f>SUM(AF15:AF32)</f>
        <v>0</v>
      </c>
    </row>
    <row r="35" spans="1:32">
      <c r="A35" s="24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</row>
    <row r="36" spans="1:32">
      <c r="A36" s="24"/>
      <c r="B36" s="13" t="s">
        <v>303</v>
      </c>
      <c r="C36" s="9" t="s">
        <v>28</v>
      </c>
      <c r="E36" s="21">
        <f>'Function - Rate Base'!$Q$48</f>
        <v>61.355574179542423</v>
      </c>
      <c r="F36" s="21">
        <f>$E$36*'Classification - Factor'!G35</f>
        <v>2.0442882384414777E-2</v>
      </c>
      <c r="G36" s="21">
        <f>$E$36*'Classification - Factor'!H35</f>
        <v>0</v>
      </c>
      <c r="H36" s="21">
        <f>$E$36*'Classification - Factor'!I35</f>
        <v>0.29758246302197061</v>
      </c>
      <c r="I36" s="21">
        <f>$E$36*'Classification - Factor'!J35</f>
        <v>0</v>
      </c>
      <c r="J36" s="21">
        <f>$E$36*'Classification - Factor'!K35</f>
        <v>4.0449296250485816</v>
      </c>
      <c r="K36" s="21">
        <f>$E$36*'Classification - Factor'!L35</f>
        <v>0</v>
      </c>
      <c r="L36" s="21">
        <f>$E$36*'Classification - Factor'!M35</f>
        <v>5.2646007654683989E-2</v>
      </c>
      <c r="M36" s="21">
        <f>$E$36*'Classification - Factor'!N35</f>
        <v>2.7291536782337946E-2</v>
      </c>
      <c r="N36" s="21">
        <f>$E$36*'Classification - Factor'!O35</f>
        <v>0</v>
      </c>
      <c r="O36" s="21">
        <f>$E$36*'Classification - Factor'!P35</f>
        <v>0.81331132742263756</v>
      </c>
      <c r="P36" s="21">
        <f>$E$36*'Classification - Factor'!Q35</f>
        <v>7.4106371194896692</v>
      </c>
      <c r="Q36" s="21">
        <f>$E$36*'Classification - Factor'!R35</f>
        <v>2.3452081673493494</v>
      </c>
      <c r="R36" s="21">
        <f>$E$36*'Classification - Factor'!S35</f>
        <v>12.697704266438237</v>
      </c>
      <c r="S36" s="21">
        <f>$E$36*'Classification - Factor'!T35</f>
        <v>3.3158130534868919E-3</v>
      </c>
      <c r="T36" s="21">
        <f>$E$36*'Classification - Factor'!U35</f>
        <v>2.4481780441389529</v>
      </c>
      <c r="U36" s="21">
        <f>$E$36*'Classification - Factor'!V35</f>
        <v>1.8251231275429158</v>
      </c>
      <c r="V36" s="21">
        <f>$E$36*'Classification - Factor'!W35</f>
        <v>19.64405406370058</v>
      </c>
      <c r="W36" s="21">
        <f>$E$36*'Classification - Factor'!X35</f>
        <v>9.1007939946514274</v>
      </c>
      <c r="X36" s="21">
        <f>$E$36*'Classification - Factor'!Y35</f>
        <v>0.15054588422445464</v>
      </c>
      <c r="Y36" s="21">
        <f>$E$36*'Classification - Factor'!Z35</f>
        <v>0</v>
      </c>
      <c r="Z36" s="21">
        <f>$E$36*'Classification - Factor'!AA35</f>
        <v>0</v>
      </c>
      <c r="AA36" s="21">
        <f>$E$36*'Classification - Factor'!AB35</f>
        <v>0</v>
      </c>
      <c r="AB36" s="21">
        <f>$E$36*'Classification - Factor'!AC35</f>
        <v>0.47380985663873132</v>
      </c>
      <c r="AC36" s="21">
        <f>$E$36*'Classification - Factor'!AD35</f>
        <v>0</v>
      </c>
      <c r="AD36" s="21">
        <f>$E$36*'Classification - Factor'!AE35</f>
        <v>0</v>
      </c>
      <c r="AE36" s="21">
        <f>$E$36*'Classification - Factor'!AF35</f>
        <v>0</v>
      </c>
      <c r="AF36" s="21">
        <f>$E$36*'Classification - Factor'!AG35</f>
        <v>0</v>
      </c>
    </row>
    <row r="37" spans="1:32">
      <c r="A37" s="24"/>
      <c r="B37" s="13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</row>
    <row r="38" spans="1:32">
      <c r="A38" s="24"/>
      <c r="B38" s="13" t="s">
        <v>304</v>
      </c>
      <c r="C38" s="9" t="s">
        <v>29</v>
      </c>
      <c r="E38" s="21">
        <f>'Function - Rate Base'!$R$48</f>
        <v>7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>
        <f>E38</f>
        <v>7</v>
      </c>
      <c r="AE38" s="21"/>
      <c r="AF38" s="21"/>
    </row>
    <row r="39" spans="1:32">
      <c r="A39" s="24"/>
      <c r="B39" s="13"/>
      <c r="C39" s="11"/>
      <c r="D39" s="11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</row>
    <row r="40" spans="1:32">
      <c r="A40" s="24"/>
      <c r="B40" s="13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</row>
    <row r="41" spans="1:32">
      <c r="A41" s="24"/>
      <c r="B41" s="13" t="s">
        <v>305</v>
      </c>
      <c r="C41" s="9" t="s">
        <v>306</v>
      </c>
      <c r="E41" s="25">
        <f>SUM(E33:E39)</f>
        <v>5664.9376490410959</v>
      </c>
      <c r="F41" s="21">
        <f t="shared" ref="F41:AF41" si="1">SUM(F34:F38)</f>
        <v>1.8949538823844145</v>
      </c>
      <c r="G41" s="21">
        <f t="shared" si="1"/>
        <v>0</v>
      </c>
      <c r="H41" s="21">
        <f t="shared" si="1"/>
        <v>27.584419507442309</v>
      </c>
      <c r="I41" s="21">
        <f t="shared" si="1"/>
        <v>0</v>
      </c>
      <c r="J41" s="21">
        <f t="shared" si="1"/>
        <v>374.94492962504853</v>
      </c>
      <c r="K41" s="21">
        <f t="shared" si="1"/>
        <v>0</v>
      </c>
      <c r="L41" s="21">
        <f t="shared" si="1"/>
        <v>4.8800239966815688</v>
      </c>
      <c r="M41" s="21">
        <f t="shared" si="1"/>
        <v>2.5297902032325781</v>
      </c>
      <c r="N41" s="21">
        <f t="shared" si="1"/>
        <v>0</v>
      </c>
      <c r="O41" s="21">
        <f t="shared" si="1"/>
        <v>75.389929292051193</v>
      </c>
      <c r="P41" s="21">
        <f t="shared" si="1"/>
        <v>686.92933395854936</v>
      </c>
      <c r="Q41" s="21">
        <f t="shared" si="1"/>
        <v>217.38917429307065</v>
      </c>
      <c r="R41" s="21">
        <f t="shared" si="1"/>
        <v>1177.0142558468326</v>
      </c>
      <c r="S41" s="21">
        <f t="shared" si="1"/>
        <v>0.30735943693322676</v>
      </c>
      <c r="T41" s="21">
        <f t="shared" si="1"/>
        <v>226.93397155413896</v>
      </c>
      <c r="U41" s="21">
        <f t="shared" si="1"/>
        <v>169.17986863749408</v>
      </c>
      <c r="V41" s="21">
        <f t="shared" si="1"/>
        <v>1820.9064560366489</v>
      </c>
      <c r="W41" s="21">
        <f t="shared" si="1"/>
        <v>843.59849989124621</v>
      </c>
      <c r="X41" s="21">
        <f t="shared" si="1"/>
        <v>13.954857364224456</v>
      </c>
      <c r="Y41" s="21">
        <f t="shared" si="1"/>
        <v>0</v>
      </c>
      <c r="Z41" s="21">
        <f t="shared" si="1"/>
        <v>0</v>
      </c>
      <c r="AA41" s="21">
        <f t="shared" si="1"/>
        <v>0</v>
      </c>
      <c r="AB41" s="21">
        <f t="shared" si="1"/>
        <v>43.91982551511753</v>
      </c>
      <c r="AC41" s="21">
        <f t="shared" si="1"/>
        <v>0</v>
      </c>
      <c r="AD41" s="21">
        <f t="shared" si="1"/>
        <v>7</v>
      </c>
      <c r="AE41" s="21">
        <f t="shared" si="1"/>
        <v>-29.42</v>
      </c>
      <c r="AF41" s="21">
        <f t="shared" si="1"/>
        <v>0</v>
      </c>
    </row>
    <row r="42" spans="1:32" ht="13" thickBot="1">
      <c r="B42" s="26"/>
      <c r="C42" s="26"/>
      <c r="D42" s="26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</row>
    <row r="43" spans="1:32" ht="13" thickTop="1"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</row>
    <row r="44" spans="1:32" ht="13">
      <c r="C44" s="46"/>
      <c r="D44" s="46"/>
      <c r="E44" s="46"/>
      <c r="F44" s="46"/>
      <c r="G44" s="4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2" ht="13">
      <c r="C45" s="46"/>
      <c r="D45" s="46"/>
      <c r="E45" s="46"/>
      <c r="F45" s="46"/>
      <c r="G45" s="46"/>
    </row>
    <row r="46" spans="1:32" ht="13">
      <c r="C46" s="46"/>
      <c r="D46" s="46"/>
      <c r="E46" s="46"/>
      <c r="F46" s="46"/>
      <c r="G46" s="46"/>
    </row>
    <row r="47" spans="1:32" ht="13">
      <c r="C47" s="46"/>
      <c r="D47" s="46"/>
      <c r="E47" s="46"/>
      <c r="F47" s="46"/>
      <c r="G47" s="46"/>
    </row>
    <row r="48" spans="1:32" ht="13">
      <c r="C48" s="46"/>
      <c r="D48" s="46"/>
      <c r="E48" s="46"/>
      <c r="F48" s="46"/>
      <c r="G48" s="46"/>
    </row>
  </sheetData>
  <mergeCells count="17">
    <mergeCell ref="F1:S1"/>
    <mergeCell ref="F2:S2"/>
    <mergeCell ref="F3:S3"/>
    <mergeCell ref="F4:S4"/>
    <mergeCell ref="F5:S5"/>
    <mergeCell ref="T1:AI1"/>
    <mergeCell ref="T2:AI2"/>
    <mergeCell ref="T3:AI3"/>
    <mergeCell ref="T4:AI4"/>
    <mergeCell ref="T5:AI5"/>
    <mergeCell ref="G8:K8"/>
    <mergeCell ref="T9:X9"/>
    <mergeCell ref="Y9:AB9"/>
    <mergeCell ref="G9:H9"/>
    <mergeCell ref="I9:K9"/>
    <mergeCell ref="L9:N9"/>
    <mergeCell ref="O9:S9"/>
  </mergeCells>
  <pageMargins left="0.7" right="0.7" top="0.75" bottom="0.75" header="0.3" footer="0.3"/>
  <pageSetup scale="61" orientation="portrait" r:id="rId1"/>
  <headerFooter>
    <oddHeader>&amp;R&amp;"Arial,Regular"&amp;10Filed: 2023-03-08
EB-2022-0200
Exhibit I.7.1-VECC-62
Attachment 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49E19-ADB8-4A19-A56D-5B6BBBA9AD18}">
  <sheetPr>
    <tabColor theme="6" tint="0.59999389629810485"/>
  </sheetPr>
  <dimension ref="A1:AJ47"/>
  <sheetViews>
    <sheetView zoomScale="91" zoomScaleNormal="91" workbookViewId="0"/>
  </sheetViews>
  <sheetFormatPr defaultColWidth="9.1796875" defaultRowHeight="12.5"/>
  <cols>
    <col min="1" max="1" width="3.453125" style="9" customWidth="1"/>
    <col min="2" max="2" width="4" style="9" bestFit="1" customWidth="1"/>
    <col min="3" max="3" width="17.81640625" style="9" bestFit="1" customWidth="1"/>
    <col min="4" max="4" width="0.26953125" style="9" hidden="1" customWidth="1"/>
    <col min="5" max="5" width="9.26953125" style="10" customWidth="1"/>
    <col min="6" max="6" width="8.453125" style="10" customWidth="1"/>
    <col min="7" max="8" width="11.54296875" style="10" customWidth="1"/>
    <col min="9" max="9" width="8.453125" style="10" customWidth="1"/>
    <col min="10" max="10" width="11.54296875" style="10" customWidth="1"/>
    <col min="11" max="13" width="8.453125" style="10" customWidth="1"/>
    <col min="14" max="14" width="11.54296875" style="10" customWidth="1"/>
    <col min="15" max="20" width="8.453125" style="10" customWidth="1"/>
    <col min="21" max="21" width="11.54296875" style="10" customWidth="1"/>
    <col min="22" max="24" width="8.453125" style="9" customWidth="1"/>
    <col min="25" max="25" width="11.54296875" style="9" customWidth="1"/>
    <col min="26" max="26" width="8.453125" style="9" customWidth="1"/>
    <col min="27" max="29" width="11.54296875" style="9" customWidth="1"/>
    <col min="30" max="30" width="8.453125" style="9" customWidth="1"/>
    <col min="31" max="31" width="11.54296875" style="9" customWidth="1"/>
    <col min="32" max="32" width="8.453125" style="9" customWidth="1"/>
    <col min="33" max="16384" width="9.1796875" style="9"/>
  </cols>
  <sheetData>
    <row r="1" spans="1:36">
      <c r="F1" s="90" t="s">
        <v>259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 t="str">
        <f>F1</f>
        <v>Classification of</v>
      </c>
      <c r="W1" s="90"/>
      <c r="X1" s="90"/>
      <c r="Y1" s="90"/>
      <c r="Z1" s="90"/>
      <c r="AA1" s="90"/>
      <c r="AB1" s="90"/>
      <c r="AC1" s="90"/>
      <c r="AD1" s="90"/>
      <c r="AE1" s="90"/>
      <c r="AF1" s="90"/>
    </row>
    <row r="2" spans="1:36">
      <c r="F2" s="90" t="s">
        <v>309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 t="str">
        <f>F2</f>
        <v>Net Investment</v>
      </c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6">
      <c r="F3" s="90" t="str">
        <f>'Classification - Factor'!F3</f>
        <v>Year Ended December 31, 2018</v>
      </c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 t="str">
        <f>F3</f>
        <v>Year Ended December 31, 2018</v>
      </c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6">
      <c r="F4" s="91" t="s">
        <v>2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0" t="str">
        <f>F4</f>
        <v>------------------------------------</v>
      </c>
      <c r="W4" s="90"/>
      <c r="X4" s="90"/>
      <c r="Y4" s="90"/>
      <c r="Z4" s="90"/>
      <c r="AA4" s="90"/>
      <c r="AB4" s="90"/>
      <c r="AC4" s="90"/>
      <c r="AD4" s="90"/>
      <c r="AE4" s="90"/>
      <c r="AF4" s="90"/>
      <c r="AG4" s="13"/>
      <c r="AH4" s="13"/>
      <c r="AI4" s="13"/>
      <c r="AJ4" s="13"/>
    </row>
    <row r="5" spans="1:36">
      <c r="F5" s="90" t="s">
        <v>3</v>
      </c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 t="str">
        <f>F5</f>
        <v>(millions of dollars)</v>
      </c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7" spans="1:36"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10" t="s">
        <v>16</v>
      </c>
      <c r="R7" s="10" t="s">
        <v>89</v>
      </c>
      <c r="S7" s="10" t="s">
        <v>102</v>
      </c>
      <c r="T7" s="10" t="s">
        <v>261</v>
      </c>
      <c r="U7" s="10" t="s">
        <v>262</v>
      </c>
      <c r="V7" s="10" t="s">
        <v>263</v>
      </c>
      <c r="W7" s="10" t="s">
        <v>264</v>
      </c>
      <c r="X7" s="10" t="s">
        <v>265</v>
      </c>
      <c r="Y7" s="10" t="s">
        <v>266</v>
      </c>
      <c r="Z7" s="10" t="s">
        <v>267</v>
      </c>
      <c r="AA7" s="10" t="s">
        <v>268</v>
      </c>
      <c r="AB7" s="10" t="s">
        <v>269</v>
      </c>
      <c r="AC7" s="10" t="s">
        <v>270</v>
      </c>
      <c r="AD7" s="10" t="s">
        <v>271</v>
      </c>
      <c r="AE7" s="10" t="s">
        <v>307</v>
      </c>
      <c r="AF7" s="10" t="s">
        <v>308</v>
      </c>
    </row>
    <row r="8" spans="1:36">
      <c r="G8" s="94" t="s">
        <v>18</v>
      </c>
      <c r="H8" s="90"/>
      <c r="I8" s="90"/>
      <c r="J8" s="90"/>
      <c r="K8" s="90"/>
      <c r="L8" s="90"/>
      <c r="M8" s="95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6">
      <c r="G9" s="94" t="s">
        <v>272</v>
      </c>
      <c r="H9" s="95"/>
      <c r="I9" s="94" t="s">
        <v>273</v>
      </c>
      <c r="J9" s="90"/>
      <c r="K9" s="90"/>
      <c r="L9" s="90"/>
      <c r="M9" s="95"/>
      <c r="N9" s="94" t="s">
        <v>274</v>
      </c>
      <c r="O9" s="90"/>
      <c r="P9" s="95"/>
      <c r="Q9" s="94" t="s">
        <v>155</v>
      </c>
      <c r="R9" s="90"/>
      <c r="S9" s="90"/>
      <c r="T9" s="90"/>
      <c r="U9" s="95"/>
      <c r="V9" s="94" t="s">
        <v>275</v>
      </c>
      <c r="W9" s="90"/>
      <c r="X9" s="90"/>
      <c r="Y9" s="90"/>
      <c r="Z9" s="95"/>
      <c r="AA9" s="94" t="s">
        <v>276</v>
      </c>
      <c r="AB9" s="90"/>
      <c r="AC9" s="90"/>
      <c r="AD9" s="95"/>
    </row>
    <row r="10" spans="1:36"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6" ht="37.5">
      <c r="D11" s="11"/>
      <c r="E11" s="12" t="s">
        <v>17</v>
      </c>
      <c r="F11" s="12" t="s">
        <v>277</v>
      </c>
      <c r="G11" s="12" t="s">
        <v>278</v>
      </c>
      <c r="H11" s="12" t="s">
        <v>279</v>
      </c>
      <c r="I11" s="12" t="s">
        <v>280</v>
      </c>
      <c r="J11" s="12" t="s">
        <v>281</v>
      </c>
      <c r="K11" s="12" t="s">
        <v>282</v>
      </c>
      <c r="L11" s="12" t="s">
        <v>310</v>
      </c>
      <c r="M11" s="12" t="s">
        <v>311</v>
      </c>
      <c r="N11" s="12" t="s">
        <v>283</v>
      </c>
      <c r="O11" s="12" t="s">
        <v>284</v>
      </c>
      <c r="P11" s="12" t="s">
        <v>285</v>
      </c>
      <c r="Q11" s="12" t="s">
        <v>286</v>
      </c>
      <c r="R11" s="12" t="s">
        <v>287</v>
      </c>
      <c r="S11" s="12" t="s">
        <v>288</v>
      </c>
      <c r="T11" s="12" t="s">
        <v>289</v>
      </c>
      <c r="U11" s="12" t="s">
        <v>290</v>
      </c>
      <c r="V11" s="12" t="s">
        <v>24</v>
      </c>
      <c r="W11" s="12" t="s">
        <v>20</v>
      </c>
      <c r="X11" s="12" t="s">
        <v>22</v>
      </c>
      <c r="Y11" s="12" t="s">
        <v>291</v>
      </c>
      <c r="Z11" s="12" t="s">
        <v>112</v>
      </c>
      <c r="AA11" s="12" t="s">
        <v>292</v>
      </c>
      <c r="AB11" s="12" t="s">
        <v>293</v>
      </c>
      <c r="AC11" s="12" t="s">
        <v>294</v>
      </c>
      <c r="AD11" s="12" t="s">
        <v>17</v>
      </c>
      <c r="AE11" s="12" t="s">
        <v>295</v>
      </c>
      <c r="AF11" s="12" t="s">
        <v>29</v>
      </c>
    </row>
    <row r="12" spans="1:36"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6">
      <c r="C13" s="9" t="s">
        <v>18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spans="1:36"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pans="1:36">
      <c r="A15" s="24"/>
      <c r="B15" s="13" t="s">
        <v>30</v>
      </c>
      <c r="C15" s="9" t="s">
        <v>18</v>
      </c>
      <c r="E15" s="21">
        <f>'Function - Net Invest'!$G$30</f>
        <v>-4.9092819825183991</v>
      </c>
      <c r="F15" s="21"/>
      <c r="G15" s="21"/>
      <c r="H15" s="21">
        <f>($E$15-$K$15-$U$15)*'Classification - Rate Base'!H15/('Classification - Rate Base'!$E$15-'Classification - Rate Base'!$S$15)</f>
        <v>8.6400910739473633E-2</v>
      </c>
      <c r="I15" s="21"/>
      <c r="J15" s="21">
        <f>($E$15-$K$15-$U$15)*'Classification - Rate Base'!J15/('Classification - Rate Base'!$E$15-'Classification - Rate Base'!$S$15)</f>
        <v>1.1744159918975883</v>
      </c>
      <c r="K15" s="21">
        <f>'Function - Net Invest'!$G$21</f>
        <v>-6.1159999999999997</v>
      </c>
      <c r="L15" s="21"/>
      <c r="M15" s="21"/>
      <c r="N15" s="21"/>
      <c r="O15" s="21"/>
      <c r="P15" s="21"/>
      <c r="Q15" s="21"/>
      <c r="R15" s="21"/>
      <c r="S15" s="21"/>
      <c r="T15" s="21"/>
      <c r="U15" s="21">
        <f>E15*'Classification - Factor'!T15</f>
        <v>-5.4098885155461442E-2</v>
      </c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</row>
    <row r="16" spans="1:36">
      <c r="A16" s="24"/>
      <c r="B16" s="13" t="s">
        <v>41</v>
      </c>
      <c r="C16" s="9" t="s">
        <v>19</v>
      </c>
      <c r="E16" s="21">
        <f>'Function - Net Invest'!$H$30</f>
        <v>0.27197700000000002</v>
      </c>
      <c r="F16" s="21"/>
      <c r="G16" s="21"/>
      <c r="H16" s="21"/>
      <c r="N16" s="21">
        <f>$E$16*'Classification - Factor'!M16</f>
        <v>0.17912112918578191</v>
      </c>
      <c r="O16" s="21">
        <f>$E$16*'Classification - Factor'!N16</f>
        <v>9.2855870814218103E-2</v>
      </c>
      <c r="P16" s="21">
        <f>$E$16*'Classification - Factor'!O16</f>
        <v>0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1:32">
      <c r="A17" s="24"/>
      <c r="B17" s="13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</row>
    <row r="18" spans="1:32">
      <c r="A18" s="24"/>
      <c r="B18" s="13"/>
      <c r="C18" s="9" t="s">
        <v>296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1:32">
      <c r="A19" s="24"/>
      <c r="B19" s="13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</row>
    <row r="20" spans="1:32">
      <c r="A20" s="24"/>
      <c r="B20" s="13" t="s">
        <v>64</v>
      </c>
      <c r="C20" s="9" t="s">
        <v>23</v>
      </c>
      <c r="E20" s="21">
        <f>'Function - Net Invest'!$L$30</f>
        <v>141.34199277305635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>
        <f>$E$20*'Classification - Factor'!P20</f>
        <v>3.4433305422658438</v>
      </c>
      <c r="R20" s="21">
        <f>$E$20*'Classification - Factor'!Q20</f>
        <v>31.374545356513508</v>
      </c>
      <c r="S20" s="21">
        <f>$E$20*'Classification - Factor'!R20</f>
        <v>9.9289492698888413</v>
      </c>
      <c r="T20" s="21">
        <f>$E$20*'Classification - Factor'!S20</f>
        <v>53.758494985974444</v>
      </c>
      <c r="U20" s="21"/>
      <c r="V20" s="21"/>
      <c r="W20" s="21"/>
      <c r="X20" s="21"/>
      <c r="Y20" s="21">
        <f>$E$20*'Classification - Factor'!X20</f>
        <v>42.836672618413715</v>
      </c>
      <c r="Z20" s="21"/>
      <c r="AA20" s="21"/>
      <c r="AB20" s="21"/>
      <c r="AC20" s="21"/>
      <c r="AD20" s="21"/>
      <c r="AE20" s="21"/>
      <c r="AF20" s="21"/>
    </row>
    <row r="21" spans="1:32">
      <c r="A21" s="24"/>
      <c r="B21" s="13" t="s">
        <v>66</v>
      </c>
      <c r="C21" s="9" t="s">
        <v>297</v>
      </c>
      <c r="E21" s="21">
        <f>'Function - Net Invest'!$J$30</f>
        <v>11.114735675542413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>
        <f>$E$21*'Classification - Factor'!P21</f>
        <v>0.38852428235068481</v>
      </c>
      <c r="R21" s="21">
        <f>$E$21*'Classification - Factor'!Q21</f>
        <v>3.5401111130902589</v>
      </c>
      <c r="S21" s="21">
        <f>$E$21*'Classification - Factor'!R21</f>
        <v>1.1203216891984595</v>
      </c>
      <c r="T21" s="21">
        <f>$E$21*'Classification - Factor'!S21</f>
        <v>6.06577859090301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</row>
    <row r="22" spans="1:32">
      <c r="A22" s="24"/>
      <c r="B22" s="13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spans="1:32">
      <c r="A23" s="24"/>
      <c r="B23" s="13"/>
      <c r="C23" s="9" t="s">
        <v>298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spans="1:32">
      <c r="A24" s="24"/>
      <c r="B24" s="13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  <row r="25" spans="1:32">
      <c r="A25" s="24"/>
      <c r="B25" s="13" t="s">
        <v>68</v>
      </c>
      <c r="C25" s="9" t="s">
        <v>299</v>
      </c>
      <c r="E25" s="21">
        <f>'Function - Net Invest'!$I$30</f>
        <v>6.9454027329264427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>
        <f>E25</f>
        <v>6.9454027329264427</v>
      </c>
      <c r="X25" s="21"/>
      <c r="Y25" s="21"/>
      <c r="Z25" s="21"/>
      <c r="AA25" s="21"/>
      <c r="AB25" s="21"/>
      <c r="AC25" s="21"/>
      <c r="AD25" s="21"/>
      <c r="AE25" s="21"/>
      <c r="AF25" s="21"/>
    </row>
    <row r="26" spans="1:32">
      <c r="A26" s="24"/>
      <c r="B26" s="13" t="s">
        <v>99</v>
      </c>
      <c r="C26" s="9" t="s">
        <v>24</v>
      </c>
      <c r="E26" s="21">
        <f>'Function - Net Invest'!$M$30</f>
        <v>46.002721570717995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>
        <f>E26</f>
        <v>46.002721570717995</v>
      </c>
      <c r="X26" s="21"/>
      <c r="Y26" s="21"/>
      <c r="Z26" s="21"/>
      <c r="AA26" s="21"/>
      <c r="AB26" s="21"/>
      <c r="AC26" s="21"/>
      <c r="AD26" s="21"/>
      <c r="AE26" s="21"/>
      <c r="AF26" s="21"/>
    </row>
    <row r="27" spans="1:32">
      <c r="A27" s="24"/>
      <c r="B27" s="13" t="s">
        <v>78</v>
      </c>
      <c r="C27" s="9" t="s">
        <v>22</v>
      </c>
      <c r="E27" s="21">
        <f>'Function - Net Invest'!$K$30</f>
        <v>86.489023412576245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W27" s="21"/>
      <c r="X27" s="21">
        <f>E27</f>
        <v>86.489023412576245</v>
      </c>
      <c r="Y27" s="21"/>
      <c r="Z27" s="21"/>
      <c r="AA27" s="21"/>
      <c r="AB27" s="21"/>
      <c r="AC27" s="21"/>
      <c r="AD27" s="21"/>
      <c r="AE27" s="21"/>
      <c r="AF27" s="21"/>
    </row>
    <row r="28" spans="1:32">
      <c r="A28" s="24"/>
      <c r="B28" s="13" t="s">
        <v>80</v>
      </c>
      <c r="C28" s="9" t="s">
        <v>25</v>
      </c>
      <c r="E28" s="21">
        <f>'Function - Net Invest'!$N$30</f>
        <v>1.1477113000000001</v>
      </c>
      <c r="F28" s="21">
        <v>-0.36316900000000002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Y28" s="21"/>
      <c r="Z28" s="21">
        <f>E28-F28</f>
        <v>1.5108803000000002</v>
      </c>
      <c r="AA28" s="21"/>
      <c r="AB28" s="21"/>
      <c r="AC28" s="21"/>
      <c r="AD28" s="21"/>
      <c r="AE28" s="21"/>
      <c r="AF28" s="21"/>
    </row>
    <row r="29" spans="1:32">
      <c r="A29" s="24"/>
      <c r="B29" s="13" t="s">
        <v>82</v>
      </c>
      <c r="C29" s="9" t="s">
        <v>300</v>
      </c>
      <c r="E29" s="21">
        <f>'Function - Net Invest'!$O$30</f>
        <v>2.7849547190727448</v>
      </c>
      <c r="F29" s="21">
        <f>$E$29*('Classification - Rate Base'!F29/'Classification - Rate Base'!$E$29)</f>
        <v>3.8835759442987811E-2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>
        <f>$E$29*('Classification - Rate Base'!O29/'Classification - Rate Base'!$E$29)</f>
        <v>4.8675135657424755E-2</v>
      </c>
      <c r="R29" s="21">
        <f>$E$29*('Classification - Rate Base'!P29/'Classification - Rate Base'!$E$29)</f>
        <v>0.4435125331921782</v>
      </c>
      <c r="S29" s="21">
        <f>$E$29*('Classification - Rate Base'!Q29/'Classification - Rate Base'!$E$29)</f>
        <v>0.14035624716107054</v>
      </c>
      <c r="T29" s="21">
        <f>$E$29*('Classification - Rate Base'!R29/'Classification - Rate Base'!$E$29)</f>
        <v>0.75993344352569892</v>
      </c>
      <c r="U29" s="21"/>
      <c r="V29" s="21"/>
      <c r="W29" s="21"/>
      <c r="X29" s="21"/>
      <c r="Y29" s="21"/>
      <c r="Z29" s="21"/>
      <c r="AA29" s="21"/>
      <c r="AB29" s="21"/>
      <c r="AC29" s="21"/>
      <c r="AD29" s="21">
        <f>$E$29*('Classification - Rate Base'!AB29/'Classification - Rate Base'!$E$29)</f>
        <v>1.3536416000933846</v>
      </c>
      <c r="AE29" s="21"/>
      <c r="AF29" s="21"/>
    </row>
    <row r="30" spans="1:32">
      <c r="A30" s="24"/>
      <c r="B30" s="29" t="s">
        <v>85</v>
      </c>
      <c r="C30" s="11" t="s">
        <v>27</v>
      </c>
      <c r="D30" s="11"/>
      <c r="E30" s="22">
        <f>'Function - Net Invest'!$P$30</f>
        <v>-8.6464168329760014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>
        <f>E30</f>
        <v>-8.6464168329760014</v>
      </c>
      <c r="AE30" s="22"/>
      <c r="AF30" s="22"/>
    </row>
    <row r="31" spans="1:32">
      <c r="A31" s="24"/>
      <c r="B31" s="13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</row>
    <row r="32" spans="1:32">
      <c r="A32" s="24"/>
      <c r="B32" s="13" t="s">
        <v>256</v>
      </c>
      <c r="C32" s="9" t="s">
        <v>302</v>
      </c>
      <c r="E32" s="25">
        <f t="shared" ref="E32:K32" si="0">SUM(E15:E30)</f>
        <v>282.54282036839783</v>
      </c>
      <c r="F32" s="25">
        <f t="shared" si="0"/>
        <v>-0.32433324055701218</v>
      </c>
      <c r="G32" s="25">
        <f t="shared" si="0"/>
        <v>0</v>
      </c>
      <c r="H32" s="25">
        <f t="shared" si="0"/>
        <v>8.6400910739473633E-2</v>
      </c>
      <c r="I32" s="25">
        <f t="shared" si="0"/>
        <v>0</v>
      </c>
      <c r="J32" s="25">
        <f t="shared" si="0"/>
        <v>1.1744159918975883</v>
      </c>
      <c r="K32" s="25">
        <f t="shared" si="0"/>
        <v>-6.1159999999999997</v>
      </c>
      <c r="L32" s="25"/>
      <c r="M32" s="25"/>
      <c r="N32" s="25">
        <f t="shared" ref="N32:AF32" si="1">SUM(N15:N30)</f>
        <v>0.17912112918578191</v>
      </c>
      <c r="O32" s="25">
        <f t="shared" si="1"/>
        <v>9.2855870814218103E-2</v>
      </c>
      <c r="P32" s="25">
        <f t="shared" si="1"/>
        <v>0</v>
      </c>
      <c r="Q32" s="25">
        <f t="shared" si="1"/>
        <v>3.8805299602739534</v>
      </c>
      <c r="R32" s="25">
        <f t="shared" si="1"/>
        <v>35.358169002795947</v>
      </c>
      <c r="S32" s="25">
        <f t="shared" si="1"/>
        <v>11.189627206248371</v>
      </c>
      <c r="T32" s="25">
        <f t="shared" si="1"/>
        <v>60.584207020403149</v>
      </c>
      <c r="U32" s="25">
        <f t="shared" si="1"/>
        <v>-5.4098885155461442E-2</v>
      </c>
      <c r="V32" s="25">
        <f t="shared" si="1"/>
        <v>46.002721570717995</v>
      </c>
      <c r="W32" s="25">
        <f t="shared" si="1"/>
        <v>6.9454027329264427</v>
      </c>
      <c r="X32" s="25">
        <f t="shared" si="1"/>
        <v>86.489023412576245</v>
      </c>
      <c r="Y32" s="25">
        <f t="shared" si="1"/>
        <v>42.836672618413715</v>
      </c>
      <c r="Z32" s="25">
        <f t="shared" si="1"/>
        <v>1.5108803000000002</v>
      </c>
      <c r="AA32" s="25">
        <f t="shared" si="1"/>
        <v>0</v>
      </c>
      <c r="AB32" s="25">
        <f t="shared" si="1"/>
        <v>0</v>
      </c>
      <c r="AC32" s="25">
        <f t="shared" si="1"/>
        <v>0</v>
      </c>
      <c r="AD32" s="25">
        <f t="shared" si="1"/>
        <v>-7.292775232882617</v>
      </c>
      <c r="AE32" s="25">
        <f t="shared" si="1"/>
        <v>0</v>
      </c>
      <c r="AF32" s="25">
        <f t="shared" si="1"/>
        <v>0</v>
      </c>
    </row>
    <row r="33" spans="1:32">
      <c r="A33" s="24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>
      <c r="A34" s="24"/>
      <c r="B34" s="13" t="s">
        <v>301</v>
      </c>
      <c r="C34" s="9" t="s">
        <v>28</v>
      </c>
      <c r="E34" s="21">
        <f>'Function - Net Invest'!$Q$30</f>
        <v>8.0600796316021999</v>
      </c>
      <c r="F34" s="21">
        <f>$E$34*'Classification - Factor'!G35</f>
        <v>2.6855141056246535E-3</v>
      </c>
      <c r="G34" s="21">
        <f>$E$34*'Classification - Factor'!H35</f>
        <v>0</v>
      </c>
      <c r="H34" s="21">
        <f>$E$34*'Classification - Factor'!I35</f>
        <v>3.9092427721508248E-2</v>
      </c>
      <c r="I34" s="21">
        <f>$E$34*'Classification - Factor'!J35</f>
        <v>0</v>
      </c>
      <c r="J34" s="21">
        <f>$E$34*'Classification - Factor'!K35</f>
        <v>0.53136907800284139</v>
      </c>
      <c r="K34" s="21">
        <f>$E$34*'Classification - Factor'!L35</f>
        <v>0</v>
      </c>
      <c r="L34" s="21"/>
      <c r="M34" s="21"/>
      <c r="N34" s="21">
        <f>$E$34*'Classification - Factor'!M35</f>
        <v>6.9159325726622428E-3</v>
      </c>
      <c r="O34" s="21">
        <f>$E$34*'Classification - Factor'!N35</f>
        <v>3.5851992696009816E-3</v>
      </c>
      <c r="P34" s="21">
        <f>$E$34*'Classification - Factor'!O35</f>
        <v>0</v>
      </c>
      <c r="Q34" s="21">
        <f>$E$34*'Classification - Factor'!P35</f>
        <v>0.10684202946463954</v>
      </c>
      <c r="R34" s="21">
        <f>$E$34*'Classification - Factor'!Q35</f>
        <v>0.97351098254263513</v>
      </c>
      <c r="S34" s="21">
        <f>$E$34*'Classification - Factor'!R35</f>
        <v>0.30808227018144724</v>
      </c>
      <c r="T34" s="21">
        <f>$E$34*'Classification - Factor'!S35</f>
        <v>1.6680555743238656</v>
      </c>
      <c r="U34" s="21">
        <f>$E$34*'Classification - Factor'!T35</f>
        <v>4.35587436218981E-4</v>
      </c>
      <c r="V34" s="21">
        <f>$E$34*'Classification - Factor'!U35</f>
        <v>0.32160908364018581</v>
      </c>
      <c r="W34" s="21">
        <f>$E$34*'Classification - Factor'!V35</f>
        <v>0.2397604120275624</v>
      </c>
      <c r="X34" s="21">
        <f>$E$34*'Classification - Factor'!W35</f>
        <v>2.5805746610341034</v>
      </c>
      <c r="Y34" s="21">
        <f>$E$34*'Classification - Factor'!X35</f>
        <v>1.1955413226685354</v>
      </c>
      <c r="Z34" s="21">
        <f>$E$34*'Classification - Factor'!Y35</f>
        <v>1.9776716806663895E-2</v>
      </c>
      <c r="AA34" s="21">
        <f>$E$34*'Classification - Factor'!Z35</f>
        <v>0</v>
      </c>
      <c r="AB34" s="21">
        <f>$E$34*'Classification - Factor'!AA35</f>
        <v>0</v>
      </c>
      <c r="AC34" s="21">
        <f>$E$34*'Classification - Factor'!AB35</f>
        <v>0</v>
      </c>
      <c r="AD34" s="21">
        <f>$E$34*'Classification - Factor'!AC35</f>
        <v>6.2242839804105929E-2</v>
      </c>
      <c r="AE34" s="21">
        <f>$E$34*'Classification - Factor'!AD35</f>
        <v>0</v>
      </c>
      <c r="AF34" s="21">
        <f>$E$34*'Classification - Factor'!AE35</f>
        <v>0</v>
      </c>
    </row>
    <row r="35" spans="1:32">
      <c r="A35" s="24"/>
      <c r="B35" s="13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</row>
    <row r="36" spans="1:32">
      <c r="A36" s="24"/>
      <c r="B36" s="13" t="s">
        <v>303</v>
      </c>
      <c r="C36" s="9" t="s">
        <v>29</v>
      </c>
      <c r="E36" s="21">
        <f>'Function - Net Invest'!$R$30</f>
        <v>12.71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>
        <f>E36</f>
        <v>12.71</v>
      </c>
    </row>
    <row r="37" spans="1:32">
      <c r="A37" s="24"/>
      <c r="B37" s="13"/>
      <c r="C37" s="11"/>
      <c r="D37" s="1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</row>
    <row r="38" spans="1:32">
      <c r="A38" s="24"/>
      <c r="B38" s="13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</row>
    <row r="39" spans="1:32">
      <c r="A39" s="24"/>
      <c r="B39" s="13" t="s">
        <v>304</v>
      </c>
      <c r="C39" s="9" t="s">
        <v>306</v>
      </c>
      <c r="E39" s="25">
        <f>SUM(E31:E37)</f>
        <v>303.31290000000001</v>
      </c>
      <c r="F39" s="21">
        <f t="shared" ref="F39:K39" si="2">SUM(F32:F36)</f>
        <v>-0.32164772645138751</v>
      </c>
      <c r="G39" s="21">
        <f t="shared" si="2"/>
        <v>0</v>
      </c>
      <c r="H39" s="21">
        <f t="shared" si="2"/>
        <v>0.12549333846098187</v>
      </c>
      <c r="I39" s="21">
        <f t="shared" si="2"/>
        <v>0</v>
      </c>
      <c r="J39" s="21">
        <f t="shared" si="2"/>
        <v>1.7057850699004296</v>
      </c>
      <c r="K39" s="21">
        <f t="shared" si="2"/>
        <v>-6.1159999999999997</v>
      </c>
      <c r="L39" s="21"/>
      <c r="M39" s="21"/>
      <c r="N39" s="21">
        <f t="shared" ref="N39:AF39" si="3">SUM(N32:N36)</f>
        <v>0.18603706175844414</v>
      </c>
      <c r="O39" s="21">
        <f t="shared" si="3"/>
        <v>9.644107008381908E-2</v>
      </c>
      <c r="P39" s="21">
        <f t="shared" si="3"/>
        <v>0</v>
      </c>
      <c r="Q39" s="21">
        <f t="shared" si="3"/>
        <v>3.9873719897385929</v>
      </c>
      <c r="R39" s="21">
        <f t="shared" si="3"/>
        <v>36.331679985338582</v>
      </c>
      <c r="S39" s="21">
        <f t="shared" si="3"/>
        <v>11.497709476429819</v>
      </c>
      <c r="T39" s="21">
        <f t="shared" si="3"/>
        <v>62.252262594727014</v>
      </c>
      <c r="U39" s="21">
        <f t="shared" si="3"/>
        <v>-5.3663297719242463E-2</v>
      </c>
      <c r="V39" s="21">
        <f t="shared" si="3"/>
        <v>46.324330654358178</v>
      </c>
      <c r="W39" s="21">
        <f t="shared" si="3"/>
        <v>7.1851631449540054</v>
      </c>
      <c r="X39" s="21">
        <f t="shared" si="3"/>
        <v>89.069598073610351</v>
      </c>
      <c r="Y39" s="21">
        <f t="shared" si="3"/>
        <v>44.032213941082247</v>
      </c>
      <c r="Z39" s="21">
        <f t="shared" si="3"/>
        <v>1.530657016806664</v>
      </c>
      <c r="AA39" s="21">
        <f t="shared" si="3"/>
        <v>0</v>
      </c>
      <c r="AB39" s="21">
        <f t="shared" si="3"/>
        <v>0</v>
      </c>
      <c r="AC39" s="21">
        <f t="shared" si="3"/>
        <v>0</v>
      </c>
      <c r="AD39" s="21">
        <f t="shared" si="3"/>
        <v>-7.2305323930785113</v>
      </c>
      <c r="AE39" s="21">
        <f t="shared" si="3"/>
        <v>0</v>
      </c>
      <c r="AF39" s="21">
        <f t="shared" si="3"/>
        <v>12.71</v>
      </c>
    </row>
    <row r="40" spans="1:32" ht="13" thickBot="1">
      <c r="A40" s="24"/>
      <c r="B40" s="26"/>
      <c r="C40" s="26"/>
      <c r="D40" s="26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</row>
    <row r="41" spans="1:32" ht="13" thickTop="1"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</row>
    <row r="42" spans="1:32">
      <c r="E42" s="9"/>
      <c r="F42" s="9"/>
    </row>
    <row r="43" spans="1:32">
      <c r="E43" s="9"/>
      <c r="F43" s="9"/>
    </row>
    <row r="44" spans="1:32">
      <c r="E44" s="9"/>
      <c r="F44" s="9"/>
    </row>
    <row r="45" spans="1:32">
      <c r="E45" s="9"/>
      <c r="F45" s="9"/>
    </row>
    <row r="46" spans="1:32">
      <c r="E46" s="9"/>
      <c r="F46" s="9"/>
    </row>
    <row r="47" spans="1:32">
      <c r="E47" s="9"/>
      <c r="F47" s="9"/>
    </row>
  </sheetData>
  <mergeCells count="17">
    <mergeCell ref="V5:AF5"/>
    <mergeCell ref="AA9:AD9"/>
    <mergeCell ref="F4:U4"/>
    <mergeCell ref="F5:U5"/>
    <mergeCell ref="G9:H9"/>
    <mergeCell ref="N9:P9"/>
    <mergeCell ref="Q9:U9"/>
    <mergeCell ref="V9:Z9"/>
    <mergeCell ref="G8:M8"/>
    <mergeCell ref="I9:M9"/>
    <mergeCell ref="V4:AF4"/>
    <mergeCell ref="F1:U1"/>
    <mergeCell ref="F2:U2"/>
    <mergeCell ref="F3:U3"/>
    <mergeCell ref="V1:AF1"/>
    <mergeCell ref="V2:AF2"/>
    <mergeCell ref="V3:AF3"/>
  </mergeCells>
  <pageMargins left="0.7" right="0.7" top="0.75" bottom="0.75" header="0.3" footer="0.3"/>
  <pageSetup scale="61" orientation="portrait" r:id="rId1"/>
  <headerFooter>
    <oddHeader>&amp;R&amp;"Arial,Regular"&amp;10Filed: 2023-03-08
EB-2022-0200
Exhibit I.7.1-VECC-62
Attachment 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98F6-6C1B-46B6-8CC0-208CD029531E}">
  <sheetPr>
    <tabColor theme="6" tint="0.59999389629810485"/>
  </sheetPr>
  <dimension ref="A1:AI87"/>
  <sheetViews>
    <sheetView zoomScale="96" zoomScaleNormal="96" workbookViewId="0"/>
  </sheetViews>
  <sheetFormatPr defaultColWidth="9.1796875" defaultRowHeight="12.5"/>
  <cols>
    <col min="1" max="1" width="6" style="9" customWidth="1"/>
    <col min="2" max="2" width="4" style="9" bestFit="1" customWidth="1"/>
    <col min="3" max="3" width="24.453125" style="9" customWidth="1"/>
    <col min="4" max="4" width="5.1796875" style="9" hidden="1" customWidth="1"/>
    <col min="5" max="12" width="10.7265625" style="10" customWidth="1"/>
    <col min="13" max="13" width="13" style="10" customWidth="1"/>
    <col min="14" max="14" width="11.81640625" style="10" customWidth="1"/>
    <col min="15" max="19" width="10.7265625" style="10" customWidth="1"/>
    <col min="20" max="35" width="10.7265625" style="9" customWidth="1"/>
    <col min="36" max="16384" width="9.1796875" style="9"/>
  </cols>
  <sheetData>
    <row r="1" spans="1:35">
      <c r="E1" s="90" t="s">
        <v>259</v>
      </c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 t="str">
        <f>E1</f>
        <v>Classification of</v>
      </c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 t="str">
        <f>Q1</f>
        <v>Classification of</v>
      </c>
      <c r="AD1" s="90"/>
      <c r="AE1" s="90"/>
      <c r="AF1" s="90"/>
      <c r="AG1" s="90"/>
      <c r="AH1" s="90"/>
      <c r="AI1" s="90"/>
    </row>
    <row r="2" spans="1:35">
      <c r="E2" s="90" t="s">
        <v>312</v>
      </c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 t="str">
        <f>E2</f>
        <v>O&amp;M</v>
      </c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 t="str">
        <f>Q2</f>
        <v>O&amp;M</v>
      </c>
      <c r="AD2" s="90"/>
      <c r="AE2" s="90"/>
      <c r="AF2" s="90"/>
      <c r="AG2" s="90"/>
      <c r="AH2" s="90"/>
      <c r="AI2" s="90"/>
    </row>
    <row r="3" spans="1:35">
      <c r="E3" s="90" t="str">
        <f>'Classification - Factor'!F3</f>
        <v>Year Ended December 31, 2018</v>
      </c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 t="str">
        <f>E3</f>
        <v>Year Ended December 31, 2018</v>
      </c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 t="str">
        <f>Q3</f>
        <v>Year Ended December 31, 2018</v>
      </c>
      <c r="AD3" s="90"/>
      <c r="AE3" s="90"/>
      <c r="AF3" s="90"/>
      <c r="AG3" s="90"/>
      <c r="AH3" s="90"/>
      <c r="AI3" s="90"/>
    </row>
    <row r="4" spans="1:35">
      <c r="E4" s="91" t="s">
        <v>2</v>
      </c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0" t="str">
        <f>E4</f>
        <v>------------------------------------</v>
      </c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 t="str">
        <f>Q4</f>
        <v>------------------------------------</v>
      </c>
      <c r="AD4" s="90"/>
      <c r="AE4" s="90"/>
      <c r="AF4" s="90"/>
      <c r="AG4" s="90"/>
      <c r="AH4" s="90"/>
      <c r="AI4" s="90"/>
    </row>
    <row r="5" spans="1:35">
      <c r="E5" s="90" t="s">
        <v>3</v>
      </c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 t="str">
        <f>E5</f>
        <v>(millions of dollars)</v>
      </c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 t="str">
        <f>Q5</f>
        <v>(millions of dollars)</v>
      </c>
      <c r="AD5" s="90"/>
      <c r="AE5" s="90"/>
      <c r="AF5" s="90"/>
      <c r="AG5" s="90"/>
      <c r="AH5" s="90"/>
      <c r="AI5" s="90"/>
    </row>
    <row r="7" spans="1:35"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10" t="s">
        <v>16</v>
      </c>
      <c r="R7" s="10" t="s">
        <v>89</v>
      </c>
      <c r="S7" s="10" t="s">
        <v>102</v>
      </c>
      <c r="T7" s="10" t="s">
        <v>261</v>
      </c>
      <c r="U7" s="10" t="s">
        <v>262</v>
      </c>
      <c r="V7" s="10" t="s">
        <v>263</v>
      </c>
      <c r="W7" s="10" t="s">
        <v>264</v>
      </c>
      <c r="X7" s="10" t="s">
        <v>265</v>
      </c>
      <c r="Y7" s="10" t="s">
        <v>266</v>
      </c>
      <c r="Z7" s="10" t="s">
        <v>267</v>
      </c>
      <c r="AA7" s="10" t="s">
        <v>268</v>
      </c>
      <c r="AB7" s="10" t="s">
        <v>269</v>
      </c>
      <c r="AC7" s="10" t="s">
        <v>270</v>
      </c>
      <c r="AD7" s="10" t="s">
        <v>271</v>
      </c>
      <c r="AE7" s="10" t="s">
        <v>307</v>
      </c>
      <c r="AF7" s="10" t="s">
        <v>308</v>
      </c>
      <c r="AG7" s="10" t="s">
        <v>313</v>
      </c>
      <c r="AH7" s="10" t="s">
        <v>314</v>
      </c>
      <c r="AI7" s="10" t="s">
        <v>315</v>
      </c>
    </row>
    <row r="8" spans="1:35">
      <c r="G8" s="94" t="s">
        <v>18</v>
      </c>
      <c r="H8" s="90"/>
      <c r="I8" s="90"/>
      <c r="J8" s="90"/>
      <c r="K8" s="90"/>
      <c r="L8" s="90"/>
      <c r="M8" s="95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>
      <c r="G9" s="94" t="s">
        <v>272</v>
      </c>
      <c r="H9" s="90"/>
      <c r="I9" s="90"/>
      <c r="J9" s="95"/>
      <c r="K9" s="94" t="s">
        <v>273</v>
      </c>
      <c r="L9" s="90"/>
      <c r="M9" s="95"/>
      <c r="N9" s="94" t="s">
        <v>274</v>
      </c>
      <c r="O9" s="90"/>
      <c r="P9" s="95"/>
      <c r="Q9" s="94" t="s">
        <v>155</v>
      </c>
      <c r="R9" s="90"/>
      <c r="S9" s="90"/>
      <c r="T9" s="90"/>
      <c r="U9" s="90"/>
      <c r="V9" s="90"/>
      <c r="W9" s="95"/>
      <c r="X9" s="94" t="s">
        <v>275</v>
      </c>
      <c r="Y9" s="90"/>
      <c r="Z9" s="90"/>
      <c r="AA9" s="90"/>
      <c r="AB9" s="95"/>
      <c r="AC9" s="94" t="s">
        <v>276</v>
      </c>
      <c r="AD9" s="90"/>
      <c r="AE9" s="90"/>
      <c r="AF9" s="95"/>
    </row>
    <row r="10" spans="1:35"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25">
      <c r="D11" s="11"/>
      <c r="E11" s="12" t="s">
        <v>17</v>
      </c>
      <c r="F11" s="12" t="s">
        <v>277</v>
      </c>
      <c r="G11" s="12" t="s">
        <v>278</v>
      </c>
      <c r="H11" s="12" t="s">
        <v>279</v>
      </c>
      <c r="I11" s="12" t="s">
        <v>316</v>
      </c>
      <c r="J11" s="12" t="s">
        <v>317</v>
      </c>
      <c r="K11" s="12" t="s">
        <v>280</v>
      </c>
      <c r="L11" s="12" t="s">
        <v>281</v>
      </c>
      <c r="M11" s="12" t="s">
        <v>318</v>
      </c>
      <c r="N11" s="12" t="s">
        <v>283</v>
      </c>
      <c r="O11" s="12" t="s">
        <v>284</v>
      </c>
      <c r="P11" s="12" t="s">
        <v>285</v>
      </c>
      <c r="Q11" s="12" t="s">
        <v>286</v>
      </c>
      <c r="R11" s="12" t="s">
        <v>287</v>
      </c>
      <c r="S11" s="12" t="s">
        <v>288</v>
      </c>
      <c r="T11" s="12" t="s">
        <v>289</v>
      </c>
      <c r="U11" s="12" t="s">
        <v>290</v>
      </c>
      <c r="V11" s="12" t="s">
        <v>319</v>
      </c>
      <c r="W11" s="12" t="s">
        <v>320</v>
      </c>
      <c r="X11" s="12" t="s">
        <v>24</v>
      </c>
      <c r="Y11" s="12" t="s">
        <v>20</v>
      </c>
      <c r="Z11" s="12" t="s">
        <v>22</v>
      </c>
      <c r="AA11" s="12" t="s">
        <v>291</v>
      </c>
      <c r="AB11" s="12" t="s">
        <v>112</v>
      </c>
      <c r="AC11" s="12" t="s">
        <v>292</v>
      </c>
      <c r="AD11" s="12" t="s">
        <v>293</v>
      </c>
      <c r="AE11" s="12" t="s">
        <v>294</v>
      </c>
      <c r="AF11" s="12" t="s">
        <v>17</v>
      </c>
      <c r="AG11" s="12" t="s">
        <v>295</v>
      </c>
      <c r="AH11" s="12" t="s">
        <v>321</v>
      </c>
      <c r="AI11" s="12" t="s">
        <v>322</v>
      </c>
    </row>
    <row r="12" spans="1:35"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>
      <c r="C13" s="9" t="s">
        <v>18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</row>
    <row r="14" spans="1:35">
      <c r="E14" s="21"/>
      <c r="F14" s="21"/>
      <c r="G14" s="21"/>
      <c r="H14" s="21"/>
      <c r="I14" s="21"/>
      <c r="J14" s="21"/>
      <c r="K14" s="21"/>
      <c r="L14" s="21"/>
      <c r="M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5">
      <c r="A15" s="24"/>
      <c r="B15" s="13" t="s">
        <v>108</v>
      </c>
      <c r="C15" s="9" t="s">
        <v>147</v>
      </c>
      <c r="E15" s="21">
        <v>1592.9508276530262</v>
      </c>
      <c r="F15" s="21"/>
      <c r="G15" s="21"/>
      <c r="H15" s="21">
        <v>950.75359846702293</v>
      </c>
      <c r="I15" s="21"/>
      <c r="J15" s="21"/>
      <c r="K15" s="21">
        <v>13.524740556203296</v>
      </c>
      <c r="L15" s="21">
        <v>109.04168385019832</v>
      </c>
      <c r="M15" s="21">
        <v>498.98645016820802</v>
      </c>
      <c r="N15" s="21"/>
      <c r="O15" s="21"/>
      <c r="P15" s="21"/>
      <c r="Q15" s="21"/>
      <c r="R15" s="21"/>
      <c r="S15" s="21"/>
      <c r="T15" s="21"/>
      <c r="U15" s="21">
        <v>20.644354611393421</v>
      </c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1:35">
      <c r="A16" s="24"/>
      <c r="B16" s="13" t="s">
        <v>109</v>
      </c>
      <c r="C16" s="9" t="s">
        <v>323</v>
      </c>
      <c r="E16" s="21">
        <f>'Function - O&amp;M1'!$L14</f>
        <v>194.79965377422542</v>
      </c>
      <c r="F16" s="21"/>
      <c r="G16" s="21"/>
      <c r="H16" s="21"/>
      <c r="I16" s="21"/>
      <c r="J16" s="21"/>
      <c r="K16" s="21"/>
      <c r="L16" s="21"/>
      <c r="M16" s="21"/>
      <c r="N16" s="21">
        <f>$E$16*'Classification - Factor'!M16</f>
        <v>128.29295840838972</v>
      </c>
      <c r="O16" s="21">
        <f>$E$16*'Classification - Factor'!N16</f>
        <v>66.506695365835668</v>
      </c>
      <c r="P16" s="21">
        <f>$E$16*'Classification - Factor'!O16</f>
        <v>0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>
      <c r="A17" s="24"/>
      <c r="B17" s="13" t="s">
        <v>110</v>
      </c>
      <c r="C17" s="9" t="s">
        <v>149</v>
      </c>
      <c r="E17" s="21">
        <f>'Function - O&amp;M1'!$L15</f>
        <v>10.470928725471362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>
        <v>1.035527520148589</v>
      </c>
      <c r="R17" s="21">
        <v>9.4354012053227709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>
        <f>0</f>
        <v>0</v>
      </c>
      <c r="AF17" s="21"/>
      <c r="AG17" s="21"/>
      <c r="AH17" s="21"/>
      <c r="AI17" s="21"/>
    </row>
    <row r="18" spans="1:35">
      <c r="A18" s="24"/>
      <c r="B18" s="13" t="s">
        <v>150</v>
      </c>
      <c r="C18" s="9" t="s">
        <v>151</v>
      </c>
      <c r="E18" s="21">
        <f>'Function - O&amp;M1'!$L16</f>
        <v>1.5478295597245726</v>
      </c>
      <c r="F18" s="21"/>
      <c r="G18" s="21"/>
      <c r="H18" s="21"/>
      <c r="I18" s="21">
        <f>E18</f>
        <v>1.5478295597245726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spans="1:35">
      <c r="A19" s="24"/>
      <c r="B19" s="13" t="s">
        <v>152</v>
      </c>
      <c r="C19" s="11" t="s">
        <v>153</v>
      </c>
      <c r="D19" s="11"/>
      <c r="E19" s="22">
        <f>'Function - O&amp;M1'!$L17</f>
        <v>1.4234759722603749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>
        <f>E19</f>
        <v>1.4234759722603749</v>
      </c>
      <c r="AF19" s="22"/>
      <c r="AG19" s="22"/>
      <c r="AH19" s="22"/>
      <c r="AI19" s="22"/>
    </row>
    <row r="20" spans="1:35">
      <c r="A20" s="24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</row>
    <row r="21" spans="1:35">
      <c r="A21" s="24"/>
      <c r="B21" s="13" t="s">
        <v>30</v>
      </c>
      <c r="C21" s="9" t="s">
        <v>154</v>
      </c>
      <c r="E21" s="21">
        <f t="shared" ref="E21:AI21" si="0">SUM(E15:E19)</f>
        <v>1801.1927156847078</v>
      </c>
      <c r="F21" s="21">
        <f t="shared" si="0"/>
        <v>0</v>
      </c>
      <c r="G21" s="21">
        <f t="shared" si="0"/>
        <v>0</v>
      </c>
      <c r="H21" s="21">
        <f t="shared" si="0"/>
        <v>950.75359846702293</v>
      </c>
      <c r="I21" s="21">
        <f t="shared" si="0"/>
        <v>1.5478295597245726</v>
      </c>
      <c r="J21" s="21">
        <f t="shared" si="0"/>
        <v>0</v>
      </c>
      <c r="K21" s="21">
        <f t="shared" si="0"/>
        <v>13.524740556203296</v>
      </c>
      <c r="L21" s="21">
        <f t="shared" si="0"/>
        <v>109.04168385019832</v>
      </c>
      <c r="M21" s="21">
        <f t="shared" si="0"/>
        <v>498.98645016820802</v>
      </c>
      <c r="N21" s="21">
        <f t="shared" si="0"/>
        <v>128.29295840838972</v>
      </c>
      <c r="O21" s="21">
        <f t="shared" si="0"/>
        <v>66.506695365835668</v>
      </c>
      <c r="P21" s="21">
        <f t="shared" si="0"/>
        <v>0</v>
      </c>
      <c r="Q21" s="21">
        <f t="shared" si="0"/>
        <v>1.035527520148589</v>
      </c>
      <c r="R21" s="21">
        <f t="shared" si="0"/>
        <v>9.4354012053227709</v>
      </c>
      <c r="S21" s="21">
        <f t="shared" si="0"/>
        <v>0</v>
      </c>
      <c r="T21" s="21">
        <f t="shared" si="0"/>
        <v>0</v>
      </c>
      <c r="U21" s="21">
        <f t="shared" si="0"/>
        <v>20.644354611393421</v>
      </c>
      <c r="V21" s="21">
        <f t="shared" si="0"/>
        <v>0</v>
      </c>
      <c r="W21" s="21">
        <f t="shared" si="0"/>
        <v>0</v>
      </c>
      <c r="X21" s="21">
        <f t="shared" si="0"/>
        <v>0</v>
      </c>
      <c r="Y21" s="21">
        <f t="shared" si="0"/>
        <v>0</v>
      </c>
      <c r="Z21" s="21">
        <f t="shared" si="0"/>
        <v>0</v>
      </c>
      <c r="AA21" s="21">
        <f t="shared" si="0"/>
        <v>0</v>
      </c>
      <c r="AB21" s="21">
        <f t="shared" si="0"/>
        <v>0</v>
      </c>
      <c r="AC21" s="21">
        <f t="shared" si="0"/>
        <v>0</v>
      </c>
      <c r="AD21" s="21">
        <f t="shared" si="0"/>
        <v>0</v>
      </c>
      <c r="AE21" s="21">
        <f t="shared" si="0"/>
        <v>1.4234759722603749</v>
      </c>
      <c r="AF21" s="21">
        <f t="shared" si="0"/>
        <v>0</v>
      </c>
      <c r="AG21" s="21">
        <f t="shared" si="0"/>
        <v>0</v>
      </c>
      <c r="AH21" s="21">
        <f t="shared" si="0"/>
        <v>0</v>
      </c>
      <c r="AI21" s="21">
        <f t="shared" si="0"/>
        <v>0</v>
      </c>
    </row>
    <row r="22" spans="1:35">
      <c r="A22" s="24"/>
      <c r="B22" s="13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spans="1:35">
      <c r="A23" s="24"/>
      <c r="B23" s="13"/>
      <c r="C23" s="9" t="s">
        <v>296</v>
      </c>
      <c r="E23" s="21"/>
      <c r="F23" s="21"/>
      <c r="G23" s="21"/>
      <c r="H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1:35">
      <c r="A24" s="24"/>
      <c r="C24" s="9" t="s">
        <v>324</v>
      </c>
      <c r="E24" s="21"/>
      <c r="F24" s="21"/>
      <c r="G24" s="21"/>
      <c r="H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1:35">
      <c r="A25" s="24"/>
      <c r="B25" s="13" t="s">
        <v>32</v>
      </c>
      <c r="C25" s="9" t="s">
        <v>158</v>
      </c>
      <c r="E25" s="21">
        <f>'Function - O&amp;M1'!$L$24</f>
        <v>8.2412703044420388E-2</v>
      </c>
      <c r="F25" s="21"/>
      <c r="G25" s="21"/>
      <c r="H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>
        <f>E25</f>
        <v>8.2412703044420388E-2</v>
      </c>
      <c r="AH25" s="21"/>
      <c r="AI25" s="21"/>
    </row>
    <row r="26" spans="1:35">
      <c r="A26" s="24"/>
      <c r="B26" s="13" t="s">
        <v>34</v>
      </c>
      <c r="C26" s="9" t="s">
        <v>325</v>
      </c>
      <c r="E26" s="21">
        <f>'Function - O&amp;M1'!$L$25</f>
        <v>3.7758142557483438</v>
      </c>
      <c r="F26" s="21"/>
      <c r="G26" s="21"/>
      <c r="H26" s="21"/>
      <c r="L26" s="21"/>
      <c r="M26" s="21"/>
      <c r="N26" s="21"/>
      <c r="O26" s="21"/>
      <c r="P26" s="21"/>
      <c r="Q26" s="21">
        <f>$E$26*'Classification - Factor'!P21</f>
        <v>0.13198654172516067</v>
      </c>
      <c r="R26" s="21">
        <f>$E$26*'Classification - Factor'!Q21</f>
        <v>1.2026198731070608</v>
      </c>
      <c r="S26" s="21">
        <f>$E$26*'Classification - Factor'!R21</f>
        <v>0.38058724279047446</v>
      </c>
      <c r="T26" s="21">
        <f>$E$26*'Classification - Factor'!S21</f>
        <v>2.0606205981256482</v>
      </c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5">
      <c r="A27" s="24"/>
      <c r="B27" s="13" t="s">
        <v>36</v>
      </c>
      <c r="C27" s="9" t="s">
        <v>326</v>
      </c>
      <c r="E27" s="21">
        <f>'Function - O&amp;M1'!$L$28</f>
        <v>80.523652247170901</v>
      </c>
      <c r="F27" s="21"/>
      <c r="G27" s="21"/>
      <c r="H27" s="21"/>
      <c r="L27" s="21"/>
      <c r="M27" s="21"/>
      <c r="N27" s="21"/>
      <c r="O27" s="21"/>
      <c r="P27" s="21"/>
      <c r="Q27" s="21">
        <f>$E$27*'Classification - Factor'!P20</f>
        <v>1.9616926697975097</v>
      </c>
      <c r="R27" s="21">
        <f>$E$27*'Classification - Factor'!Q20</f>
        <v>17.874326872958765</v>
      </c>
      <c r="S27" s="21">
        <f>$E$27*'Classification - Factor'!R20</f>
        <v>5.6566010037233596</v>
      </c>
      <c r="T27" s="21">
        <f>$E$27*'Classification - Factor'!S20</f>
        <v>30.62664018422613</v>
      </c>
      <c r="U27" s="21"/>
      <c r="V27" s="21"/>
      <c r="W27" s="21"/>
      <c r="X27" s="21"/>
      <c r="Y27" s="21"/>
      <c r="Z27" s="21"/>
      <c r="AA27" s="21">
        <f>$E$27*'Classification - Factor'!X20</f>
        <v>24.404391516465139</v>
      </c>
      <c r="AB27" s="21"/>
      <c r="AC27" s="21"/>
      <c r="AD27" s="21"/>
      <c r="AE27" s="21"/>
      <c r="AF27" s="21"/>
      <c r="AG27" s="21"/>
      <c r="AH27" s="21"/>
      <c r="AI27" s="21"/>
    </row>
    <row r="28" spans="1:35">
      <c r="A28" s="24"/>
      <c r="B28" s="13" t="s">
        <v>37</v>
      </c>
      <c r="C28" s="9" t="s">
        <v>170</v>
      </c>
      <c r="E28" s="21">
        <f>'Function - O&amp;M1'!$L$31</f>
        <v>8.408575807183837</v>
      </c>
      <c r="F28" s="21">
        <v>0.09</v>
      </c>
      <c r="G28" s="21"/>
      <c r="H28" s="21"/>
      <c r="L28" s="21"/>
      <c r="M28" s="21"/>
      <c r="N28" s="21"/>
      <c r="O28" s="21"/>
      <c r="P28" s="21"/>
      <c r="Q28" s="21">
        <v>0.8226695456179175</v>
      </c>
      <c r="R28" s="21">
        <v>7.495906261565918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>
        <f>0</f>
        <v>0</v>
      </c>
      <c r="AF28" s="21"/>
      <c r="AG28" s="21"/>
      <c r="AH28" s="21"/>
      <c r="AI28" s="21"/>
    </row>
    <row r="29" spans="1:35">
      <c r="A29" s="24"/>
      <c r="B29" s="13"/>
      <c r="E29" s="21"/>
      <c r="F29" s="21"/>
      <c r="G29" s="21"/>
      <c r="H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5">
      <c r="A30" s="24"/>
      <c r="B30" s="13"/>
      <c r="C30" s="9" t="s">
        <v>327</v>
      </c>
      <c r="E30" s="21"/>
      <c r="F30" s="21"/>
      <c r="G30" s="21"/>
      <c r="H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5">
      <c r="A31" s="24"/>
      <c r="B31" s="13" t="s">
        <v>39</v>
      </c>
      <c r="C31" s="9" t="s">
        <v>328</v>
      </c>
      <c r="E31" s="21">
        <f>'Function - O&amp;M1'!$L36</f>
        <v>5.2945392460981386</v>
      </c>
      <c r="F31" s="21"/>
      <c r="G31" s="21"/>
      <c r="H31" s="21"/>
      <c r="L31" s="21"/>
      <c r="M31" s="21"/>
      <c r="N31" s="21"/>
      <c r="O31" s="21"/>
      <c r="P31" s="21"/>
      <c r="Q31" s="21">
        <f>$E$31*'Classification - Factor'!P21</f>
        <v>0.18507476210111745</v>
      </c>
      <c r="R31" s="21">
        <f>$E$31*'Classification - Factor'!Q21</f>
        <v>1.6863430468300227</v>
      </c>
      <c r="S31" s="21">
        <f>$E$31*'Classification - Factor'!R21</f>
        <v>0.53366875514353929</v>
      </c>
      <c r="T31" s="21">
        <f>$E$31*'Classification - Factor'!S21</f>
        <v>2.8894526820234594</v>
      </c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5">
      <c r="A32" s="24"/>
      <c r="B32" s="13" t="s">
        <v>40</v>
      </c>
      <c r="C32" s="9" t="s">
        <v>329</v>
      </c>
      <c r="E32" s="21">
        <f>'Function - O&amp;M1'!$L37</f>
        <v>4.9169598410657489</v>
      </c>
      <c r="F32" s="21"/>
      <c r="G32" s="21"/>
      <c r="H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>
        <f>E32</f>
        <v>4.9169598410657489</v>
      </c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>
      <c r="A33" s="24"/>
      <c r="B33" s="13" t="s">
        <v>118</v>
      </c>
      <c r="C33" s="9" t="s">
        <v>178</v>
      </c>
      <c r="E33" s="21">
        <f>'Function - O&amp;M1'!$L38</f>
        <v>11.732583679316923</v>
      </c>
      <c r="F33" s="21"/>
      <c r="G33" s="21"/>
      <c r="H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>
        <f>E33</f>
        <v>11.732583679316923</v>
      </c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>
      <c r="A34" s="24"/>
      <c r="B34" s="13" t="s">
        <v>120</v>
      </c>
      <c r="C34" s="9" t="s">
        <v>180</v>
      </c>
      <c r="E34" s="21">
        <f>'Function - O&amp;M1'!$L39</f>
        <v>5.2181877984731804</v>
      </c>
      <c r="F34" s="21"/>
      <c r="G34" s="21"/>
      <c r="H34" s="21"/>
      <c r="L34" s="21"/>
      <c r="M34" s="21"/>
      <c r="N34" s="21"/>
      <c r="O34" s="21"/>
      <c r="P34" s="21"/>
      <c r="Q34" s="21">
        <v>0.51605518596243793</v>
      </c>
      <c r="R34" s="21">
        <v>4.7021326125107414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>
      <c r="A35" s="24"/>
      <c r="B35" s="13" t="s">
        <v>330</v>
      </c>
      <c r="C35" s="9" t="s">
        <v>23</v>
      </c>
      <c r="E35" s="21">
        <f>'Function - O&amp;M1'!$L42</f>
        <v>30.582035519374735</v>
      </c>
      <c r="F35" s="21"/>
      <c r="G35" s="21"/>
      <c r="H35" s="21"/>
      <c r="L35" s="21"/>
      <c r="M35" s="21"/>
      <c r="N35" s="21"/>
      <c r="O35" s="21"/>
      <c r="P35" s="21"/>
      <c r="Q35" s="21">
        <v>0.46166289260694354</v>
      </c>
      <c r="R35" s="21">
        <v>4.206527135784194</v>
      </c>
      <c r="S35" s="21">
        <v>1.3312191159748921</v>
      </c>
      <c r="T35" s="21">
        <v>13.681067381500707</v>
      </c>
      <c r="U35" s="21"/>
      <c r="V35" s="21"/>
      <c r="W35" s="21"/>
      <c r="X35" s="21"/>
      <c r="Y35" s="21"/>
      <c r="Z35" s="21"/>
      <c r="AA35" s="21">
        <v>10.901558993507997</v>
      </c>
      <c r="AB35" s="21"/>
      <c r="AC35" s="21"/>
      <c r="AD35" s="21"/>
      <c r="AE35" s="21"/>
      <c r="AF35" s="21"/>
      <c r="AG35" s="21"/>
      <c r="AH35" s="21"/>
      <c r="AI35" s="21"/>
    </row>
    <row r="36" spans="1:35">
      <c r="A36" s="24"/>
      <c r="B36" s="13" t="s">
        <v>331</v>
      </c>
      <c r="C36" s="11" t="s">
        <v>186</v>
      </c>
      <c r="D36" s="11"/>
      <c r="E36" s="22">
        <f>'Function - O&amp;M1'!$L43</f>
        <v>1.2202088650507401</v>
      </c>
      <c r="F36" s="22"/>
      <c r="G36" s="22"/>
      <c r="H36" s="22"/>
      <c r="I36" s="30"/>
      <c r="J36" s="30"/>
      <c r="K36" s="30"/>
      <c r="L36" s="22"/>
      <c r="M36" s="22"/>
      <c r="N36" s="22"/>
      <c r="O36" s="22"/>
      <c r="P36" s="22"/>
      <c r="Q36" s="22">
        <v>0.24351155774528804</v>
      </c>
      <c r="R36" s="22">
        <v>3.2538089212801942E-2</v>
      </c>
      <c r="S36" s="22">
        <v>1.0297170316316858E-2</v>
      </c>
      <c r="T36" s="22">
        <v>5.5752161056780387E-2</v>
      </c>
      <c r="U36" s="22">
        <v>1.4530375908257486E-2</v>
      </c>
      <c r="V36" s="22"/>
      <c r="W36" s="22"/>
      <c r="X36" s="22">
        <v>7.4132359948939734E-3</v>
      </c>
      <c r="Y36" s="22"/>
      <c r="Z36" s="22">
        <v>0.17665178270982418</v>
      </c>
      <c r="AA36" s="22">
        <v>4.4425296347702169E-2</v>
      </c>
      <c r="AB36" s="22">
        <v>0</v>
      </c>
      <c r="AC36" s="22"/>
      <c r="AD36" s="22"/>
      <c r="AE36" s="22"/>
      <c r="AF36" s="22">
        <v>0.63508919575887501</v>
      </c>
      <c r="AG36" s="22"/>
      <c r="AH36" s="22"/>
      <c r="AI36" s="22"/>
    </row>
    <row r="37" spans="1:35">
      <c r="A37" s="24"/>
      <c r="B37" s="13"/>
      <c r="E37" s="21"/>
      <c r="F37" s="21"/>
      <c r="G37" s="21"/>
      <c r="H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>
      <c r="A38" s="24"/>
      <c r="B38" s="13" t="s">
        <v>41</v>
      </c>
      <c r="C38" s="9" t="s">
        <v>192</v>
      </c>
      <c r="E38" s="21">
        <f t="shared" ref="E38:AI38" si="1">SUM(E25:E36)</f>
        <v>151.75496996252699</v>
      </c>
      <c r="F38" s="21">
        <f t="shared" si="1"/>
        <v>0.09</v>
      </c>
      <c r="G38" s="21">
        <f t="shared" si="1"/>
        <v>0</v>
      </c>
      <c r="H38" s="21">
        <f t="shared" si="1"/>
        <v>0</v>
      </c>
      <c r="I38" s="21">
        <f t="shared" si="1"/>
        <v>0</v>
      </c>
      <c r="J38" s="21">
        <f t="shared" si="1"/>
        <v>0</v>
      </c>
      <c r="K38" s="21">
        <f t="shared" si="1"/>
        <v>0</v>
      </c>
      <c r="L38" s="21">
        <f t="shared" si="1"/>
        <v>0</v>
      </c>
      <c r="M38" s="21">
        <f t="shared" si="1"/>
        <v>0</v>
      </c>
      <c r="N38" s="21">
        <f t="shared" si="1"/>
        <v>0</v>
      </c>
      <c r="O38" s="21">
        <f t="shared" si="1"/>
        <v>0</v>
      </c>
      <c r="P38" s="21">
        <f t="shared" si="1"/>
        <v>0</v>
      </c>
      <c r="Q38" s="21">
        <f t="shared" si="1"/>
        <v>4.3226531555563747</v>
      </c>
      <c r="R38" s="21">
        <f t="shared" si="1"/>
        <v>37.200393891969497</v>
      </c>
      <c r="S38" s="21">
        <f t="shared" si="1"/>
        <v>7.912373287948582</v>
      </c>
      <c r="T38" s="21">
        <f t="shared" si="1"/>
        <v>49.313533006932722</v>
      </c>
      <c r="U38" s="21">
        <f t="shared" si="1"/>
        <v>1.4530375908257486E-2</v>
      </c>
      <c r="V38" s="21">
        <f t="shared" si="1"/>
        <v>0</v>
      </c>
      <c r="W38" s="21">
        <f t="shared" si="1"/>
        <v>0</v>
      </c>
      <c r="X38" s="21">
        <f t="shared" si="1"/>
        <v>11.739996915311817</v>
      </c>
      <c r="Y38" s="21">
        <f t="shared" si="1"/>
        <v>4.9169598410657489</v>
      </c>
      <c r="Z38" s="21">
        <f t="shared" si="1"/>
        <v>0.17665178270982418</v>
      </c>
      <c r="AA38" s="21">
        <f t="shared" si="1"/>
        <v>35.350375806320841</v>
      </c>
      <c r="AB38" s="21">
        <f t="shared" si="1"/>
        <v>0</v>
      </c>
      <c r="AC38" s="21">
        <f t="shared" si="1"/>
        <v>0</v>
      </c>
      <c r="AD38" s="21">
        <f t="shared" si="1"/>
        <v>0</v>
      </c>
      <c r="AE38" s="21">
        <f t="shared" si="1"/>
        <v>0</v>
      </c>
      <c r="AF38" s="21">
        <f t="shared" si="1"/>
        <v>0.63508919575887501</v>
      </c>
      <c r="AG38" s="21">
        <f t="shared" si="1"/>
        <v>8.2412703044420388E-2</v>
      </c>
      <c r="AH38" s="21">
        <f t="shared" si="1"/>
        <v>0</v>
      </c>
      <c r="AI38" s="21">
        <f t="shared" si="1"/>
        <v>0</v>
      </c>
    </row>
    <row r="39" spans="1:35">
      <c r="A39" s="24"/>
      <c r="B39" s="13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>
      <c r="A40" s="24"/>
      <c r="B40" s="13"/>
      <c r="C40" s="9" t="s">
        <v>332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>
      <c r="A41" s="24"/>
      <c r="B41" s="13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>
      <c r="A42" s="24"/>
      <c r="C42" s="9" t="s">
        <v>324</v>
      </c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>
      <c r="A43" s="24"/>
      <c r="B43" s="13" t="s">
        <v>44</v>
      </c>
      <c r="C43" s="9" t="s">
        <v>333</v>
      </c>
      <c r="E43" s="21">
        <f>'Function - O&amp;M2'!$L$17</f>
        <v>4.6752279183429808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>
        <f>E43</f>
        <v>4.6752279183429808</v>
      </c>
      <c r="AG43" s="21"/>
      <c r="AH43" s="21"/>
      <c r="AI43" s="21"/>
    </row>
    <row r="44" spans="1:35">
      <c r="A44" s="24"/>
      <c r="B44" s="13" t="s">
        <v>45</v>
      </c>
      <c r="C44" s="9" t="s">
        <v>334</v>
      </c>
      <c r="E44" s="21">
        <f>'Function - O&amp;M2'!$L$19</f>
        <v>17.801856907833447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>
        <f>E44</f>
        <v>17.801856907833447</v>
      </c>
      <c r="AG44" s="21"/>
      <c r="AH44" s="21"/>
      <c r="AI44" s="21"/>
    </row>
    <row r="45" spans="1:35">
      <c r="A45" s="24"/>
      <c r="B45" s="13" t="s">
        <v>46</v>
      </c>
      <c r="C45" s="9" t="s">
        <v>335</v>
      </c>
      <c r="E45" s="21">
        <f>'Function - O&amp;M2'!$L$20</f>
        <v>0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>
        <f>E45</f>
        <v>0</v>
      </c>
      <c r="AG45" s="21"/>
      <c r="AH45" s="21"/>
      <c r="AI45" s="21"/>
    </row>
    <row r="46" spans="1:35">
      <c r="A46" s="24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>
      <c r="A47" s="24"/>
      <c r="B47" s="13"/>
      <c r="C47" s="9" t="s">
        <v>327</v>
      </c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>
      <c r="A48" s="24"/>
      <c r="B48" s="13" t="s">
        <v>48</v>
      </c>
      <c r="C48" s="11" t="s">
        <v>212</v>
      </c>
      <c r="D48" s="11"/>
      <c r="E48" s="22">
        <f>'Function - O&amp;M2'!$L$28</f>
        <v>10.662528881318366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>
        <f>E48</f>
        <v>10.662528881318366</v>
      </c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>
      <c r="A49" s="24"/>
      <c r="B49" s="13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>
      <c r="A50" s="24"/>
      <c r="B50" s="13" t="s">
        <v>64</v>
      </c>
      <c r="C50" s="9" t="s">
        <v>336</v>
      </c>
      <c r="E50" s="21">
        <f t="shared" ref="E50:AI50" si="2">SUM(E43:E48)</f>
        <v>33.139613707494789</v>
      </c>
      <c r="F50" s="21">
        <f t="shared" si="2"/>
        <v>0</v>
      </c>
      <c r="G50" s="21">
        <f t="shared" si="2"/>
        <v>0</v>
      </c>
      <c r="H50" s="21">
        <f t="shared" si="2"/>
        <v>0</v>
      </c>
      <c r="I50" s="21">
        <f t="shared" si="2"/>
        <v>0</v>
      </c>
      <c r="J50" s="21">
        <f t="shared" si="2"/>
        <v>0</v>
      </c>
      <c r="K50" s="21">
        <f t="shared" si="2"/>
        <v>0</v>
      </c>
      <c r="L50" s="21">
        <f t="shared" si="2"/>
        <v>0</v>
      </c>
      <c r="M50" s="21">
        <f t="shared" si="2"/>
        <v>0</v>
      </c>
      <c r="N50" s="21">
        <f t="shared" si="2"/>
        <v>0</v>
      </c>
      <c r="O50" s="21">
        <f t="shared" si="2"/>
        <v>0</v>
      </c>
      <c r="P50" s="21">
        <f t="shared" si="2"/>
        <v>0</v>
      </c>
      <c r="Q50" s="21">
        <f t="shared" si="2"/>
        <v>0</v>
      </c>
      <c r="R50" s="21">
        <f t="shared" si="2"/>
        <v>0</v>
      </c>
      <c r="S50" s="21">
        <f t="shared" si="2"/>
        <v>0</v>
      </c>
      <c r="T50" s="21">
        <f t="shared" si="2"/>
        <v>0</v>
      </c>
      <c r="U50" s="21">
        <f t="shared" si="2"/>
        <v>0</v>
      </c>
      <c r="V50" s="21">
        <f t="shared" si="2"/>
        <v>0</v>
      </c>
      <c r="W50" s="21">
        <f t="shared" si="2"/>
        <v>0</v>
      </c>
      <c r="X50" s="21">
        <f t="shared" si="2"/>
        <v>0</v>
      </c>
      <c r="Y50" s="21">
        <f t="shared" si="2"/>
        <v>0</v>
      </c>
      <c r="Z50" s="21">
        <f t="shared" si="2"/>
        <v>10.662528881318366</v>
      </c>
      <c r="AA50" s="21">
        <f t="shared" si="2"/>
        <v>0</v>
      </c>
      <c r="AB50" s="21">
        <f t="shared" si="2"/>
        <v>0</v>
      </c>
      <c r="AC50" s="21">
        <f t="shared" si="2"/>
        <v>0</v>
      </c>
      <c r="AD50" s="21">
        <f t="shared" si="2"/>
        <v>0</v>
      </c>
      <c r="AE50" s="21">
        <f t="shared" si="2"/>
        <v>0</v>
      </c>
      <c r="AF50" s="21">
        <f t="shared" si="2"/>
        <v>22.477084826176426</v>
      </c>
      <c r="AG50" s="21">
        <f t="shared" si="2"/>
        <v>0</v>
      </c>
      <c r="AH50" s="21">
        <f t="shared" si="2"/>
        <v>0</v>
      </c>
      <c r="AI50" s="21">
        <f t="shared" si="2"/>
        <v>0</v>
      </c>
    </row>
    <row r="51" spans="1:35">
      <c r="A51" s="24"/>
      <c r="B51" s="13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>
      <c r="A52" s="24"/>
      <c r="B52" s="13"/>
      <c r="C52" s="9" t="s">
        <v>26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>
      <c r="A53" s="24"/>
      <c r="B53" s="13" t="s">
        <v>215</v>
      </c>
      <c r="C53" s="9" t="s">
        <v>337</v>
      </c>
      <c r="E53" s="21">
        <f>'Function - O&amp;M2'!$L35</f>
        <v>5.4657717394967467</v>
      </c>
      <c r="F53" s="21">
        <f>E53</f>
        <v>5.4657717394967467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>
      <c r="A54" s="24"/>
      <c r="B54" s="13" t="s">
        <v>217</v>
      </c>
      <c r="C54" s="9" t="s">
        <v>338</v>
      </c>
      <c r="E54" s="21">
        <f>'Function - O&amp;M2'!$L36</f>
        <v>3.67188869659963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>
        <f>E54</f>
        <v>3.67188869659963</v>
      </c>
      <c r="AD54" s="21"/>
      <c r="AE54" s="21"/>
      <c r="AF54" s="21"/>
      <c r="AG54" s="21"/>
      <c r="AH54" s="21"/>
      <c r="AI54" s="21"/>
    </row>
    <row r="55" spans="1:35">
      <c r="A55" s="24"/>
      <c r="B55" s="13" t="s">
        <v>219</v>
      </c>
      <c r="C55" s="9" t="s">
        <v>339</v>
      </c>
      <c r="E55" s="21">
        <f>'Function - O&amp;M2'!$L37</f>
        <v>2.6277329183884346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>
        <f>E55</f>
        <v>2.6277329183884346</v>
      </c>
      <c r="AD55" s="21"/>
      <c r="AE55" s="21"/>
      <c r="AF55" s="21"/>
      <c r="AG55" s="21"/>
      <c r="AH55" s="21"/>
      <c r="AI55" s="21"/>
    </row>
    <row r="56" spans="1:35">
      <c r="A56" s="24"/>
      <c r="B56" s="13" t="s">
        <v>221</v>
      </c>
      <c r="C56" s="9" t="s">
        <v>340</v>
      </c>
      <c r="E56" s="21">
        <f>'Function - O&amp;M2'!$L38</f>
        <v>7.0345601571374834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>
        <v>0.69568620184917984</v>
      </c>
      <c r="R56" s="21">
        <v>6.3388739552883022</v>
      </c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>
      <c r="A57" s="24"/>
      <c r="B57" s="13" t="s">
        <v>223</v>
      </c>
      <c r="C57" s="9" t="s">
        <v>341</v>
      </c>
      <c r="E57" s="21">
        <f>'Function - O&amp;M2'!$L39</f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>
      <c r="A58" s="24"/>
      <c r="B58" s="13" t="s">
        <v>225</v>
      </c>
      <c r="C58" s="9" t="s">
        <v>226</v>
      </c>
      <c r="E58" s="21">
        <f>'Function - O&amp;M2'!$L40</f>
        <v>1.8457813184094634</v>
      </c>
      <c r="F58" s="21">
        <f>E58</f>
        <v>1.8457813184094634</v>
      </c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>
      <c r="A59" s="24"/>
      <c r="B59" s="13" t="s">
        <v>227</v>
      </c>
      <c r="C59" s="9" t="s">
        <v>342</v>
      </c>
      <c r="E59" s="21">
        <f>'Function - O&amp;M2'!$L41</f>
        <v>6.1686578599152577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>
        <f>E59</f>
        <v>6.1686578599152577</v>
      </c>
      <c r="AE59" s="21"/>
      <c r="AF59" s="21"/>
      <c r="AG59" s="21"/>
      <c r="AH59" s="21"/>
      <c r="AI59" s="21"/>
    </row>
    <row r="60" spans="1:35">
      <c r="A60" s="24"/>
      <c r="B60" s="13" t="s">
        <v>229</v>
      </c>
      <c r="C60" s="9" t="s">
        <v>233</v>
      </c>
      <c r="E60" s="21">
        <f>'Function - O&amp;M2'!$L44</f>
        <v>66.495437535768616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>
        <f>E60</f>
        <v>66.495437535768616</v>
      </c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>
      <c r="A61" s="24"/>
      <c r="B61" s="13" t="s">
        <v>230</v>
      </c>
      <c r="C61" s="11" t="s">
        <v>235</v>
      </c>
      <c r="D61" s="11"/>
      <c r="E61" s="22">
        <f>'Function - O&amp;M2'!$L45</f>
        <v>20.409560744138883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>
        <f>E61</f>
        <v>20.409560744138883</v>
      </c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>
      <c r="A62" s="24"/>
      <c r="B62" s="13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>
      <c r="A63" s="24"/>
      <c r="B63" s="13" t="s">
        <v>66</v>
      </c>
      <c r="C63" s="9" t="s">
        <v>343</v>
      </c>
      <c r="E63" s="21">
        <f t="shared" ref="E63:AI63" si="3">SUM(E53:E61)</f>
        <v>113.71939096985452</v>
      </c>
      <c r="F63" s="21">
        <f t="shared" si="3"/>
        <v>7.3115530579062096</v>
      </c>
      <c r="G63" s="21">
        <f t="shared" si="3"/>
        <v>0</v>
      </c>
      <c r="H63" s="21">
        <f t="shared" si="3"/>
        <v>0</v>
      </c>
      <c r="I63" s="21">
        <f t="shared" si="3"/>
        <v>0</v>
      </c>
      <c r="J63" s="21">
        <f t="shared" si="3"/>
        <v>0</v>
      </c>
      <c r="K63" s="21">
        <f t="shared" si="3"/>
        <v>0</v>
      </c>
      <c r="L63" s="21">
        <f t="shared" si="3"/>
        <v>0</v>
      </c>
      <c r="M63" s="21">
        <f t="shared" si="3"/>
        <v>0</v>
      </c>
      <c r="N63" s="21">
        <f t="shared" si="3"/>
        <v>0</v>
      </c>
      <c r="O63" s="21">
        <f t="shared" si="3"/>
        <v>0</v>
      </c>
      <c r="P63" s="21">
        <f t="shared" si="3"/>
        <v>0</v>
      </c>
      <c r="Q63" s="21">
        <f t="shared" si="3"/>
        <v>0.69568620184917984</v>
      </c>
      <c r="R63" s="21">
        <f t="shared" si="3"/>
        <v>6.3388739552883022</v>
      </c>
      <c r="S63" s="21">
        <f t="shared" si="3"/>
        <v>0</v>
      </c>
      <c r="T63" s="21">
        <f t="shared" si="3"/>
        <v>0</v>
      </c>
      <c r="U63" s="21">
        <f t="shared" si="3"/>
        <v>0</v>
      </c>
      <c r="V63" s="21">
        <f t="shared" si="3"/>
        <v>0</v>
      </c>
      <c r="W63" s="21">
        <f t="shared" si="3"/>
        <v>86.904998279907502</v>
      </c>
      <c r="X63" s="21">
        <f t="shared" si="3"/>
        <v>0</v>
      </c>
      <c r="Y63" s="21">
        <f t="shared" si="3"/>
        <v>0</v>
      </c>
      <c r="Z63" s="21">
        <f t="shared" si="3"/>
        <v>0</v>
      </c>
      <c r="AA63" s="21">
        <f t="shared" si="3"/>
        <v>0</v>
      </c>
      <c r="AB63" s="21">
        <f t="shared" si="3"/>
        <v>0</v>
      </c>
      <c r="AC63" s="21">
        <f t="shared" si="3"/>
        <v>6.2996216149880642</v>
      </c>
      <c r="AD63" s="21">
        <f t="shared" si="3"/>
        <v>6.1686578599152577</v>
      </c>
      <c r="AE63" s="21">
        <f t="shared" si="3"/>
        <v>0</v>
      </c>
      <c r="AF63" s="21">
        <f t="shared" si="3"/>
        <v>0</v>
      </c>
      <c r="AG63" s="21">
        <f t="shared" si="3"/>
        <v>0</v>
      </c>
      <c r="AH63" s="21">
        <f t="shared" si="3"/>
        <v>0</v>
      </c>
      <c r="AI63" s="21">
        <f t="shared" si="3"/>
        <v>0</v>
      </c>
    </row>
    <row r="64" spans="1:35">
      <c r="A64" s="24"/>
      <c r="B64" s="13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>
      <c r="A65" s="24"/>
      <c r="B65" s="13"/>
      <c r="C65" s="9" t="s">
        <v>27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>
      <c r="A66" s="24"/>
      <c r="B66" s="13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>
      <c r="A67" s="24"/>
      <c r="B67" s="13" t="s">
        <v>96</v>
      </c>
      <c r="C67" s="9" t="s">
        <v>238</v>
      </c>
      <c r="E67" s="21">
        <f>'Function - O&amp;M3'!$L13</f>
        <v>71.975246730686465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>
        <f>E67</f>
        <v>71.975246730686465</v>
      </c>
      <c r="AG67" s="21"/>
      <c r="AH67" s="21"/>
      <c r="AI67" s="21"/>
    </row>
    <row r="68" spans="1:35">
      <c r="A68" s="24"/>
      <c r="B68" s="13" t="s">
        <v>239</v>
      </c>
      <c r="C68" s="9" t="s">
        <v>344</v>
      </c>
      <c r="E68" s="21">
        <f>'Function - O&amp;M3'!$L14</f>
        <v>16.089059037941531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>
        <f>E68</f>
        <v>16.089059037941531</v>
      </c>
      <c r="AG68" s="21"/>
      <c r="AH68" s="21"/>
      <c r="AI68" s="21"/>
    </row>
    <row r="69" spans="1:35">
      <c r="A69" s="24"/>
      <c r="B69" s="13" t="s">
        <v>241</v>
      </c>
      <c r="C69" s="9" t="s">
        <v>242</v>
      </c>
      <c r="E69" s="21">
        <f>'Function - O&amp;M3'!$L15</f>
        <v>17.052873607484358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>
        <f>E69</f>
        <v>17.052873607484358</v>
      </c>
      <c r="AH69" s="21"/>
      <c r="AI69" s="21"/>
    </row>
    <row r="70" spans="1:35">
      <c r="A70" s="24"/>
      <c r="B70" s="13" t="s">
        <v>243</v>
      </c>
      <c r="C70" s="9" t="s">
        <v>345</v>
      </c>
      <c r="E70" s="21">
        <f>'Function - O&amp;M3'!$L16</f>
        <v>25.989028986685078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W70" s="21"/>
      <c r="X70" s="21"/>
      <c r="Y70" s="21"/>
      <c r="Z70" s="21"/>
      <c r="AA70" s="21"/>
      <c r="AB70" s="21"/>
      <c r="AC70" s="21"/>
      <c r="AD70" s="21"/>
      <c r="AE70" s="21"/>
      <c r="AF70" s="21">
        <f>E70</f>
        <v>25.989028986685078</v>
      </c>
      <c r="AG70" s="21"/>
      <c r="AH70" s="21"/>
      <c r="AI70" s="21"/>
    </row>
    <row r="71" spans="1:35">
      <c r="A71" s="24"/>
      <c r="B71" s="13" t="s">
        <v>245</v>
      </c>
      <c r="C71" s="9" t="s">
        <v>248</v>
      </c>
      <c r="E71" s="21">
        <f>'Function - O&amp;M3'!$L19</f>
        <v>3.1224574009068986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>
        <f>E71</f>
        <v>3.1224574009068986</v>
      </c>
      <c r="AE71" s="21"/>
      <c r="AF71" s="21"/>
      <c r="AG71" s="21"/>
      <c r="AH71" s="21"/>
      <c r="AI71" s="21"/>
    </row>
    <row r="72" spans="1:35">
      <c r="A72" s="24"/>
      <c r="B72" s="13" t="s">
        <v>246</v>
      </c>
      <c r="C72" s="11" t="s">
        <v>346</v>
      </c>
      <c r="D72" s="11"/>
      <c r="E72" s="22">
        <f>'Function - O&amp;M3'!$L20</f>
        <v>11.615811981007676</v>
      </c>
      <c r="F72" s="22"/>
      <c r="G72" s="22"/>
      <c r="H72" s="22"/>
      <c r="I72" s="22"/>
      <c r="J72" s="22">
        <v>3.3460121526882003</v>
      </c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>
        <v>8.269799828319476</v>
      </c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>
      <c r="A73" s="24"/>
      <c r="B73" s="13"/>
      <c r="C73" s="60"/>
      <c r="D73" s="60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</row>
    <row r="74" spans="1:35">
      <c r="A74" s="24"/>
      <c r="B74" s="13" t="s">
        <v>68</v>
      </c>
      <c r="C74" s="9" t="s">
        <v>251</v>
      </c>
      <c r="E74" s="21">
        <f t="shared" ref="E74:AI74" si="4">SUM(E67:E72)</f>
        <v>145.84447774471204</v>
      </c>
      <c r="F74" s="25">
        <f t="shared" si="4"/>
        <v>0</v>
      </c>
      <c r="G74" s="25">
        <f t="shared" si="4"/>
        <v>0</v>
      </c>
      <c r="H74" s="25">
        <f t="shared" si="4"/>
        <v>0</v>
      </c>
      <c r="I74" s="25">
        <f t="shared" si="4"/>
        <v>0</v>
      </c>
      <c r="J74" s="25">
        <f t="shared" si="4"/>
        <v>3.3460121526882003</v>
      </c>
      <c r="K74" s="25">
        <f t="shared" si="4"/>
        <v>0</v>
      </c>
      <c r="L74" s="25">
        <f t="shared" si="4"/>
        <v>0</v>
      </c>
      <c r="M74" s="25">
        <f t="shared" si="4"/>
        <v>0</v>
      </c>
      <c r="N74" s="25">
        <f t="shared" si="4"/>
        <v>0</v>
      </c>
      <c r="O74" s="25">
        <f t="shared" si="4"/>
        <v>0</v>
      </c>
      <c r="P74" s="25">
        <f t="shared" si="4"/>
        <v>0</v>
      </c>
      <c r="Q74" s="25">
        <f t="shared" si="4"/>
        <v>0</v>
      </c>
      <c r="R74" s="25">
        <f t="shared" si="4"/>
        <v>0</v>
      </c>
      <c r="S74" s="25">
        <f t="shared" si="4"/>
        <v>0</v>
      </c>
      <c r="T74" s="25">
        <f t="shared" si="4"/>
        <v>0</v>
      </c>
      <c r="U74" s="25">
        <f t="shared" si="4"/>
        <v>0</v>
      </c>
      <c r="V74" s="25">
        <f t="shared" si="4"/>
        <v>8.269799828319476</v>
      </c>
      <c r="W74" s="25">
        <f t="shared" si="4"/>
        <v>0</v>
      </c>
      <c r="X74" s="25">
        <f t="shared" si="4"/>
        <v>0</v>
      </c>
      <c r="Y74" s="25">
        <f t="shared" si="4"/>
        <v>0</v>
      </c>
      <c r="Z74" s="25">
        <f t="shared" si="4"/>
        <v>0</v>
      </c>
      <c r="AA74" s="25">
        <f t="shared" si="4"/>
        <v>0</v>
      </c>
      <c r="AB74" s="25">
        <f t="shared" si="4"/>
        <v>0</v>
      </c>
      <c r="AC74" s="25">
        <f t="shared" si="4"/>
        <v>3.1224574009068986</v>
      </c>
      <c r="AD74" s="25">
        <f t="shared" si="4"/>
        <v>0</v>
      </c>
      <c r="AE74" s="25">
        <f t="shared" si="4"/>
        <v>0</v>
      </c>
      <c r="AF74" s="25">
        <f t="shared" si="4"/>
        <v>114.05333475531307</v>
      </c>
      <c r="AG74" s="25">
        <f t="shared" si="4"/>
        <v>17.052873607484358</v>
      </c>
      <c r="AH74" s="25">
        <f t="shared" si="4"/>
        <v>0</v>
      </c>
      <c r="AI74" s="25">
        <f t="shared" si="4"/>
        <v>0</v>
      </c>
    </row>
    <row r="75" spans="1:35">
      <c r="A75" s="24"/>
      <c r="B75" s="13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>
      <c r="A76" s="24"/>
      <c r="B76" s="13"/>
      <c r="C76" s="9" t="s">
        <v>347</v>
      </c>
      <c r="E76" s="25">
        <f t="shared" ref="E76:AI76" si="5">E74+E63+E50+E38+E21</f>
        <v>2245.6511680692961</v>
      </c>
      <c r="F76" s="25">
        <f t="shared" si="5"/>
        <v>7.4015530579062094</v>
      </c>
      <c r="G76" s="25">
        <f t="shared" si="5"/>
        <v>0</v>
      </c>
      <c r="H76" s="25">
        <f t="shared" si="5"/>
        <v>950.75359846702293</v>
      </c>
      <c r="I76" s="25">
        <f t="shared" si="5"/>
        <v>1.5478295597245726</v>
      </c>
      <c r="J76" s="25">
        <f t="shared" si="5"/>
        <v>3.3460121526882003</v>
      </c>
      <c r="K76" s="25">
        <f t="shared" si="5"/>
        <v>13.524740556203296</v>
      </c>
      <c r="L76" s="25">
        <f t="shared" si="5"/>
        <v>109.04168385019832</v>
      </c>
      <c r="M76" s="25">
        <f t="shared" si="5"/>
        <v>498.98645016820802</v>
      </c>
      <c r="N76" s="25">
        <f t="shared" si="5"/>
        <v>128.29295840838972</v>
      </c>
      <c r="O76" s="25">
        <f t="shared" si="5"/>
        <v>66.506695365835668</v>
      </c>
      <c r="P76" s="25">
        <f t="shared" si="5"/>
        <v>0</v>
      </c>
      <c r="Q76" s="25">
        <f t="shared" si="5"/>
        <v>6.0538668775541442</v>
      </c>
      <c r="R76" s="25">
        <f t="shared" si="5"/>
        <v>52.974669052580566</v>
      </c>
      <c r="S76" s="25">
        <f t="shared" si="5"/>
        <v>7.912373287948582</v>
      </c>
      <c r="T76" s="25">
        <f t="shared" si="5"/>
        <v>49.313533006932722</v>
      </c>
      <c r="U76" s="25">
        <f t="shared" si="5"/>
        <v>20.658884987301679</v>
      </c>
      <c r="V76" s="25">
        <f t="shared" si="5"/>
        <v>8.269799828319476</v>
      </c>
      <c r="W76" s="25">
        <f t="shared" si="5"/>
        <v>86.904998279907502</v>
      </c>
      <c r="X76" s="25">
        <f t="shared" si="5"/>
        <v>11.739996915311817</v>
      </c>
      <c r="Y76" s="25">
        <f t="shared" si="5"/>
        <v>4.9169598410657489</v>
      </c>
      <c r="Z76" s="25">
        <f t="shared" si="5"/>
        <v>10.83918066402819</v>
      </c>
      <c r="AA76" s="25">
        <f t="shared" si="5"/>
        <v>35.350375806320841</v>
      </c>
      <c r="AB76" s="25">
        <f t="shared" si="5"/>
        <v>0</v>
      </c>
      <c r="AC76" s="25">
        <f t="shared" si="5"/>
        <v>9.4220790158949619</v>
      </c>
      <c r="AD76" s="25">
        <f t="shared" si="5"/>
        <v>6.1686578599152577</v>
      </c>
      <c r="AE76" s="25">
        <f t="shared" si="5"/>
        <v>1.4234759722603749</v>
      </c>
      <c r="AF76" s="25">
        <f t="shared" si="5"/>
        <v>137.16550877724836</v>
      </c>
      <c r="AG76" s="25">
        <f t="shared" si="5"/>
        <v>17.135286310528777</v>
      </c>
      <c r="AH76" s="25">
        <f t="shared" si="5"/>
        <v>0</v>
      </c>
      <c r="AI76" s="25">
        <f t="shared" si="5"/>
        <v>0</v>
      </c>
    </row>
    <row r="77" spans="1:35">
      <c r="A77" s="24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>
      <c r="A78" s="24"/>
      <c r="B78" s="13" t="s">
        <v>78</v>
      </c>
      <c r="C78" s="9" t="s">
        <v>255</v>
      </c>
      <c r="E78" s="21">
        <f>'Function - O&amp;M3'!$L$29</f>
        <v>1.9</v>
      </c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>
        <f>E78</f>
        <v>1.9</v>
      </c>
    </row>
    <row r="79" spans="1:35">
      <c r="A79" s="24"/>
      <c r="B79" s="13"/>
      <c r="C79" s="11"/>
      <c r="D79" s="11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>
      <c r="A80" s="24"/>
      <c r="B80" s="13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>
      <c r="A81" s="24"/>
      <c r="B81" s="13" t="s">
        <v>80</v>
      </c>
      <c r="C81" s="9" t="s">
        <v>348</v>
      </c>
      <c r="E81" s="25">
        <f>E76+E78</f>
        <v>2247.5511680692962</v>
      </c>
      <c r="F81" s="21">
        <f t="shared" ref="F81:AI81" si="6">F78+F76</f>
        <v>7.4015530579062094</v>
      </c>
      <c r="G81" s="21">
        <f t="shared" si="6"/>
        <v>0</v>
      </c>
      <c r="H81" s="21">
        <f t="shared" si="6"/>
        <v>950.75359846702293</v>
      </c>
      <c r="I81" s="21">
        <f t="shared" si="6"/>
        <v>1.5478295597245726</v>
      </c>
      <c r="J81" s="21">
        <f t="shared" si="6"/>
        <v>3.3460121526882003</v>
      </c>
      <c r="K81" s="21">
        <f t="shared" si="6"/>
        <v>13.524740556203296</v>
      </c>
      <c r="L81" s="21">
        <f t="shared" si="6"/>
        <v>109.04168385019832</v>
      </c>
      <c r="M81" s="21">
        <f t="shared" si="6"/>
        <v>498.98645016820802</v>
      </c>
      <c r="N81" s="21">
        <f t="shared" si="6"/>
        <v>128.29295840838972</v>
      </c>
      <c r="O81" s="21">
        <f t="shared" si="6"/>
        <v>66.506695365835668</v>
      </c>
      <c r="P81" s="21">
        <f t="shared" si="6"/>
        <v>0</v>
      </c>
      <c r="Q81" s="21">
        <f t="shared" si="6"/>
        <v>6.0538668775541442</v>
      </c>
      <c r="R81" s="21">
        <f t="shared" si="6"/>
        <v>52.974669052580566</v>
      </c>
      <c r="S81" s="21">
        <f t="shared" si="6"/>
        <v>7.912373287948582</v>
      </c>
      <c r="T81" s="21">
        <f t="shared" si="6"/>
        <v>49.313533006932722</v>
      </c>
      <c r="U81" s="21">
        <f t="shared" si="6"/>
        <v>20.658884987301679</v>
      </c>
      <c r="V81" s="21">
        <f t="shared" si="6"/>
        <v>8.269799828319476</v>
      </c>
      <c r="W81" s="21">
        <f t="shared" si="6"/>
        <v>86.904998279907502</v>
      </c>
      <c r="X81" s="21">
        <f t="shared" si="6"/>
        <v>11.739996915311817</v>
      </c>
      <c r="Y81" s="21">
        <f t="shared" si="6"/>
        <v>4.9169598410657489</v>
      </c>
      <c r="Z81" s="21">
        <f t="shared" si="6"/>
        <v>10.83918066402819</v>
      </c>
      <c r="AA81" s="21">
        <f t="shared" si="6"/>
        <v>35.350375806320841</v>
      </c>
      <c r="AB81" s="21">
        <f t="shared" si="6"/>
        <v>0</v>
      </c>
      <c r="AC81" s="21">
        <f t="shared" si="6"/>
        <v>9.4220790158949619</v>
      </c>
      <c r="AD81" s="21">
        <f t="shared" si="6"/>
        <v>6.1686578599152577</v>
      </c>
      <c r="AE81" s="21">
        <f t="shared" si="6"/>
        <v>1.4234759722603749</v>
      </c>
      <c r="AF81" s="21">
        <f t="shared" si="6"/>
        <v>137.16550877724836</v>
      </c>
      <c r="AG81" s="21">
        <f t="shared" si="6"/>
        <v>17.135286310528777</v>
      </c>
      <c r="AH81" s="21">
        <f t="shared" si="6"/>
        <v>0</v>
      </c>
      <c r="AI81" s="21">
        <f t="shared" si="6"/>
        <v>1.9</v>
      </c>
    </row>
    <row r="82" spans="1:35" ht="13" thickBot="1">
      <c r="A82" s="24"/>
      <c r="B82" s="26"/>
      <c r="C82" s="26"/>
      <c r="D82" s="26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</row>
    <row r="83" spans="1:35" ht="13" thickTop="1"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5" spans="1:35">
      <c r="C85" s="62"/>
    </row>
    <row r="86" spans="1:35">
      <c r="E86" s="21"/>
    </row>
    <row r="87" spans="1:35">
      <c r="E87" s="21"/>
    </row>
  </sheetData>
  <mergeCells count="22">
    <mergeCell ref="G9:J9"/>
    <mergeCell ref="G8:M8"/>
    <mergeCell ref="K9:M9"/>
    <mergeCell ref="N9:P9"/>
    <mergeCell ref="Q9:W9"/>
    <mergeCell ref="AC1:AI1"/>
    <mergeCell ref="AC2:AI2"/>
    <mergeCell ref="AC3:AI3"/>
    <mergeCell ref="Q1:AB1"/>
    <mergeCell ref="Q2:AB2"/>
    <mergeCell ref="Q3:AB3"/>
    <mergeCell ref="E1:P1"/>
    <mergeCell ref="E2:P2"/>
    <mergeCell ref="E3:P3"/>
    <mergeCell ref="E4:P4"/>
    <mergeCell ref="E5:P5"/>
    <mergeCell ref="AC5:AI5"/>
    <mergeCell ref="X9:AB9"/>
    <mergeCell ref="AC9:AF9"/>
    <mergeCell ref="Q5:AB5"/>
    <mergeCell ref="AC4:AI4"/>
    <mergeCell ref="Q4:AB4"/>
  </mergeCells>
  <pageMargins left="0.7" right="0.7" top="0.75" bottom="0.75" header="0.3" footer="0.3"/>
  <pageSetup scale="61" orientation="portrait" r:id="rId1"/>
  <headerFooter>
    <oddHeader>&amp;R&amp;"Arial,Regular"&amp;10Filed: 2023-03-08
EB-2022-0200
Exhibit I.7.1-VECC-62
Attachment 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0AB18-9946-4A55-9800-5A447F354FFF}">
  <sheetPr>
    <tabColor theme="5" tint="0.59999389629810485"/>
  </sheetPr>
  <dimension ref="B1:AB45"/>
  <sheetViews>
    <sheetView zoomScale="98" zoomScaleNormal="98" workbookViewId="0"/>
  </sheetViews>
  <sheetFormatPr defaultColWidth="9.1796875" defaultRowHeight="12.5"/>
  <cols>
    <col min="1" max="1" width="9" style="9" customWidth="1"/>
    <col min="2" max="2" width="4.453125" style="9" bestFit="1" customWidth="1"/>
    <col min="3" max="3" width="31" style="9" customWidth="1"/>
    <col min="4" max="4" width="2.1796875" style="9" customWidth="1"/>
    <col min="5" max="7" width="13.54296875" style="10" customWidth="1"/>
    <col min="8" max="9" width="9.1796875" style="10" customWidth="1"/>
    <col min="10" max="16" width="8.1796875" style="10" bestFit="1" customWidth="1"/>
    <col min="17" max="17" width="12.1796875" style="10" bestFit="1" customWidth="1"/>
    <col min="18" max="18" width="18.453125" style="10" bestFit="1" customWidth="1"/>
    <col min="19" max="19" width="13.54296875" style="10" bestFit="1" customWidth="1"/>
    <col min="20" max="21" width="9.1796875" style="9"/>
    <col min="22" max="23" width="14.7265625" style="9" bestFit="1" customWidth="1"/>
    <col min="24" max="24" width="10" style="9" bestFit="1" customWidth="1"/>
    <col min="25" max="30" width="9.1796875" style="9"/>
    <col min="31" max="33" width="14.7265625" style="9" bestFit="1" customWidth="1"/>
    <col min="34" max="34" width="12.1796875" style="9" bestFit="1" customWidth="1"/>
    <col min="35" max="35" width="15.453125" style="9" bestFit="1" customWidth="1"/>
    <col min="36" max="36" width="9.453125" style="9" customWidth="1"/>
    <col min="37" max="37" width="13" style="9" bestFit="1" customWidth="1"/>
    <col min="38" max="40" width="9.1796875" style="9"/>
    <col min="41" max="42" width="14.7265625" style="9" bestFit="1" customWidth="1"/>
    <col min="43" max="16384" width="9.1796875" style="9"/>
  </cols>
  <sheetData>
    <row r="1" spans="2:22">
      <c r="B1" s="90" t="s">
        <v>349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2:22">
      <c r="B2" s="90" t="s">
        <v>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2:22">
      <c r="B3" s="91" t="s">
        <v>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13"/>
      <c r="U3" s="13"/>
      <c r="V3" s="13"/>
    </row>
    <row r="5" spans="2:22"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0" t="s">
        <v>15</v>
      </c>
      <c r="Q5" s="10" t="s">
        <v>16</v>
      </c>
      <c r="R5" s="10" t="s">
        <v>89</v>
      </c>
      <c r="S5" s="10" t="s">
        <v>102</v>
      </c>
    </row>
    <row r="7" spans="2:22" ht="25">
      <c r="D7" s="11"/>
      <c r="E7" s="12" t="s">
        <v>350</v>
      </c>
      <c r="F7" s="12" t="s">
        <v>351</v>
      </c>
      <c r="G7" s="12" t="s">
        <v>352</v>
      </c>
      <c r="H7" s="12" t="s">
        <v>353</v>
      </c>
      <c r="I7" s="12" t="s">
        <v>354</v>
      </c>
      <c r="J7" s="12" t="s">
        <v>355</v>
      </c>
      <c r="K7" s="12" t="s">
        <v>356</v>
      </c>
      <c r="L7" s="12" t="s">
        <v>357</v>
      </c>
      <c r="M7" s="12" t="s">
        <v>358</v>
      </c>
      <c r="N7" s="12" t="s">
        <v>359</v>
      </c>
      <c r="O7" s="12" t="s">
        <v>360</v>
      </c>
      <c r="P7" s="12" t="s">
        <v>361</v>
      </c>
      <c r="Q7" s="12" t="s">
        <v>362</v>
      </c>
      <c r="R7" s="12" t="s">
        <v>363</v>
      </c>
      <c r="S7" s="12" t="s">
        <v>294</v>
      </c>
    </row>
    <row r="9" spans="2:22">
      <c r="C9" s="9" t="s">
        <v>364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2:22">
      <c r="B10" s="13" t="s">
        <v>108</v>
      </c>
      <c r="C10" s="9" t="s">
        <v>365</v>
      </c>
      <c r="E10" s="63">
        <f>SUM(F10:S10)</f>
        <v>7943.1887384885949</v>
      </c>
      <c r="F10" s="63">
        <v>4588.3670035402711</v>
      </c>
      <c r="G10" s="63">
        <v>3121.3495179293245</v>
      </c>
      <c r="H10" s="63">
        <v>0</v>
      </c>
      <c r="I10" s="63">
        <v>0</v>
      </c>
      <c r="J10" s="63">
        <v>56.321753002999991</v>
      </c>
      <c r="K10" s="63">
        <v>0</v>
      </c>
      <c r="L10" s="63">
        <v>0</v>
      </c>
      <c r="M10" s="63">
        <v>4.4734020060000006</v>
      </c>
      <c r="N10" s="63">
        <v>8.5750430049999977</v>
      </c>
      <c r="O10" s="63">
        <v>34.474919005000004</v>
      </c>
      <c r="P10" s="63">
        <v>129.62709999999998</v>
      </c>
      <c r="Q10" s="63">
        <v>0</v>
      </c>
      <c r="R10" s="63">
        <v>0</v>
      </c>
      <c r="S10" s="63">
        <v>0</v>
      </c>
    </row>
    <row r="11" spans="2:22">
      <c r="B11" s="13" t="s">
        <v>109</v>
      </c>
      <c r="C11" s="9" t="s">
        <v>366</v>
      </c>
      <c r="E11" s="63">
        <f>SUM(F11:S11)</f>
        <v>11492.202007134169</v>
      </c>
      <c r="F11" s="63">
        <v>4754.9880839293883</v>
      </c>
      <c r="G11" s="63">
        <v>4829.7925485692076</v>
      </c>
      <c r="H11" s="63">
        <v>0</v>
      </c>
      <c r="I11" s="63">
        <v>0</v>
      </c>
      <c r="J11" s="63">
        <v>789.03577601899985</v>
      </c>
      <c r="K11" s="63">
        <v>542.83142100099997</v>
      </c>
      <c r="L11" s="63">
        <v>0</v>
      </c>
      <c r="M11" s="63">
        <v>64.501275542571435</v>
      </c>
      <c r="N11" s="63">
        <v>50.136173049</v>
      </c>
      <c r="O11" s="63">
        <v>291.15232902400004</v>
      </c>
      <c r="P11" s="63">
        <v>169.76439999999999</v>
      </c>
      <c r="Q11" s="63">
        <v>0</v>
      </c>
      <c r="R11" s="63">
        <v>0</v>
      </c>
      <c r="S11" s="63">
        <v>0</v>
      </c>
    </row>
    <row r="12" spans="2:22">
      <c r="B12" s="13" t="s">
        <v>110</v>
      </c>
      <c r="C12" s="9" t="s">
        <v>367</v>
      </c>
      <c r="E12" s="63">
        <f>SUM(F12:S12)</f>
        <v>11492.202007134169</v>
      </c>
      <c r="F12" s="63">
        <v>4754.9880839293883</v>
      </c>
      <c r="G12" s="63">
        <v>4829.7925485692076</v>
      </c>
      <c r="H12" s="63">
        <v>0</v>
      </c>
      <c r="I12" s="63">
        <v>0</v>
      </c>
      <c r="J12" s="63">
        <v>789.03577601899985</v>
      </c>
      <c r="K12" s="63">
        <v>542.83142100099997</v>
      </c>
      <c r="L12" s="63">
        <v>0</v>
      </c>
      <c r="M12" s="63">
        <v>64.501275542571435</v>
      </c>
      <c r="N12" s="63">
        <v>50.136173049</v>
      </c>
      <c r="O12" s="63">
        <v>291.15232902400004</v>
      </c>
      <c r="P12" s="63">
        <v>169.76439999999999</v>
      </c>
      <c r="Q12" s="63">
        <v>0</v>
      </c>
      <c r="R12" s="63">
        <v>0</v>
      </c>
      <c r="S12" s="63">
        <v>0</v>
      </c>
    </row>
    <row r="13" spans="2:22">
      <c r="B13" s="13" t="s">
        <v>150</v>
      </c>
      <c r="C13" s="9" t="s">
        <v>368</v>
      </c>
      <c r="E13" s="63">
        <f>SUM(F13:S13)</f>
        <v>105970.5</v>
      </c>
      <c r="F13" s="63">
        <v>53399.772576577401</v>
      </c>
      <c r="G13" s="63">
        <v>46838.797511509983</v>
      </c>
      <c r="H13" s="63">
        <v>0</v>
      </c>
      <c r="I13" s="63">
        <v>0</v>
      </c>
      <c r="J13" s="63">
        <v>2611.201268709322</v>
      </c>
      <c r="K13" s="63">
        <v>1617.1763264055564</v>
      </c>
      <c r="L13" s="63">
        <v>0</v>
      </c>
      <c r="M13" s="63">
        <v>5.3458073149643512</v>
      </c>
      <c r="N13" s="63">
        <v>106.83226264537009</v>
      </c>
      <c r="O13" s="63">
        <v>104.65324683880911</v>
      </c>
      <c r="P13" s="63">
        <v>1286.7209999985994</v>
      </c>
      <c r="Q13" s="63">
        <v>0</v>
      </c>
      <c r="R13" s="63">
        <v>0</v>
      </c>
      <c r="S13" s="63">
        <v>0</v>
      </c>
    </row>
    <row r="14" spans="2:22">
      <c r="B14" s="13" t="s">
        <v>152</v>
      </c>
      <c r="C14" s="9" t="s">
        <v>369</v>
      </c>
      <c r="E14" s="63">
        <f>SUM(F14:S14)</f>
        <v>7943.1887384885949</v>
      </c>
      <c r="F14" s="63">
        <v>4588.3670035402711</v>
      </c>
      <c r="G14" s="63">
        <v>3121.3495179293245</v>
      </c>
      <c r="H14" s="63">
        <v>0</v>
      </c>
      <c r="I14" s="63">
        <v>0</v>
      </c>
      <c r="J14" s="63">
        <v>56.321753002999991</v>
      </c>
      <c r="K14" s="63">
        <v>0</v>
      </c>
      <c r="L14" s="63">
        <v>0</v>
      </c>
      <c r="M14" s="63">
        <v>4.4734020060000006</v>
      </c>
      <c r="N14" s="63">
        <v>8.5750430049999977</v>
      </c>
      <c r="O14" s="63">
        <v>34.474919005000004</v>
      </c>
      <c r="P14" s="63">
        <v>129.62709999999998</v>
      </c>
      <c r="Q14" s="63">
        <v>0</v>
      </c>
      <c r="R14" s="63">
        <v>0</v>
      </c>
      <c r="S14" s="63">
        <v>0</v>
      </c>
    </row>
    <row r="15" spans="2:22">
      <c r="B15" s="1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spans="2:22">
      <c r="B16" s="13"/>
      <c r="C16" s="68" t="s">
        <v>370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</row>
    <row r="17" spans="2:19">
      <c r="B17" s="13" t="s">
        <v>32</v>
      </c>
      <c r="C17" s="9" t="s">
        <v>371</v>
      </c>
      <c r="E17" s="63">
        <f>SUM(F17:S17)</f>
        <v>115246.45700000001</v>
      </c>
      <c r="F17" s="63">
        <v>53399.772576577401</v>
      </c>
      <c r="G17" s="63">
        <v>46838.797511509983</v>
      </c>
      <c r="H17" s="63">
        <v>0</v>
      </c>
      <c r="I17" s="63">
        <v>0</v>
      </c>
      <c r="J17" s="63">
        <v>2611.201268709322</v>
      </c>
      <c r="K17" s="63">
        <v>1617.1763264055564</v>
      </c>
      <c r="L17" s="63">
        <v>9260.357</v>
      </c>
      <c r="M17" s="63">
        <v>5.3458073149643512</v>
      </c>
      <c r="N17" s="63">
        <v>106.83226264537009</v>
      </c>
      <c r="O17" s="63">
        <v>104.65324683880911</v>
      </c>
      <c r="P17" s="63">
        <v>1286.7209999985994</v>
      </c>
      <c r="Q17" s="63">
        <v>15.6</v>
      </c>
      <c r="R17" s="63">
        <v>0</v>
      </c>
      <c r="S17" s="63">
        <v>0</v>
      </c>
    </row>
    <row r="18" spans="2:19">
      <c r="B18" s="13" t="s">
        <v>34</v>
      </c>
      <c r="C18" s="9" t="s">
        <v>372</v>
      </c>
      <c r="E18" s="63">
        <f>SUM(F18:S18)</f>
        <v>105986.1</v>
      </c>
      <c r="F18" s="63">
        <v>53399.772576577401</v>
      </c>
      <c r="G18" s="63">
        <v>46838.797511509983</v>
      </c>
      <c r="H18" s="63">
        <v>0</v>
      </c>
      <c r="I18" s="63">
        <v>0</v>
      </c>
      <c r="J18" s="63">
        <v>2611.201268709322</v>
      </c>
      <c r="K18" s="63">
        <v>1617.1763264055564</v>
      </c>
      <c r="L18" s="63"/>
      <c r="M18" s="63">
        <v>5.3458073149643512</v>
      </c>
      <c r="N18" s="63">
        <v>106.83226264537009</v>
      </c>
      <c r="O18" s="63">
        <v>104.65324683880911</v>
      </c>
      <c r="P18" s="63">
        <v>1286.7209999985994</v>
      </c>
      <c r="Q18" s="63">
        <v>15.6</v>
      </c>
      <c r="R18" s="63">
        <v>0</v>
      </c>
      <c r="S18" s="63">
        <v>0</v>
      </c>
    </row>
    <row r="19" spans="2:19">
      <c r="B19" s="13" t="s">
        <v>36</v>
      </c>
      <c r="C19" s="9" t="s">
        <v>373</v>
      </c>
      <c r="E19" s="63">
        <f>SUM(F19:S19)</f>
        <v>104699.37900000141</v>
      </c>
      <c r="F19" s="63">
        <v>53399.772576577401</v>
      </c>
      <c r="G19" s="63">
        <v>46838.797511509983</v>
      </c>
      <c r="H19" s="63">
        <v>0</v>
      </c>
      <c r="I19" s="63">
        <v>0</v>
      </c>
      <c r="J19" s="63">
        <v>2611.201268709322</v>
      </c>
      <c r="K19" s="63">
        <v>1617.1763264055564</v>
      </c>
      <c r="L19" s="63">
        <v>0</v>
      </c>
      <c r="M19" s="63">
        <v>5.3458073149643512</v>
      </c>
      <c r="N19" s="63">
        <v>106.83226264537009</v>
      </c>
      <c r="O19" s="63">
        <v>104.65324683880911</v>
      </c>
      <c r="P19" s="63">
        <v>0</v>
      </c>
      <c r="Q19" s="63">
        <v>15.6</v>
      </c>
      <c r="R19" s="63">
        <v>0</v>
      </c>
      <c r="S19" s="63">
        <v>0</v>
      </c>
    </row>
    <row r="20" spans="2:19">
      <c r="B20" s="13" t="s">
        <v>37</v>
      </c>
      <c r="C20" s="9" t="s">
        <v>374</v>
      </c>
      <c r="E20" s="63">
        <f>SUM(F20:S20)</f>
        <v>103807.41657499832</v>
      </c>
      <c r="F20" s="63">
        <v>53399.772576577401</v>
      </c>
      <c r="G20" s="63">
        <v>46838.797511509983</v>
      </c>
      <c r="H20" s="63">
        <v>0</v>
      </c>
      <c r="I20" s="63">
        <v>0</v>
      </c>
      <c r="J20" s="63">
        <v>2611.201268709322</v>
      </c>
      <c r="K20" s="63">
        <v>725.21390140247365</v>
      </c>
      <c r="L20" s="63">
        <v>0</v>
      </c>
      <c r="M20" s="63">
        <v>5.3458073149643512</v>
      </c>
      <c r="N20" s="63">
        <v>106.83226264537009</v>
      </c>
      <c r="O20" s="63">
        <v>104.65324683880911</v>
      </c>
      <c r="P20" s="63">
        <v>0</v>
      </c>
      <c r="Q20" s="63">
        <v>15.6</v>
      </c>
      <c r="R20" s="63">
        <v>0</v>
      </c>
      <c r="S20" s="63">
        <v>0</v>
      </c>
    </row>
    <row r="21" spans="2:19">
      <c r="B21" s="13" t="s">
        <v>39</v>
      </c>
      <c r="C21" s="9" t="s">
        <v>375</v>
      </c>
      <c r="E21" s="63">
        <f>SUM(F21:S21)</f>
        <v>2183043</v>
      </c>
      <c r="F21" s="64">
        <f t="shared" ref="F21:R21" si="0">F32</f>
        <v>2015077</v>
      </c>
      <c r="G21" s="64">
        <f t="shared" si="0"/>
        <v>167564</v>
      </c>
      <c r="H21" s="64">
        <f t="shared" si="0"/>
        <v>0</v>
      </c>
      <c r="I21" s="64">
        <f t="shared" si="0"/>
        <v>0</v>
      </c>
      <c r="J21" s="64">
        <f t="shared" si="0"/>
        <v>265</v>
      </c>
      <c r="K21" s="64">
        <f t="shared" si="0"/>
        <v>27</v>
      </c>
      <c r="L21" s="64">
        <f t="shared" si="0"/>
        <v>4</v>
      </c>
      <c r="M21" s="64">
        <f t="shared" si="0"/>
        <v>43</v>
      </c>
      <c r="N21" s="64">
        <f t="shared" si="0"/>
        <v>36</v>
      </c>
      <c r="O21" s="64">
        <f t="shared" si="0"/>
        <v>25</v>
      </c>
      <c r="P21" s="64">
        <f t="shared" si="0"/>
        <v>1</v>
      </c>
      <c r="Q21" s="64">
        <f t="shared" si="0"/>
        <v>1</v>
      </c>
      <c r="R21" s="64">
        <f t="shared" si="0"/>
        <v>0</v>
      </c>
      <c r="S21" s="63">
        <v>0</v>
      </c>
    </row>
    <row r="22" spans="2:19">
      <c r="B22" s="13"/>
      <c r="E22" s="63"/>
      <c r="F22" s="21"/>
      <c r="G22" s="21"/>
      <c r="H22" s="21"/>
      <c r="L22" s="21"/>
      <c r="M22" s="21"/>
      <c r="N22" s="21"/>
      <c r="O22" s="21"/>
      <c r="P22" s="21"/>
      <c r="Q22" s="21"/>
      <c r="R22" s="21"/>
      <c r="S22" s="63"/>
    </row>
    <row r="23" spans="2:19">
      <c r="B23" s="13"/>
      <c r="C23" s="9" t="s">
        <v>376</v>
      </c>
      <c r="E23" s="21"/>
      <c r="F23" s="21"/>
      <c r="G23" s="21"/>
      <c r="H23" s="21"/>
      <c r="L23" s="21"/>
      <c r="M23" s="21"/>
      <c r="N23" s="21"/>
      <c r="O23" s="21"/>
      <c r="P23" s="21"/>
      <c r="Q23" s="21"/>
      <c r="R23" s="21"/>
      <c r="S23" s="63"/>
    </row>
    <row r="24" spans="2:19">
      <c r="B24" s="13" t="s">
        <v>44</v>
      </c>
      <c r="C24" s="9" t="s">
        <v>283</v>
      </c>
      <c r="E24" s="63">
        <f>SUM(F24:S24)</f>
        <v>57.393422243477573</v>
      </c>
      <c r="F24" s="63">
        <f t="shared" ref="F24:R24" si="1">IF((F13/1000-F45/151)&lt;0,0,(F13/1000-F45/151))</f>
        <v>31.54231608119094</v>
      </c>
      <c r="G24" s="63">
        <f t="shared" si="1"/>
        <v>25.134594097067204</v>
      </c>
      <c r="H24" s="63">
        <f t="shared" si="1"/>
        <v>0</v>
      </c>
      <c r="I24" s="63">
        <f t="shared" si="1"/>
        <v>0</v>
      </c>
      <c r="J24" s="63">
        <f t="shared" si="1"/>
        <v>0.13252449378879172</v>
      </c>
      <c r="K24" s="63">
        <f t="shared" si="1"/>
        <v>5.2555975405556454E-2</v>
      </c>
      <c r="L24" s="63">
        <f t="shared" si="1"/>
        <v>0</v>
      </c>
      <c r="M24" s="63">
        <f t="shared" si="1"/>
        <v>0</v>
      </c>
      <c r="N24" s="63">
        <f t="shared" si="1"/>
        <v>0</v>
      </c>
      <c r="O24" s="63">
        <f t="shared" si="1"/>
        <v>0</v>
      </c>
      <c r="P24" s="63">
        <f t="shared" si="1"/>
        <v>0.53143159602508949</v>
      </c>
      <c r="Q24" s="63">
        <f t="shared" si="1"/>
        <v>0</v>
      </c>
      <c r="R24" s="63">
        <f t="shared" si="1"/>
        <v>0</v>
      </c>
      <c r="S24" s="63">
        <v>0</v>
      </c>
    </row>
    <row r="25" spans="2:19">
      <c r="B25" s="13" t="s">
        <v>45</v>
      </c>
      <c r="C25" s="9" t="s">
        <v>284</v>
      </c>
      <c r="E25" s="63">
        <f>SUM(F25:S25)</f>
        <v>2740.2358391403345</v>
      </c>
      <c r="F25" s="63">
        <f t="shared" ref="F25:R25" si="2">IF((F45/151-F12/365)*151&lt;0,0,(F45/151-F12/365)*151)</f>
        <v>1333.3438741640739</v>
      </c>
      <c r="G25" s="63">
        <f t="shared" si="2"/>
        <v>1279.2561543919542</v>
      </c>
      <c r="H25" s="63">
        <f t="shared" si="2"/>
        <v>0</v>
      </c>
      <c r="I25" s="63">
        <f t="shared" si="2"/>
        <v>0</v>
      </c>
      <c r="J25" s="63">
        <f t="shared" si="2"/>
        <v>47.857173344865878</v>
      </c>
      <c r="K25" s="63">
        <f t="shared" si="2"/>
        <v>11.689057737572627</v>
      </c>
      <c r="L25" s="63">
        <f t="shared" si="2"/>
        <v>0</v>
      </c>
      <c r="M25" s="63">
        <f t="shared" si="2"/>
        <v>0</v>
      </c>
      <c r="N25" s="63">
        <f t="shared" si="2"/>
        <v>6.8354209003178124</v>
      </c>
      <c r="O25" s="63">
        <f t="shared" si="2"/>
        <v>17.436758327578069</v>
      </c>
      <c r="P25" s="63">
        <f t="shared" si="2"/>
        <v>43.817400273972595</v>
      </c>
      <c r="Q25" s="63">
        <f t="shared" si="2"/>
        <v>0</v>
      </c>
      <c r="R25" s="63">
        <f t="shared" si="2"/>
        <v>0</v>
      </c>
      <c r="S25" s="63">
        <v>0</v>
      </c>
    </row>
    <row r="26" spans="2:19">
      <c r="B26" s="1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</row>
    <row r="27" spans="2:19">
      <c r="B27" s="13"/>
      <c r="C27" s="9" t="s">
        <v>377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spans="2:19">
      <c r="B28" s="13" t="s">
        <v>215</v>
      </c>
      <c r="C28" s="9" t="s">
        <v>24</v>
      </c>
      <c r="E28" s="63">
        <f t="shared" ref="E28:E38" si="3">SUM(F28:S28)</f>
        <v>467440.00001000002</v>
      </c>
      <c r="F28" s="63">
        <v>262382.49261570006</v>
      </c>
      <c r="G28" s="63">
        <v>196267.53714837725</v>
      </c>
      <c r="H28" s="63">
        <v>0</v>
      </c>
      <c r="I28" s="63">
        <v>1.0000000000000001E-5</v>
      </c>
      <c r="J28" s="63">
        <v>4645.0892875406989</v>
      </c>
      <c r="K28" s="63">
        <v>473.27324816452403</v>
      </c>
      <c r="L28" s="63">
        <v>1918.2408410144501</v>
      </c>
      <c r="M28" s="63">
        <v>738.7783547796306</v>
      </c>
      <c r="N28" s="63">
        <v>558.8438950798153</v>
      </c>
      <c r="O28" s="63">
        <v>438.21597052270744</v>
      </c>
      <c r="P28" s="63">
        <v>0</v>
      </c>
      <c r="Q28" s="63">
        <v>17.528638820908295</v>
      </c>
      <c r="R28" s="63">
        <v>0</v>
      </c>
      <c r="S28" s="63">
        <v>0</v>
      </c>
    </row>
    <row r="29" spans="2:19">
      <c r="B29" s="13" t="s">
        <v>217</v>
      </c>
      <c r="C29" s="9" t="s">
        <v>20</v>
      </c>
      <c r="E29" s="63">
        <f t="shared" si="3"/>
        <v>268989.36283219769</v>
      </c>
      <c r="F29" s="63">
        <v>20114.0475673045</v>
      </c>
      <c r="G29" s="63">
        <v>227822.03798030864</v>
      </c>
      <c r="H29" s="63">
        <v>0</v>
      </c>
      <c r="I29" s="63">
        <v>0</v>
      </c>
      <c r="J29" s="63">
        <v>9371.450180921116</v>
      </c>
      <c r="K29" s="63">
        <v>1813.5112244251281</v>
      </c>
      <c r="L29" s="63">
        <v>0</v>
      </c>
      <c r="M29" s="63">
        <v>3822.188725567813</v>
      </c>
      <c r="N29" s="63">
        <v>2587.9508675020006</v>
      </c>
      <c r="O29" s="63">
        <v>3274.8872235375256</v>
      </c>
      <c r="P29" s="63">
        <v>0</v>
      </c>
      <c r="Q29" s="63">
        <v>183.28906263089468</v>
      </c>
      <c r="R29" s="63">
        <v>0</v>
      </c>
      <c r="S29" s="63">
        <v>0</v>
      </c>
    </row>
    <row r="30" spans="2:19">
      <c r="B30" s="13" t="s">
        <v>219</v>
      </c>
      <c r="C30" s="9" t="s">
        <v>22</v>
      </c>
      <c r="E30" s="63">
        <f t="shared" si="3"/>
        <v>2725289.9999999991</v>
      </c>
      <c r="F30" s="63">
        <v>2418673.1944694561</v>
      </c>
      <c r="G30" s="63">
        <v>297842.55915774999</v>
      </c>
      <c r="H30" s="63">
        <v>0</v>
      </c>
      <c r="I30" s="63">
        <v>0</v>
      </c>
      <c r="J30" s="63">
        <v>4253.679670278605</v>
      </c>
      <c r="K30" s="63">
        <v>543.2701288233194</v>
      </c>
      <c r="L30" s="63">
        <v>359.71041051923407</v>
      </c>
      <c r="M30" s="63">
        <v>501.80166031489154</v>
      </c>
      <c r="N30" s="63">
        <v>1151.9917554450492</v>
      </c>
      <c r="O30" s="63">
        <v>1947.3111416921781</v>
      </c>
      <c r="P30" s="63">
        <v>0</v>
      </c>
      <c r="Q30" s="63">
        <v>16.481605720228277</v>
      </c>
      <c r="R30" s="63">
        <v>0</v>
      </c>
      <c r="S30" s="63">
        <v>0</v>
      </c>
    </row>
    <row r="31" spans="2:19">
      <c r="B31" s="13" t="s">
        <v>221</v>
      </c>
      <c r="C31" s="9" t="s">
        <v>25</v>
      </c>
      <c r="E31" s="63">
        <f t="shared" si="3"/>
        <v>0.28000000000000003</v>
      </c>
      <c r="F31" s="63">
        <f>40/200*0.28</f>
        <v>5.6000000000000008E-2</v>
      </c>
      <c r="G31" s="63">
        <f>160/200*0.28</f>
        <v>0.22400000000000003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3">
        <v>0</v>
      </c>
    </row>
    <row r="32" spans="2:19">
      <c r="B32" s="13" t="s">
        <v>223</v>
      </c>
      <c r="C32" s="9" t="s">
        <v>378</v>
      </c>
      <c r="E32" s="64">
        <f t="shared" si="3"/>
        <v>2183043</v>
      </c>
      <c r="F32" s="64">
        <v>2015077</v>
      </c>
      <c r="G32" s="64">
        <v>167564</v>
      </c>
      <c r="H32" s="64">
        <v>0</v>
      </c>
      <c r="I32" s="64">
        <v>0</v>
      </c>
      <c r="J32" s="64">
        <v>265</v>
      </c>
      <c r="K32" s="64">
        <v>27</v>
      </c>
      <c r="L32" s="64">
        <v>4</v>
      </c>
      <c r="M32" s="64">
        <v>43</v>
      </c>
      <c r="N32" s="64">
        <v>36</v>
      </c>
      <c r="O32" s="64">
        <v>25</v>
      </c>
      <c r="P32" s="63">
        <v>1</v>
      </c>
      <c r="Q32" s="64">
        <v>1</v>
      </c>
      <c r="R32" s="64">
        <v>0</v>
      </c>
      <c r="S32" s="63">
        <v>0</v>
      </c>
    </row>
    <row r="33" spans="2:28">
      <c r="B33" s="13" t="s">
        <v>225</v>
      </c>
      <c r="C33" s="9" t="s">
        <v>379</v>
      </c>
      <c r="E33" s="64">
        <f t="shared" si="3"/>
        <v>167966</v>
      </c>
      <c r="F33" s="64">
        <v>0</v>
      </c>
      <c r="G33" s="64">
        <f t="shared" ref="G33:O33" si="4">G32</f>
        <v>167564</v>
      </c>
      <c r="H33" s="64">
        <f t="shared" si="4"/>
        <v>0</v>
      </c>
      <c r="I33" s="64">
        <f t="shared" si="4"/>
        <v>0</v>
      </c>
      <c r="J33" s="64">
        <f t="shared" si="4"/>
        <v>265</v>
      </c>
      <c r="K33" s="64">
        <f t="shared" si="4"/>
        <v>27</v>
      </c>
      <c r="L33" s="64">
        <f t="shared" si="4"/>
        <v>4</v>
      </c>
      <c r="M33" s="64">
        <f t="shared" si="4"/>
        <v>43</v>
      </c>
      <c r="N33" s="64">
        <f t="shared" si="4"/>
        <v>36</v>
      </c>
      <c r="O33" s="64">
        <f t="shared" si="4"/>
        <v>25</v>
      </c>
      <c r="P33" s="63">
        <f>+P32</f>
        <v>1</v>
      </c>
      <c r="Q33" s="64">
        <f>Q32</f>
        <v>1</v>
      </c>
      <c r="R33" s="64">
        <f>R32</f>
        <v>0</v>
      </c>
      <c r="S33" s="63">
        <v>0</v>
      </c>
    </row>
    <row r="34" spans="2:28">
      <c r="B34" s="13" t="s">
        <v>227</v>
      </c>
      <c r="C34" s="9" t="s">
        <v>293</v>
      </c>
      <c r="E34" s="64">
        <f t="shared" si="3"/>
        <v>402</v>
      </c>
      <c r="F34" s="64">
        <v>0</v>
      </c>
      <c r="G34" s="64">
        <v>0</v>
      </c>
      <c r="H34" s="64">
        <v>0</v>
      </c>
      <c r="I34" s="64">
        <f t="shared" ref="I34:O34" si="5">I32</f>
        <v>0</v>
      </c>
      <c r="J34" s="64">
        <f t="shared" si="5"/>
        <v>265</v>
      </c>
      <c r="K34" s="64">
        <f t="shared" si="5"/>
        <v>27</v>
      </c>
      <c r="L34" s="64">
        <f t="shared" si="5"/>
        <v>4</v>
      </c>
      <c r="M34" s="64">
        <f t="shared" si="5"/>
        <v>43</v>
      </c>
      <c r="N34" s="64">
        <f t="shared" si="5"/>
        <v>36</v>
      </c>
      <c r="O34" s="64">
        <f t="shared" si="5"/>
        <v>25</v>
      </c>
      <c r="P34" s="63">
        <f>+P32</f>
        <v>1</v>
      </c>
      <c r="Q34" s="64">
        <f>Q32</f>
        <v>1</v>
      </c>
      <c r="R34" s="64">
        <f>R32</f>
        <v>0</v>
      </c>
      <c r="S34" s="63">
        <v>0</v>
      </c>
    </row>
    <row r="35" spans="2:28">
      <c r="B35" s="13" t="s">
        <v>229</v>
      </c>
      <c r="C35" s="9" t="s">
        <v>380</v>
      </c>
      <c r="E35" s="64">
        <f t="shared" si="3"/>
        <v>57428</v>
      </c>
      <c r="F35" s="64">
        <v>0</v>
      </c>
      <c r="G35" s="64">
        <v>56578</v>
      </c>
      <c r="H35" s="64">
        <v>0</v>
      </c>
      <c r="I35" s="64">
        <v>0</v>
      </c>
      <c r="J35" s="64">
        <v>485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3">
        <v>0</v>
      </c>
      <c r="Q35" s="64">
        <v>365</v>
      </c>
      <c r="R35" s="64">
        <v>0</v>
      </c>
      <c r="S35" s="63">
        <v>0</v>
      </c>
    </row>
    <row r="36" spans="2:28">
      <c r="B36" s="13" t="s">
        <v>230</v>
      </c>
      <c r="C36" s="9" t="s">
        <v>381</v>
      </c>
      <c r="E36" s="64">
        <f t="shared" si="3"/>
        <v>2381</v>
      </c>
      <c r="F36" s="64">
        <v>0</v>
      </c>
      <c r="G36" s="64">
        <v>2023</v>
      </c>
      <c r="H36" s="64">
        <v>0</v>
      </c>
      <c r="I36" s="64">
        <v>0</v>
      </c>
      <c r="J36" s="64">
        <v>222</v>
      </c>
      <c r="K36" s="64">
        <v>29</v>
      </c>
      <c r="L36" s="64">
        <v>4</v>
      </c>
      <c r="M36" s="64">
        <v>36</v>
      </c>
      <c r="N36" s="64">
        <v>37</v>
      </c>
      <c r="O36" s="64">
        <v>30</v>
      </c>
      <c r="P36" s="63">
        <v>0</v>
      </c>
      <c r="Q36" s="64">
        <v>0</v>
      </c>
      <c r="R36" s="64">
        <v>0</v>
      </c>
      <c r="S36" s="63">
        <v>0</v>
      </c>
    </row>
    <row r="37" spans="2:28">
      <c r="B37" s="13" t="s">
        <v>232</v>
      </c>
      <c r="C37" s="9" t="s">
        <v>382</v>
      </c>
      <c r="E37" s="64">
        <f t="shared" si="3"/>
        <v>13057890</v>
      </c>
      <c r="F37" s="64">
        <f>F32*6</f>
        <v>12090462</v>
      </c>
      <c r="G37" s="64">
        <v>967428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4">
        <v>0</v>
      </c>
      <c r="N37" s="64">
        <v>0</v>
      </c>
      <c r="O37" s="64">
        <v>0</v>
      </c>
      <c r="P37" s="63">
        <v>0</v>
      </c>
      <c r="Q37" s="64">
        <v>0</v>
      </c>
      <c r="R37" s="64">
        <v>0</v>
      </c>
      <c r="S37" s="63">
        <v>0</v>
      </c>
    </row>
    <row r="38" spans="2:28">
      <c r="B38" s="13" t="s">
        <v>234</v>
      </c>
      <c r="C38" s="9" t="s">
        <v>383</v>
      </c>
      <c r="E38" s="64">
        <f t="shared" si="3"/>
        <v>1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3">
        <v>0</v>
      </c>
      <c r="Q38" s="64">
        <v>0</v>
      </c>
      <c r="R38" s="64">
        <v>0</v>
      </c>
      <c r="S38" s="64">
        <v>1</v>
      </c>
    </row>
    <row r="39" spans="2:28">
      <c r="B39" s="1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</row>
    <row r="40" spans="2:28">
      <c r="B40" s="13" t="s">
        <v>68</v>
      </c>
      <c r="C40" s="9" t="s">
        <v>384</v>
      </c>
      <c r="E40" s="63">
        <f>SUM(F40:S40)</f>
        <v>5657.9376490410968</v>
      </c>
      <c r="F40" s="63">
        <f>'Allocation - Rate Base'!F68</f>
        <v>3836.6313087717558</v>
      </c>
      <c r="G40" s="63">
        <f>'Allocation - Rate Base'!G68</f>
        <v>1636.861051580069</v>
      </c>
      <c r="H40" s="63">
        <f>'Allocation - Rate Base'!H68</f>
        <v>0</v>
      </c>
      <c r="I40" s="63">
        <f>'Allocation - Rate Base'!I68</f>
        <v>4.8548256792162444E-9</v>
      </c>
      <c r="J40" s="63">
        <f>'Allocation - Rate Base'!J68</f>
        <v>70.161055839069093</v>
      </c>
      <c r="K40" s="63">
        <f>'Allocation - Rate Base'!K68</f>
        <v>25.743630264322594</v>
      </c>
      <c r="L40" s="63">
        <f>'Allocation - Rate Base'!L68</f>
        <v>56.36982478078945</v>
      </c>
      <c r="M40" s="63">
        <f>'Allocation - Rate Base'!M68</f>
        <v>3.2234471687938</v>
      </c>
      <c r="N40" s="63">
        <f>'Allocation - Rate Base'!N68</f>
        <v>5.7701856522049013</v>
      </c>
      <c r="O40" s="63">
        <f>'Allocation - Rate Base'!O68</f>
        <v>8.0876447358377863</v>
      </c>
      <c r="P40" s="63">
        <f>'Allocation - Rate Base'!P68</f>
        <v>14.640941661111686</v>
      </c>
      <c r="Q40" s="63">
        <f>'Allocation - Rate Base'!Q68</f>
        <v>0.44855858228769896</v>
      </c>
      <c r="R40" s="63">
        <f>'Allocation - Rate Base'!R68</f>
        <v>0</v>
      </c>
      <c r="S40" s="63">
        <f>'Allocation - Rate Base'!S68</f>
        <v>0</v>
      </c>
    </row>
    <row r="41" spans="2:28">
      <c r="B41" s="1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spans="2:28">
      <c r="B42" s="13"/>
      <c r="C42" s="9" t="s">
        <v>385</v>
      </c>
      <c r="E42" s="65"/>
      <c r="F42" s="66">
        <f>F12*1000/365/F13</f>
        <v>0.24395917781903306</v>
      </c>
      <c r="G42" s="66">
        <f>G12*1000/365/G13</f>
        <v>0.28250743091755826</v>
      </c>
      <c r="H42" s="66"/>
      <c r="I42" s="66"/>
      <c r="J42" s="66">
        <f>J12*1000/365/J13</f>
        <v>0.82787254970022506</v>
      </c>
      <c r="K42" s="66">
        <f>K12*1000/365/K13</f>
        <v>0.91963340566025331</v>
      </c>
      <c r="L42" s="66"/>
      <c r="M42" s="66"/>
      <c r="N42" s="66"/>
      <c r="O42" s="66"/>
      <c r="P42" s="66">
        <f>P12*1000/365/P13</f>
        <v>0.36146759492227587</v>
      </c>
      <c r="Q42" s="65"/>
      <c r="R42" s="65"/>
      <c r="S42" s="65"/>
      <c r="T42" s="67"/>
      <c r="U42" s="67"/>
      <c r="V42" s="67"/>
      <c r="W42" s="67"/>
      <c r="X42" s="67"/>
      <c r="Y42" s="67"/>
      <c r="Z42" s="67"/>
      <c r="AA42" s="67"/>
      <c r="AB42" s="67"/>
    </row>
    <row r="43" spans="2:28">
      <c r="B43" s="13"/>
      <c r="C43" s="9" t="s">
        <v>386</v>
      </c>
      <c r="E43" s="63">
        <f>SUM(F43:R43)</f>
        <v>2091.2980066330406</v>
      </c>
      <c r="F43" s="63">
        <v>82.880852031575003</v>
      </c>
      <c r="G43" s="63">
        <v>895.13158953346556</v>
      </c>
      <c r="H43" s="63">
        <v>0</v>
      </c>
      <c r="I43" s="63">
        <v>0</v>
      </c>
      <c r="J43" s="63">
        <v>474.89034501000003</v>
      </c>
      <c r="K43" s="63">
        <v>362.01202100099994</v>
      </c>
      <c r="L43" s="63">
        <v>0</v>
      </c>
      <c r="M43" s="63">
        <v>39.640636013999995</v>
      </c>
      <c r="N43" s="63">
        <v>25.167376029999996</v>
      </c>
      <c r="O43" s="63">
        <v>171.43788701299999</v>
      </c>
      <c r="P43" s="63">
        <v>40.137300000000003</v>
      </c>
      <c r="Q43" s="63">
        <v>0</v>
      </c>
      <c r="R43" s="63">
        <v>0</v>
      </c>
      <c r="S43" s="63"/>
    </row>
    <row r="44" spans="2:28">
      <c r="B44" s="13"/>
      <c r="C44" s="9" t="s">
        <v>387</v>
      </c>
      <c r="E44" s="63">
        <f>SUM(F44:R44)</f>
        <v>8689.4319105387513</v>
      </c>
      <c r="F44" s="63">
        <v>4639.3116228042991</v>
      </c>
      <c r="G44" s="63">
        <v>3620.7150156464527</v>
      </c>
      <c r="H44" s="63">
        <v>0</v>
      </c>
      <c r="I44" s="63">
        <v>0</v>
      </c>
      <c r="J44" s="63">
        <v>216.485828005</v>
      </c>
      <c r="K44" s="63">
        <v>11.292002</v>
      </c>
      <c r="L44" s="63">
        <v>0</v>
      </c>
      <c r="M44" s="63">
        <v>18.862437067000002</v>
      </c>
      <c r="N44" s="63">
        <v>10.692138011000001</v>
      </c>
      <c r="O44" s="63">
        <v>42.445767005</v>
      </c>
      <c r="P44" s="63">
        <v>129.62709999999998</v>
      </c>
      <c r="Q44" s="63">
        <v>0</v>
      </c>
      <c r="R44" s="63">
        <v>0</v>
      </c>
      <c r="S44" s="63"/>
    </row>
    <row r="45" spans="2:28">
      <c r="B45" s="13"/>
      <c r="C45" s="9" t="s">
        <v>388</v>
      </c>
      <c r="E45" s="63">
        <f>SUM(F45:R45)</f>
        <v>7480.718204949786</v>
      </c>
      <c r="F45" s="63">
        <v>3300.4759308033549</v>
      </c>
      <c r="G45" s="63">
        <v>3277.3347155808592</v>
      </c>
      <c r="H45" s="63">
        <v>0</v>
      </c>
      <c r="I45" s="63">
        <v>0</v>
      </c>
      <c r="J45" s="63">
        <v>374.28019301300003</v>
      </c>
      <c r="K45" s="63">
        <v>236.257673001</v>
      </c>
      <c r="L45" s="63">
        <v>0</v>
      </c>
      <c r="M45" s="63">
        <v>12.858227534571427</v>
      </c>
      <c r="N45" s="63">
        <v>27.576687011000001</v>
      </c>
      <c r="O45" s="63">
        <v>137.88607800599999</v>
      </c>
      <c r="P45" s="63">
        <v>114.04869999999998</v>
      </c>
      <c r="Q45" s="63">
        <v>0</v>
      </c>
      <c r="R45" s="63">
        <v>0</v>
      </c>
      <c r="S45" s="63"/>
    </row>
  </sheetData>
  <mergeCells count="3">
    <mergeCell ref="B1:S1"/>
    <mergeCell ref="B2:S2"/>
    <mergeCell ref="B3:S3"/>
  </mergeCells>
  <pageMargins left="0.7" right="0.7" top="0.75" bottom="0.75" header="0.3" footer="0.3"/>
  <pageSetup scale="61" orientation="portrait" r:id="rId1"/>
  <headerFooter>
    <oddHeader>&amp;R&amp;"Arial,Regular"&amp;10Filed: 2023-03-08
EB-2022-0200
Exhibit I.7.1-VECC-62
Attachment 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4C0F-756C-4953-8378-713A56C130FB}">
  <sheetPr>
    <tabColor theme="5" tint="0.59999389629810485"/>
  </sheetPr>
  <dimension ref="B1:V72"/>
  <sheetViews>
    <sheetView zoomScale="92" zoomScaleNormal="92" workbookViewId="0"/>
  </sheetViews>
  <sheetFormatPr defaultColWidth="9.1796875" defaultRowHeight="12.5"/>
  <cols>
    <col min="1" max="1" width="5.54296875" style="9" customWidth="1"/>
    <col min="2" max="2" width="4" style="9" bestFit="1" customWidth="1"/>
    <col min="3" max="3" width="31.54296875" style="9" customWidth="1"/>
    <col min="4" max="4" width="0.1796875" style="9" customWidth="1"/>
    <col min="5" max="5" width="14.7265625" style="10" customWidth="1"/>
    <col min="6" max="16" width="11.81640625" style="10" customWidth="1"/>
    <col min="17" max="17" width="10.26953125" style="10" customWidth="1"/>
    <col min="18" max="18" width="15.453125" style="10" customWidth="1"/>
    <col min="19" max="19" width="12.54296875" style="10" customWidth="1"/>
    <col min="20" max="16384" width="9.1796875" style="9"/>
  </cols>
  <sheetData>
    <row r="1" spans="2:22">
      <c r="B1" s="90" t="s">
        <v>389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2:22">
      <c r="B2" s="90" t="str">
        <f>'Allocation - Factors'!B2</f>
        <v>Year Ended December 31, 2018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2:22">
      <c r="B3" s="91" t="s">
        <v>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13"/>
      <c r="U3" s="13"/>
      <c r="V3" s="13"/>
    </row>
    <row r="4" spans="2:22" ht="18" customHeight="1"/>
    <row r="5" spans="2:22"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0" t="s">
        <v>15</v>
      </c>
      <c r="Q5" s="10" t="s">
        <v>16</v>
      </c>
      <c r="R5" s="10" t="s">
        <v>89</v>
      </c>
      <c r="S5" s="10" t="s">
        <v>102</v>
      </c>
    </row>
    <row r="7" spans="2:22" ht="25">
      <c r="D7" s="11"/>
      <c r="E7" s="12" t="s">
        <v>350</v>
      </c>
      <c r="F7" s="12" t="s">
        <v>351</v>
      </c>
      <c r="G7" s="12" t="s">
        <v>352</v>
      </c>
      <c r="H7" s="12" t="s">
        <v>353</v>
      </c>
      <c r="I7" s="12" t="s">
        <v>354</v>
      </c>
      <c r="J7" s="12" t="s">
        <v>355</v>
      </c>
      <c r="K7" s="12" t="s">
        <v>356</v>
      </c>
      <c r="L7" s="12" t="s">
        <v>357</v>
      </c>
      <c r="M7" s="12" t="s">
        <v>358</v>
      </c>
      <c r="N7" s="12" t="s">
        <v>359</v>
      </c>
      <c r="O7" s="12" t="s">
        <v>360</v>
      </c>
      <c r="P7" s="12" t="s">
        <v>361</v>
      </c>
      <c r="Q7" s="12" t="s">
        <v>362</v>
      </c>
      <c r="R7" s="12" t="s">
        <v>363</v>
      </c>
      <c r="S7" s="12" t="s">
        <v>294</v>
      </c>
    </row>
    <row r="8" spans="2:22" ht="18" customHeight="1"/>
    <row r="9" spans="2:22" ht="18" customHeight="1">
      <c r="C9" s="9" t="s">
        <v>364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2:22">
      <c r="B10" s="13" t="s">
        <v>108</v>
      </c>
      <c r="C10" s="9" t="s">
        <v>365</v>
      </c>
      <c r="E10" s="14">
        <f>SUM(F10:R10)</f>
        <v>1</v>
      </c>
      <c r="F10" s="14">
        <f>IF('Allocation - Factors'!$E10=0,0,'Allocation - Factors'!F10/'Allocation - Factors'!$E10)</f>
        <v>0.57764798931535033</v>
      </c>
      <c r="G10" s="14">
        <f>IF('Allocation - Factors'!$E10=0,0,'Allocation - Factors'!G10/'Allocation - Factors'!$E10)</f>
        <v>0.3929592536061588</v>
      </c>
      <c r="H10" s="14">
        <f>IF('Allocation - Factors'!$E10=0,0,'Allocation - Factors'!H10/'Allocation - Factors'!$E10)</f>
        <v>0</v>
      </c>
      <c r="I10" s="14">
        <f>IF('Allocation - Factors'!$E10=0,0,'Allocation - Factors'!I10/'Allocation - Factors'!$E10)</f>
        <v>0</v>
      </c>
      <c r="J10" s="14">
        <f>IF('Allocation - Factors'!$E10=0,0,'Allocation - Factors'!J10/'Allocation - Factors'!$E10)</f>
        <v>7.0905721690954953E-3</v>
      </c>
      <c r="K10" s="14">
        <f>IF('Allocation - Factors'!$E10=0,0,'Allocation - Factors'!K10/'Allocation - Factors'!$E10)</f>
        <v>0</v>
      </c>
      <c r="L10" s="14">
        <f>IF('Allocation - Factors'!$E10=0,0,'Allocation - Factors'!L10/'Allocation - Factors'!$E10)</f>
        <v>0</v>
      </c>
      <c r="M10" s="14">
        <f>IF('Allocation - Factors'!$E10=0,0,'Allocation - Factors'!M10/'Allocation - Factors'!$E10)</f>
        <v>5.6317458306438101E-4</v>
      </c>
      <c r="N10" s="14">
        <f>IF('Allocation - Factors'!$E10=0,0,'Allocation - Factors'!N10/'Allocation - Factors'!$E10)</f>
        <v>1.0795466766954389E-3</v>
      </c>
      <c r="O10" s="14">
        <f>IF('Allocation - Factors'!$E10=0,0,'Allocation - Factors'!O10/'Allocation - Factors'!$E10)</f>
        <v>4.340186308044316E-3</v>
      </c>
      <c r="P10" s="14">
        <f>IF('Allocation - Factors'!$E10=0,0,'Allocation - Factors'!P10/'Allocation - Factors'!$E10)</f>
        <v>1.6319277341591283E-2</v>
      </c>
      <c r="Q10" s="14">
        <f>IF('Allocation - Factors'!$E10=0,0,'Allocation - Factors'!Q10/'Allocation - Factors'!$E10)</f>
        <v>0</v>
      </c>
      <c r="R10" s="14">
        <f>IF('Allocation - Factors'!$E10=0,0,'Allocation - Factors'!R10/'Allocation - Factors'!$E10)</f>
        <v>0</v>
      </c>
      <c r="S10" s="14">
        <f>IF('Allocation - Factors'!$E10=0,0,'Allocation - Factors'!S10/'Allocation - Factors'!$E10)</f>
        <v>0</v>
      </c>
    </row>
    <row r="11" spans="2:22">
      <c r="B11" s="13" t="s">
        <v>109</v>
      </c>
      <c r="C11" s="9" t="s">
        <v>366</v>
      </c>
      <c r="E11" s="14">
        <f>SUM(F11:R11)</f>
        <v>1</v>
      </c>
      <c r="F11" s="14">
        <f>IF('Allocation - Factors'!$E11=0,0,'Allocation - Factors'!F11/'Allocation - Factors'!$E11)</f>
        <v>0.41375778819216463</v>
      </c>
      <c r="G11" s="14">
        <f>IF('Allocation - Factors'!$E11=0,0,'Allocation - Factors'!G11/'Allocation - Factors'!$E11)</f>
        <v>0.42026693801335485</v>
      </c>
      <c r="H11" s="14">
        <f>IF('Allocation - Factors'!$E11=0,0,'Allocation - Factors'!H11/'Allocation - Factors'!$E11)</f>
        <v>0</v>
      </c>
      <c r="I11" s="14">
        <f>IF('Allocation - Factors'!$E11=0,0,'Allocation - Factors'!I11/'Allocation - Factors'!$E11)</f>
        <v>0</v>
      </c>
      <c r="J11" s="14">
        <f>IF('Allocation - Factors'!$E11=0,0,'Allocation - Factors'!J11/'Allocation - Factors'!$E11)</f>
        <v>6.8658362908098861E-2</v>
      </c>
      <c r="K11" s="14">
        <f>IF('Allocation - Factors'!$E11=0,0,'Allocation - Factors'!K11/'Allocation - Factors'!$E11)</f>
        <v>4.7234761507326375E-2</v>
      </c>
      <c r="L11" s="14">
        <f>IF('Allocation - Factors'!$E11=0,0,'Allocation - Factors'!L11/'Allocation - Factors'!$E11)</f>
        <v>0</v>
      </c>
      <c r="M11" s="14">
        <f>IF('Allocation - Factors'!$E11=0,0,'Allocation - Factors'!M11/'Allocation - Factors'!$E11)</f>
        <v>5.6126124047010412E-3</v>
      </c>
      <c r="N11" s="14">
        <f>IF('Allocation - Factors'!$E11=0,0,'Allocation - Factors'!N11/'Allocation - Factors'!$E11)</f>
        <v>4.3626254583652721E-3</v>
      </c>
      <c r="O11" s="14">
        <f>IF('Allocation - Factors'!$E11=0,0,'Allocation - Factors'!O11/'Allocation - Factors'!$E11)</f>
        <v>2.5334772991569197E-2</v>
      </c>
      <c r="P11" s="14">
        <f>IF('Allocation - Factors'!$E11=0,0,'Allocation - Factors'!P11/'Allocation - Factors'!$E11)</f>
        <v>1.4772138524419696E-2</v>
      </c>
      <c r="Q11" s="14">
        <f>IF('Allocation - Factors'!$E11=0,0,'Allocation - Factors'!Q11/'Allocation - Factors'!$E11)</f>
        <v>0</v>
      </c>
      <c r="R11" s="14">
        <f>IF('Allocation - Factors'!$E11=0,0,'Allocation - Factors'!R11/'Allocation - Factors'!$E11)</f>
        <v>0</v>
      </c>
      <c r="S11" s="14">
        <f>IF('Allocation - Factors'!$E11=0,0,'Allocation - Factors'!S11/'Allocation - Factors'!$E11)</f>
        <v>0</v>
      </c>
    </row>
    <row r="12" spans="2:22">
      <c r="B12" s="13" t="s">
        <v>110</v>
      </c>
      <c r="C12" s="9" t="s">
        <v>367</v>
      </c>
      <c r="E12" s="14">
        <f>SUM(F12:R12)</f>
        <v>1</v>
      </c>
      <c r="F12" s="14">
        <f>IF('Allocation - Factors'!$E12=0,0,'Allocation - Factors'!F12/'Allocation - Factors'!$E12)</f>
        <v>0.41375778819216463</v>
      </c>
      <c r="G12" s="14">
        <f>IF('Allocation - Factors'!$E12=0,0,'Allocation - Factors'!G12/'Allocation - Factors'!$E12)</f>
        <v>0.42026693801335485</v>
      </c>
      <c r="H12" s="14">
        <f>IF('Allocation - Factors'!$E12=0,0,'Allocation - Factors'!H12/'Allocation - Factors'!$E12)</f>
        <v>0</v>
      </c>
      <c r="I12" s="14">
        <f>IF('Allocation - Factors'!$E12=0,0,'Allocation - Factors'!I12/'Allocation - Factors'!$E12)</f>
        <v>0</v>
      </c>
      <c r="J12" s="14">
        <f>IF('Allocation - Factors'!$E12=0,0,'Allocation - Factors'!J12/'Allocation - Factors'!$E12)</f>
        <v>6.8658362908098861E-2</v>
      </c>
      <c r="K12" s="14">
        <f>IF('Allocation - Factors'!$E12=0,0,'Allocation - Factors'!K12/'Allocation - Factors'!$E12)</f>
        <v>4.7234761507326375E-2</v>
      </c>
      <c r="L12" s="14">
        <f>IF('Allocation - Factors'!$E12=0,0,'Allocation - Factors'!L12/'Allocation - Factors'!$E12)</f>
        <v>0</v>
      </c>
      <c r="M12" s="14">
        <f>IF('Allocation - Factors'!$E12=0,0,'Allocation - Factors'!M12/'Allocation - Factors'!$E12)</f>
        <v>5.6126124047010412E-3</v>
      </c>
      <c r="N12" s="14">
        <f>IF('Allocation - Factors'!$E12=0,0,'Allocation - Factors'!N12/'Allocation - Factors'!$E12)</f>
        <v>4.3626254583652721E-3</v>
      </c>
      <c r="O12" s="14">
        <f>IF('Allocation - Factors'!$E12=0,0,'Allocation - Factors'!O12/'Allocation - Factors'!$E12)</f>
        <v>2.5334772991569197E-2</v>
      </c>
      <c r="P12" s="14">
        <f>IF('Allocation - Factors'!$E12=0,0,'Allocation - Factors'!P12/'Allocation - Factors'!$E12)</f>
        <v>1.4772138524419696E-2</v>
      </c>
      <c r="Q12" s="14">
        <f>IF('Allocation - Factors'!$E12=0,0,'Allocation - Factors'!Q12/'Allocation - Factors'!$E12)</f>
        <v>0</v>
      </c>
      <c r="R12" s="14">
        <f>IF('Allocation - Factors'!$E12=0,0,'Allocation - Factors'!R12/'Allocation - Factors'!$E12)</f>
        <v>0</v>
      </c>
      <c r="S12" s="14">
        <f>IF('Allocation - Factors'!$E12=0,0,'Allocation - Factors'!S12/'Allocation - Factors'!$E12)</f>
        <v>0</v>
      </c>
    </row>
    <row r="13" spans="2:22">
      <c r="B13" s="13" t="s">
        <v>150</v>
      </c>
      <c r="C13" s="9" t="s">
        <v>368</v>
      </c>
      <c r="E13" s="14">
        <f>SUM(F13:R13)</f>
        <v>1.0000000000000002</v>
      </c>
      <c r="F13" s="14">
        <f>IF('Allocation - Factors'!$E13=0,0,'Allocation - Factors'!F13/'Allocation - Factors'!$E13)</f>
        <v>0.5039116789727085</v>
      </c>
      <c r="G13" s="14">
        <f>IF('Allocation - Factors'!$E13=0,0,'Allocation - Factors'!G13/'Allocation - Factors'!$E13)</f>
        <v>0.44199845722639775</v>
      </c>
      <c r="H13" s="14">
        <f>IF('Allocation - Factors'!$E13=0,0,'Allocation - Factors'!H13/'Allocation - Factors'!$E13)</f>
        <v>0</v>
      </c>
      <c r="I13" s="14">
        <f>IF('Allocation - Factors'!$E13=0,0,'Allocation - Factors'!I13/'Allocation - Factors'!$E13)</f>
        <v>0</v>
      </c>
      <c r="J13" s="14">
        <f>IF('Allocation - Factors'!$E13=0,0,'Allocation - Factors'!J13/'Allocation - Factors'!$E13)</f>
        <v>2.4640831823095313E-2</v>
      </c>
      <c r="K13" s="14">
        <f>IF('Allocation - Factors'!$E13=0,0,'Allocation - Factors'!K13/'Allocation - Factors'!$E13)</f>
        <v>1.5260627499214937E-2</v>
      </c>
      <c r="L13" s="14">
        <f>IF('Allocation - Factors'!$E13=0,0,'Allocation - Factors'!L13/'Allocation - Factors'!$E13)</f>
        <v>0</v>
      </c>
      <c r="M13" s="14">
        <f>IF('Allocation - Factors'!$E13=0,0,'Allocation - Factors'!M13/'Allocation - Factors'!$E13)</f>
        <v>5.0446183748914567E-5</v>
      </c>
      <c r="N13" s="14">
        <f>IF('Allocation - Factors'!$E13=0,0,'Allocation - Factors'!N13/'Allocation - Factors'!$E13)</f>
        <v>1.0081320994556984E-3</v>
      </c>
      <c r="O13" s="14">
        <f>IF('Allocation - Factors'!$E13=0,0,'Allocation - Factors'!O13/'Allocation - Factors'!$E13)</f>
        <v>9.875696239878939E-4</v>
      </c>
      <c r="P13" s="14">
        <f>IF('Allocation - Factors'!$E13=0,0,'Allocation - Factors'!P13/'Allocation - Factors'!$E13)</f>
        <v>1.214225657139109E-2</v>
      </c>
      <c r="Q13" s="14">
        <f>IF('Allocation - Factors'!$E13=0,0,'Allocation - Factors'!Q13/'Allocation - Factors'!$E13)</f>
        <v>0</v>
      </c>
      <c r="R13" s="14">
        <f>IF('Allocation - Factors'!$E13=0,0,'Allocation - Factors'!R13/'Allocation - Factors'!$E13)</f>
        <v>0</v>
      </c>
      <c r="S13" s="14">
        <f>IF('Allocation - Factors'!$E13=0,0,'Allocation - Factors'!S13/'Allocation - Factors'!$E13)</f>
        <v>0</v>
      </c>
    </row>
    <row r="14" spans="2:22">
      <c r="B14" s="13" t="s">
        <v>152</v>
      </c>
      <c r="C14" s="9" t="s">
        <v>369</v>
      </c>
      <c r="E14" s="14">
        <f>SUM(F14:R14)</f>
        <v>1</v>
      </c>
      <c r="F14" s="14">
        <f>IF('Allocation - Factors'!$E14=0,0,'Allocation - Factors'!F14/'Allocation - Factors'!$E14)</f>
        <v>0.57764798931535033</v>
      </c>
      <c r="G14" s="14">
        <f>IF('Allocation - Factors'!$E14=0,0,'Allocation - Factors'!G14/'Allocation - Factors'!$E14)</f>
        <v>0.3929592536061588</v>
      </c>
      <c r="H14" s="14">
        <f>IF('Allocation - Factors'!$E14=0,0,'Allocation - Factors'!H14/'Allocation - Factors'!$E14)</f>
        <v>0</v>
      </c>
      <c r="I14" s="14">
        <f>IF('Allocation - Factors'!$E14=0,0,'Allocation - Factors'!I14/'Allocation - Factors'!$E14)</f>
        <v>0</v>
      </c>
      <c r="J14" s="14">
        <f>IF('Allocation - Factors'!$E14=0,0,'Allocation - Factors'!J14/'Allocation - Factors'!$E14)</f>
        <v>7.0905721690954953E-3</v>
      </c>
      <c r="K14" s="14">
        <f>IF('Allocation - Factors'!$E14=0,0,'Allocation - Factors'!K14/'Allocation - Factors'!$E14)</f>
        <v>0</v>
      </c>
      <c r="L14" s="14">
        <f>IF('Allocation - Factors'!$E14=0,0,'Allocation - Factors'!L14/'Allocation - Factors'!$E14)</f>
        <v>0</v>
      </c>
      <c r="M14" s="14">
        <f>IF('Allocation - Factors'!$E14=0,0,'Allocation - Factors'!M14/'Allocation - Factors'!$E14)</f>
        <v>5.6317458306438101E-4</v>
      </c>
      <c r="N14" s="14">
        <f>IF('Allocation - Factors'!$E14=0,0,'Allocation - Factors'!N14/'Allocation - Factors'!$E14)</f>
        <v>1.0795466766954389E-3</v>
      </c>
      <c r="O14" s="14">
        <f>IF('Allocation - Factors'!$E14=0,0,'Allocation - Factors'!O14/'Allocation - Factors'!$E14)</f>
        <v>4.340186308044316E-3</v>
      </c>
      <c r="P14" s="14">
        <f>IF('Allocation - Factors'!$E14=0,0,'Allocation - Factors'!P14/'Allocation - Factors'!$E14)</f>
        <v>1.6319277341591283E-2</v>
      </c>
      <c r="Q14" s="14">
        <f>IF('Allocation - Factors'!$E14=0,0,'Allocation - Factors'!Q14/'Allocation - Factors'!$E14)</f>
        <v>0</v>
      </c>
      <c r="R14" s="14">
        <f>IF('Allocation - Factors'!$E14=0,0,'Allocation - Factors'!R14/'Allocation - Factors'!$E14)</f>
        <v>0</v>
      </c>
      <c r="S14" s="14">
        <f>IF('Allocation - Factors'!$E14=0,0,'Allocation - Factors'!S14/'Allocation - Factors'!$E14)</f>
        <v>0</v>
      </c>
    </row>
    <row r="15" spans="2:22">
      <c r="B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2:22">
      <c r="B16" s="13"/>
      <c r="C16" s="68" t="s">
        <v>370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2:19">
      <c r="B17" s="13" t="s">
        <v>32</v>
      </c>
      <c r="C17" s="9" t="s">
        <v>371</v>
      </c>
      <c r="E17" s="14">
        <f>SUM(F17:R17)</f>
        <v>1</v>
      </c>
      <c r="F17" s="14">
        <f>IF('Allocation - Factors'!$E17=0,0,'Allocation - Factors'!F17/'Allocation - Factors'!$E17)</f>
        <v>0.46335283501667557</v>
      </c>
      <c r="G17" s="14">
        <f>IF('Allocation - Factors'!$E17=0,0,'Allocation - Factors'!G17/'Allocation - Factors'!$E17)</f>
        <v>0.40642288475306432</v>
      </c>
      <c r="H17" s="14">
        <f>IF('Allocation - Factors'!$E17=0,0,'Allocation - Factors'!H17/'Allocation - Factors'!$E17)</f>
        <v>0</v>
      </c>
      <c r="I17" s="14">
        <f>IF('Allocation - Factors'!$E17=0,0,'Allocation - Factors'!I17/'Allocation - Factors'!$E17)</f>
        <v>0</v>
      </c>
      <c r="J17" s="14">
        <f>IF('Allocation - Factors'!$E17=0,0,'Allocation - Factors'!J17/'Allocation - Factors'!$E17)</f>
        <v>2.2657540515187567E-2</v>
      </c>
      <c r="K17" s="14">
        <f>IF('Allocation - Factors'!$E17=0,0,'Allocation - Factors'!K17/'Allocation - Factors'!$E17)</f>
        <v>1.4032330090681715E-2</v>
      </c>
      <c r="L17" s="14">
        <f>IF('Allocation - Factors'!$E17=0,0,'Allocation - Factors'!L17/'Allocation - Factors'!$E17)</f>
        <v>8.0352639387430355E-2</v>
      </c>
      <c r="M17" s="14">
        <f>IF('Allocation - Factors'!$E17=0,0,'Allocation - Factors'!M17/'Allocation - Factors'!$E17)</f>
        <v>4.6385871237363514E-5</v>
      </c>
      <c r="N17" s="14">
        <f>IF('Allocation - Factors'!$E17=0,0,'Allocation - Factors'!N17/'Allocation - Factors'!$E17)</f>
        <v>9.2698956155650044E-4</v>
      </c>
      <c r="O17" s="14">
        <f>IF('Allocation - Factors'!$E17=0,0,'Allocation - Factors'!O17/'Allocation - Factors'!$E17)</f>
        <v>9.0808211864429897E-4</v>
      </c>
      <c r="P17" s="14">
        <f>IF('Allocation - Factors'!$E17=0,0,'Allocation - Factors'!P17/'Allocation - Factors'!$E17)</f>
        <v>1.1164950606668968E-2</v>
      </c>
      <c r="Q17" s="14">
        <f>IF('Allocation - Factors'!$E17=0,0,'Allocation - Factors'!Q17/'Allocation - Factors'!$E17)</f>
        <v>1.3536207885332213E-4</v>
      </c>
      <c r="R17" s="14">
        <f>IF('Allocation - Factors'!$E17=0,0,'Allocation - Factors'!R17/'Allocation - Factors'!$E17)</f>
        <v>0</v>
      </c>
      <c r="S17" s="14">
        <f>IF('Allocation - Factors'!$E17=0,0,'Allocation - Factors'!S17/'Allocation - Factors'!$E17)</f>
        <v>0</v>
      </c>
    </row>
    <row r="18" spans="2:19">
      <c r="B18" s="13" t="s">
        <v>34</v>
      </c>
      <c r="C18" s="9" t="s">
        <v>372</v>
      </c>
      <c r="E18" s="14">
        <f>SUM(F18:R18)</f>
        <v>1</v>
      </c>
      <c r="F18" s="14">
        <f>IF('Allocation - Factors'!$E18=0,0,'Allocation - Factors'!F18/'Allocation - Factors'!$E18)</f>
        <v>0.50383750865988464</v>
      </c>
      <c r="G18" s="14">
        <f>IF('Allocation - Factors'!$E18=0,0,'Allocation - Factors'!G18/'Allocation - Factors'!$E18)</f>
        <v>0.44193339986573693</v>
      </c>
      <c r="H18" s="14">
        <f>IF('Allocation - Factors'!$E18=0,0,'Allocation - Factors'!H18/'Allocation - Factors'!$E18)</f>
        <v>0</v>
      </c>
      <c r="I18" s="14">
        <f>IF('Allocation - Factors'!$E18=0,0,'Allocation - Factors'!I18/'Allocation - Factors'!$E18)</f>
        <v>0</v>
      </c>
      <c r="J18" s="14">
        <f>IF('Allocation - Factors'!$E18=0,0,'Allocation - Factors'!J18/'Allocation - Factors'!$E18)</f>
        <v>2.4637204960927157E-2</v>
      </c>
      <c r="K18" s="14">
        <f>IF('Allocation - Factors'!$E18=0,0,'Allocation - Factors'!K18/'Allocation - Factors'!$E18)</f>
        <v>1.5258381300996606E-2</v>
      </c>
      <c r="L18" s="14">
        <f>IF('Allocation - Factors'!$E18=0,0,'Allocation - Factors'!L18/'Allocation - Factors'!$E18)</f>
        <v>0</v>
      </c>
      <c r="M18" s="14">
        <f>IF('Allocation - Factors'!$E18=0,0,'Allocation - Factors'!M18/'Allocation - Factors'!$E18)</f>
        <v>5.0438758619897804E-5</v>
      </c>
      <c r="N18" s="14">
        <f>IF('Allocation - Factors'!$E18=0,0,'Allocation - Factors'!N18/'Allocation - Factors'!$E18)</f>
        <v>1.0079837133866619E-3</v>
      </c>
      <c r="O18" s="14">
        <f>IF('Allocation - Factors'!$E18=0,0,'Allocation - Factors'!O18/'Allocation - Factors'!$E18)</f>
        <v>9.8742426449137301E-4</v>
      </c>
      <c r="P18" s="14">
        <f>IF('Allocation - Factors'!$E18=0,0,'Allocation - Factors'!P18/'Allocation - Factors'!$E18)</f>
        <v>1.2140469363422179E-2</v>
      </c>
      <c r="Q18" s="14">
        <f>IF('Allocation - Factors'!$E18=0,0,'Allocation - Factors'!Q18/'Allocation - Factors'!$E18)</f>
        <v>1.4718911253456819E-4</v>
      </c>
      <c r="R18" s="14">
        <f>IF('Allocation - Factors'!$E18=0,0,'Allocation - Factors'!R18/'Allocation - Factors'!$E18)</f>
        <v>0</v>
      </c>
      <c r="S18" s="14">
        <f>IF('Allocation - Factors'!$E18=0,0,'Allocation - Factors'!S18/'Allocation - Factors'!$E18)</f>
        <v>0</v>
      </c>
    </row>
    <row r="19" spans="2:19">
      <c r="B19" s="13" t="s">
        <v>36</v>
      </c>
      <c r="C19" s="9" t="s">
        <v>373</v>
      </c>
      <c r="E19" s="14">
        <f>SUM(F19:R19)</f>
        <v>1</v>
      </c>
      <c r="F19" s="14">
        <f>IF('Allocation - Factors'!$E19=0,0,'Allocation - Factors'!F19/'Allocation - Factors'!$E19)</f>
        <v>0.51002950625501497</v>
      </c>
      <c r="G19" s="14">
        <f>IF('Allocation - Factors'!$E19=0,0,'Allocation - Factors'!G19/'Allocation - Factors'!$E19)</f>
        <v>0.44736461628401208</v>
      </c>
      <c r="H19" s="14">
        <f>IF('Allocation - Factors'!$E19=0,0,'Allocation - Factors'!H19/'Allocation - Factors'!$E19)</f>
        <v>0</v>
      </c>
      <c r="I19" s="14">
        <f>IF('Allocation - Factors'!$E19=0,0,'Allocation - Factors'!I19/'Allocation - Factors'!$E19)</f>
        <v>0</v>
      </c>
      <c r="J19" s="14">
        <f>IF('Allocation - Factors'!$E19=0,0,'Allocation - Factors'!J19/'Allocation - Factors'!$E19)</f>
        <v>2.4939988122654355E-2</v>
      </c>
      <c r="K19" s="14">
        <f>IF('Allocation - Factors'!$E19=0,0,'Allocation - Factors'!K19/'Allocation - Factors'!$E19)</f>
        <v>1.5445901798572604E-2</v>
      </c>
      <c r="L19" s="14">
        <f>IF('Allocation - Factors'!$E19=0,0,'Allocation - Factors'!L19/'Allocation - Factors'!$E19)</f>
        <v>0</v>
      </c>
      <c r="M19" s="14">
        <f>IF('Allocation - Factors'!$E19=0,0,'Allocation - Factors'!M19/'Allocation - Factors'!$E19)</f>
        <v>5.1058634406649912E-5</v>
      </c>
      <c r="N19" s="14">
        <f>IF('Allocation - Factors'!$E19=0,0,'Allocation - Factors'!N19/'Allocation - Factors'!$E19)</f>
        <v>1.0203715023502542E-3</v>
      </c>
      <c r="O19" s="14">
        <f>IF('Allocation - Factors'!$E19=0,0,'Allocation - Factors'!O19/'Allocation - Factors'!$E19)</f>
        <v>9.9955938457674796E-4</v>
      </c>
      <c r="P19" s="14">
        <f>IF('Allocation - Factors'!$E19=0,0,'Allocation - Factors'!P19/'Allocation - Factors'!$E19)</f>
        <v>0</v>
      </c>
      <c r="Q19" s="14">
        <f>IF('Allocation - Factors'!$E19=0,0,'Allocation - Factors'!Q19/'Allocation - Factors'!$E19)</f>
        <v>1.4899801841231349E-4</v>
      </c>
      <c r="R19" s="14">
        <f>IF('Allocation - Factors'!$E19=0,0,'Allocation - Factors'!R19/'Allocation - Factors'!$E19)</f>
        <v>0</v>
      </c>
      <c r="S19" s="14">
        <f>IF('Allocation - Factors'!$E19=0,0,'Allocation - Factors'!S19/'Allocation - Factors'!$E19)</f>
        <v>0</v>
      </c>
    </row>
    <row r="20" spans="2:19">
      <c r="B20" s="13" t="s">
        <v>37</v>
      </c>
      <c r="C20" s="9" t="s">
        <v>374</v>
      </c>
      <c r="E20" s="14">
        <f>SUM(F20:R20)</f>
        <v>0.99999999999999989</v>
      </c>
      <c r="F20" s="14">
        <f>IF('Allocation - Factors'!$E20=0,0,'Allocation - Factors'!F20/'Allocation - Factors'!$E20)</f>
        <v>0.51441192102105127</v>
      </c>
      <c r="G20" s="14">
        <f>IF('Allocation - Factors'!$E20=0,0,'Allocation - Factors'!G20/'Allocation - Factors'!$E20)</f>
        <v>0.45120858467439173</v>
      </c>
      <c r="H20" s="14">
        <f>IF('Allocation - Factors'!$E20=0,0,'Allocation - Factors'!H20/'Allocation - Factors'!$E20)</f>
        <v>0</v>
      </c>
      <c r="I20" s="14">
        <f>IF('Allocation - Factors'!$E20=0,0,'Allocation - Factors'!I20/'Allocation - Factors'!$E20)</f>
        <v>0</v>
      </c>
      <c r="J20" s="14">
        <f>IF('Allocation - Factors'!$E20=0,0,'Allocation - Factors'!J20/'Allocation - Factors'!$E20)</f>
        <v>2.5154284297430645E-2</v>
      </c>
      <c r="K20" s="14">
        <f>IF('Allocation - Factors'!$E20=0,0,'Allocation - Factors'!K20/'Allocation - Factors'!$E20)</f>
        <v>6.9861472843659907E-3</v>
      </c>
      <c r="L20" s="14">
        <f>IF('Allocation - Factors'!$E20=0,0,'Allocation - Factors'!L20/'Allocation - Factors'!$E20)</f>
        <v>0</v>
      </c>
      <c r="M20" s="14">
        <f>IF('Allocation - Factors'!$E20=0,0,'Allocation - Factors'!M20/'Allocation - Factors'!$E20)</f>
        <v>5.1497354344640068E-5</v>
      </c>
      <c r="N20" s="14">
        <f>IF('Allocation - Factors'!$E20=0,0,'Allocation - Factors'!N20/'Allocation - Factors'!$E20)</f>
        <v>1.0291390169428444E-3</v>
      </c>
      <c r="O20" s="14">
        <f>IF('Allocation - Factors'!$E20=0,0,'Allocation - Factors'!O20/'Allocation - Factors'!$E20)</f>
        <v>1.0081480716091196E-3</v>
      </c>
      <c r="P20" s="14">
        <f>IF('Allocation - Factors'!$E20=0,0,'Allocation - Factors'!P20/'Allocation - Factors'!$E20)</f>
        <v>0</v>
      </c>
      <c r="Q20" s="14">
        <f>IF('Allocation - Factors'!$E20=0,0,'Allocation - Factors'!Q20/'Allocation - Factors'!$E20)</f>
        <v>1.5027827986384171E-4</v>
      </c>
      <c r="R20" s="14">
        <f>IF('Allocation - Factors'!$E20=0,0,'Allocation - Factors'!R20/'Allocation - Factors'!$E20)</f>
        <v>0</v>
      </c>
      <c r="S20" s="14">
        <f>IF('Allocation - Factors'!$E20=0,0,'Allocation - Factors'!S20/'Allocation - Factors'!$E20)</f>
        <v>0</v>
      </c>
    </row>
    <row r="21" spans="2:19">
      <c r="B21" s="13" t="s">
        <v>39</v>
      </c>
      <c r="C21" s="9" t="s">
        <v>375</v>
      </c>
      <c r="E21" s="14">
        <f>SUM(F21:R21)</f>
        <v>0.99999999999999989</v>
      </c>
      <c r="F21" s="14">
        <f>IF('Allocation - Factors'!$E21=0,0,'Allocation - Factors'!F21/'Allocation - Factors'!$E21)</f>
        <v>0.92305877621283683</v>
      </c>
      <c r="G21" s="14">
        <f>IF('Allocation - Factors'!$E21=0,0,'Allocation - Factors'!G21/'Allocation - Factors'!$E21)</f>
        <v>7.6757077162474582E-2</v>
      </c>
      <c r="H21" s="14">
        <f>IF('Allocation - Factors'!$E21=0,0,'Allocation - Factors'!H21/'Allocation - Factors'!$E21)</f>
        <v>0</v>
      </c>
      <c r="I21" s="14">
        <f>IF('Allocation - Factors'!$E21=0,0,'Allocation - Factors'!I21/'Allocation - Factors'!$E21)</f>
        <v>0</v>
      </c>
      <c r="J21" s="14">
        <f>IF('Allocation - Factors'!$E21=0,0,'Allocation - Factors'!J21/'Allocation - Factors'!$E21)</f>
        <v>1.2139018791659166E-4</v>
      </c>
      <c r="K21" s="14">
        <f>IF('Allocation - Factors'!$E21=0,0,'Allocation - Factors'!K21/'Allocation - Factors'!$E21)</f>
        <v>1.236805688206783E-5</v>
      </c>
      <c r="L21" s="14">
        <f>IF('Allocation - Factors'!$E21=0,0,'Allocation - Factors'!L21/'Allocation - Factors'!$E21)</f>
        <v>1.8323047232693081E-6</v>
      </c>
      <c r="M21" s="14">
        <f>IF('Allocation - Factors'!$E21=0,0,'Allocation - Factors'!M21/'Allocation - Factors'!$E21)</f>
        <v>1.9697275775145061E-5</v>
      </c>
      <c r="N21" s="14">
        <f>IF('Allocation - Factors'!$E21=0,0,'Allocation - Factors'!N21/'Allocation - Factors'!$E21)</f>
        <v>1.6490742509423771E-5</v>
      </c>
      <c r="O21" s="14">
        <f>IF('Allocation - Factors'!$E21=0,0,'Allocation - Factors'!O21/'Allocation - Factors'!$E21)</f>
        <v>1.1451904520433176E-5</v>
      </c>
      <c r="P21" s="14">
        <f>IF('Allocation - Factors'!$E21=0,0,'Allocation - Factors'!P21/'Allocation - Factors'!$E21)</f>
        <v>4.5807618081732702E-7</v>
      </c>
      <c r="Q21" s="14">
        <f>IF('Allocation - Factors'!$E21=0,0,'Allocation - Factors'!Q21/'Allocation - Factors'!$E21)</f>
        <v>4.5807618081732702E-7</v>
      </c>
      <c r="R21" s="14">
        <f>IF('Allocation - Factors'!$E21=0,0,'Allocation - Factors'!R21/'Allocation - Factors'!$E21)</f>
        <v>0</v>
      </c>
      <c r="S21" s="14">
        <f>IF('Allocation - Factors'!$E21=0,0,'Allocation - Factors'!S21/'Allocation - Factors'!$E21)</f>
        <v>0</v>
      </c>
    </row>
    <row r="22" spans="2:19">
      <c r="B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 ht="18" customHeight="1">
      <c r="B23" s="13"/>
      <c r="C23" s="9" t="s">
        <v>376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>
      <c r="B24" s="13" t="s">
        <v>44</v>
      </c>
      <c r="C24" s="9" t="s">
        <v>283</v>
      </c>
      <c r="E24" s="14">
        <f>SUM(F24:R24)</f>
        <v>1.0000000000000002</v>
      </c>
      <c r="F24" s="14">
        <f>IF('Allocation - Factors'!$E24=0,0,'Allocation - Factors'!F24/'Allocation - Factors'!$E24)</f>
        <v>0.54958068099477275</v>
      </c>
      <c r="G24" s="14">
        <f>IF('Allocation - Factors'!$E24=0,0,'Allocation - Factors'!G24/'Allocation - Factors'!$E24)</f>
        <v>0.43793509978268641</v>
      </c>
      <c r="H24" s="14">
        <f>IF('Allocation - Factors'!$E24=0,0,'Allocation - Factors'!H24/'Allocation - Factors'!$E24)</f>
        <v>0</v>
      </c>
      <c r="I24" s="14">
        <f>IF('Allocation - Factors'!$E24=0,0,'Allocation - Factors'!I24/'Allocation - Factors'!$E24)</f>
        <v>0</v>
      </c>
      <c r="J24" s="14">
        <f>IF('Allocation - Factors'!$E24=0,0,'Allocation - Factors'!J24/'Allocation - Factors'!$E24)</f>
        <v>2.3090536965471222E-3</v>
      </c>
      <c r="K24" s="14">
        <f>IF('Allocation - Factors'!$E24=0,0,'Allocation - Factors'!K24/'Allocation - Factors'!$E24)</f>
        <v>9.1571426395520674E-4</v>
      </c>
      <c r="L24" s="14">
        <f>IF('Allocation - Factors'!$E24=0,0,'Allocation - Factors'!L24/'Allocation - Factors'!$E24)</f>
        <v>0</v>
      </c>
      <c r="M24" s="14">
        <f>IF('Allocation - Factors'!$E24=0,0,'Allocation - Factors'!M24/'Allocation - Factors'!$E24)</f>
        <v>0</v>
      </c>
      <c r="N24" s="14">
        <f>IF('Allocation - Factors'!$E24=0,0,'Allocation - Factors'!N24/'Allocation - Factors'!$E24)</f>
        <v>0</v>
      </c>
      <c r="O24" s="14">
        <f>IF('Allocation - Factors'!$E24=0,0,'Allocation - Factors'!O24/'Allocation - Factors'!$E24)</f>
        <v>0</v>
      </c>
      <c r="P24" s="14">
        <f>IF('Allocation - Factors'!$E24=0,0,'Allocation - Factors'!P24/'Allocation - Factors'!$E24)</f>
        <v>9.259451262038719E-3</v>
      </c>
      <c r="Q24" s="14">
        <f>IF('Allocation - Factors'!$E24=0,0,'Allocation - Factors'!Q24/'Allocation - Factors'!$E24)</f>
        <v>0</v>
      </c>
      <c r="R24" s="14">
        <f>IF('Allocation - Factors'!$E24=0,0,'Allocation - Factors'!R24/'Allocation - Factors'!$E24)</f>
        <v>0</v>
      </c>
      <c r="S24" s="14">
        <f>IF('Allocation - Factors'!$E24=0,0,'Allocation - Factors'!S24/'Allocation - Factors'!$E24)</f>
        <v>0</v>
      </c>
    </row>
    <row r="25" spans="2:19">
      <c r="B25" s="13" t="s">
        <v>45</v>
      </c>
      <c r="C25" s="9" t="s">
        <v>284</v>
      </c>
      <c r="E25" s="14">
        <f>SUM(F25:R25)</f>
        <v>1</v>
      </c>
      <c r="F25" s="14">
        <f>IF('Allocation - Factors'!$E25=0,0,'Allocation - Factors'!F25/'Allocation - Factors'!$E25)</f>
        <v>0.48657997064309977</v>
      </c>
      <c r="G25" s="14">
        <f>IF('Allocation - Factors'!$E25=0,0,'Allocation - Factors'!G25/'Allocation - Factors'!$E25)</f>
        <v>0.46684162586286071</v>
      </c>
      <c r="H25" s="14">
        <f>IF('Allocation - Factors'!$E25=0,0,'Allocation - Factors'!H25/'Allocation - Factors'!$E25)</f>
        <v>0</v>
      </c>
      <c r="I25" s="14">
        <f>IF('Allocation - Factors'!$E25=0,0,'Allocation - Factors'!I25/'Allocation - Factors'!$E25)</f>
        <v>0</v>
      </c>
      <c r="J25" s="14">
        <f>IF('Allocation - Factors'!$E25=0,0,'Allocation - Factors'!J25/'Allocation - Factors'!$E25)</f>
        <v>1.74646184322148E-2</v>
      </c>
      <c r="K25" s="14">
        <f>IF('Allocation - Factors'!$E25=0,0,'Allocation - Factors'!K25/'Allocation - Factors'!$E25)</f>
        <v>4.2657123049816446E-3</v>
      </c>
      <c r="L25" s="14">
        <f>IF('Allocation - Factors'!$E25=0,0,'Allocation - Factors'!L25/'Allocation - Factors'!$E25)</f>
        <v>0</v>
      </c>
      <c r="M25" s="14">
        <f>IF('Allocation - Factors'!$E25=0,0,'Allocation - Factors'!M25/'Allocation - Factors'!$E25)</f>
        <v>0</v>
      </c>
      <c r="N25" s="14">
        <f>IF('Allocation - Factors'!$E25=0,0,'Allocation - Factors'!N25/'Allocation - Factors'!$E25)</f>
        <v>2.494464455461694E-3</v>
      </c>
      <c r="O25" s="14">
        <f>IF('Allocation - Factors'!$E25=0,0,'Allocation - Factors'!O25/'Allocation - Factors'!$E25)</f>
        <v>6.3632327110385942E-3</v>
      </c>
      <c r="P25" s="14">
        <f>IF('Allocation - Factors'!$E25=0,0,'Allocation - Factors'!P25/'Allocation - Factors'!$E25)</f>
        <v>1.599037559034297E-2</v>
      </c>
      <c r="Q25" s="14">
        <f>IF('Allocation - Factors'!$E25=0,0,'Allocation - Factors'!Q25/'Allocation - Factors'!$E25)</f>
        <v>0</v>
      </c>
      <c r="R25" s="14">
        <f>IF('Allocation - Factors'!$E25=0,0,'Allocation - Factors'!R25/'Allocation - Factors'!$E25)</f>
        <v>0</v>
      </c>
      <c r="S25" s="14">
        <f>IF('Allocation - Factors'!$E25=0,0,'Allocation - Factors'!S25/'Allocation - Factors'!$E25)</f>
        <v>0</v>
      </c>
    </row>
    <row r="26" spans="2:19">
      <c r="B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 ht="18" customHeight="1">
      <c r="B27" s="13"/>
      <c r="C27" s="9" t="s">
        <v>377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2:19">
      <c r="B28" s="13" t="s">
        <v>215</v>
      </c>
      <c r="C28" s="9" t="s">
        <v>24</v>
      </c>
      <c r="E28" s="14">
        <f t="shared" ref="E28:E39" si="0">SUM(F28:S28)</f>
        <v>1.0000000000000002</v>
      </c>
      <c r="F28" s="14">
        <f>IF('Allocation - Factors'!$E28=0,0,'Allocation - Factors'!F28/'Allocation - Factors'!$E28)</f>
        <v>0.56131801431218309</v>
      </c>
      <c r="G28" s="14">
        <f>IF('Allocation - Factors'!$E28=0,0,'Allocation - Factors'!G28/'Allocation - Factors'!$E28)</f>
        <v>0.41987749688554354</v>
      </c>
      <c r="H28" s="14">
        <f>IF('Allocation - Factors'!$E28=0,0,'Allocation - Factors'!H28/'Allocation - Factors'!$E28)</f>
        <v>0</v>
      </c>
      <c r="I28" s="14">
        <f>IF('Allocation - Factors'!$E28=0,0,'Allocation - Factors'!I28/'Allocation - Factors'!$E28)</f>
        <v>2.1393119972159141E-11</v>
      </c>
      <c r="J28" s="14">
        <f>IF('Allocation - Factors'!$E28=0,0,'Allocation - Factors'!J28/'Allocation - Factors'!$E28)</f>
        <v>9.9372952409749402E-3</v>
      </c>
      <c r="K28" s="14">
        <f>IF('Allocation - Factors'!$E28=0,0,'Allocation - Factors'!K28/'Allocation - Factors'!$E28)</f>
        <v>1.0124791377597109E-3</v>
      </c>
      <c r="L28" s="14">
        <f>IF('Allocation - Factors'!$E28=0,0,'Allocation - Factors'!L28/'Allocation - Factors'!$E28)</f>
        <v>4.1037156447317575E-3</v>
      </c>
      <c r="M28" s="14">
        <f>IF('Allocation - Factors'!$E28=0,0,'Allocation - Factors'!M28/'Allocation - Factors'!$E28)</f>
        <v>1.5804773976634985E-3</v>
      </c>
      <c r="N28" s="14">
        <f>IF('Allocation - Factors'!$E28=0,0,'Allocation - Factors'!N28/'Allocation - Factors'!$E28)</f>
        <v>1.1955414493151203E-3</v>
      </c>
      <c r="O28" s="14">
        <f>IF('Allocation - Factors'!$E28=0,0,'Allocation - Factors'!O28/'Allocation - Factors'!$E28)</f>
        <v>9.3748068311084337E-4</v>
      </c>
      <c r="P28" s="14">
        <f>IF('Allocation - Factors'!$E28=0,0,'Allocation - Factors'!P28/'Allocation - Factors'!$E28)</f>
        <v>0</v>
      </c>
      <c r="Q28" s="14">
        <f>IF('Allocation - Factors'!$E28=0,0,'Allocation - Factors'!Q28/'Allocation - Factors'!$E28)</f>
        <v>3.7499227324433726E-5</v>
      </c>
      <c r="R28" s="14">
        <f>IF('Allocation - Factors'!$E28=0,0,'Allocation - Factors'!R28/'Allocation - Factors'!$E28)</f>
        <v>0</v>
      </c>
      <c r="S28" s="14">
        <f>IF('Allocation - Factors'!$E28=0,0,'Allocation - Factors'!S28/'Allocation - Factors'!$E28)</f>
        <v>0</v>
      </c>
    </row>
    <row r="29" spans="2:19">
      <c r="B29" s="13" t="s">
        <v>217</v>
      </c>
      <c r="C29" s="9" t="s">
        <v>20</v>
      </c>
      <c r="E29" s="14">
        <f t="shared" si="0"/>
        <v>0.99999999999999967</v>
      </c>
      <c r="F29" s="14">
        <f>IF('Allocation - Factors'!$E29=0,0,'Allocation - Factors'!F29/'Allocation - Factors'!$E29)</f>
        <v>7.4776367940810162E-2</v>
      </c>
      <c r="G29" s="14">
        <f>IF('Allocation - Factors'!$E29=0,0,'Allocation - Factors'!G29/'Allocation - Factors'!$E29)</f>
        <v>0.84695556575755648</v>
      </c>
      <c r="H29" s="14">
        <f>IF('Allocation - Factors'!$E29=0,0,'Allocation - Factors'!H29/'Allocation - Factors'!$E29)</f>
        <v>0</v>
      </c>
      <c r="I29" s="14">
        <f>IF('Allocation - Factors'!$E29=0,0,'Allocation - Factors'!I29/'Allocation - Factors'!$E29)</f>
        <v>0</v>
      </c>
      <c r="J29" s="14">
        <f>IF('Allocation - Factors'!$E29=0,0,'Allocation - Factors'!J29/'Allocation - Factors'!$E29)</f>
        <v>3.4839482432497758E-2</v>
      </c>
      <c r="K29" s="14">
        <f>IF('Allocation - Factors'!$E29=0,0,'Allocation - Factors'!K29/'Allocation - Factors'!$E29)</f>
        <v>6.7419440134383378E-3</v>
      </c>
      <c r="L29" s="14">
        <f>IF('Allocation - Factors'!$E29=0,0,'Allocation - Factors'!L29/'Allocation - Factors'!$E29)</f>
        <v>0</v>
      </c>
      <c r="M29" s="14">
        <f>IF('Allocation - Factors'!$E29=0,0,'Allocation - Factors'!M29/'Allocation - Factors'!$E29)</f>
        <v>1.4209441909984338E-2</v>
      </c>
      <c r="N29" s="14">
        <f>IF('Allocation - Factors'!$E29=0,0,'Allocation - Factors'!N29/'Allocation - Factors'!$E29)</f>
        <v>9.6210156426015606E-3</v>
      </c>
      <c r="O29" s="14">
        <f>IF('Allocation - Factors'!$E29=0,0,'Allocation - Factors'!O29/'Allocation - Factors'!$E29)</f>
        <v>1.2174783378257534E-2</v>
      </c>
      <c r="P29" s="14">
        <f>IF('Allocation - Factors'!$E29=0,0,'Allocation - Factors'!P29/'Allocation - Factors'!$E29)</f>
        <v>0</v>
      </c>
      <c r="Q29" s="14">
        <f>IF('Allocation - Factors'!$E29=0,0,'Allocation - Factors'!Q29/'Allocation - Factors'!$E29)</f>
        <v>6.813989248535266E-4</v>
      </c>
      <c r="R29" s="14">
        <f>IF('Allocation - Factors'!$E29=0,0,'Allocation - Factors'!R29/'Allocation - Factors'!$E29)</f>
        <v>0</v>
      </c>
      <c r="S29" s="14">
        <f>IF('Allocation - Factors'!$E29=0,0,'Allocation - Factors'!S29/'Allocation - Factors'!$E29)</f>
        <v>0</v>
      </c>
    </row>
    <row r="30" spans="2:19">
      <c r="B30" s="13" t="s">
        <v>219</v>
      </c>
      <c r="C30" s="9" t="s">
        <v>22</v>
      </c>
      <c r="E30" s="14">
        <f t="shared" si="0"/>
        <v>1.0000000000000002</v>
      </c>
      <c r="F30" s="14">
        <f>IF('Allocation - Factors'!$E30=0,0,'Allocation - Factors'!F30/'Allocation - Factors'!$E30)</f>
        <v>0.88749204468862286</v>
      </c>
      <c r="G30" s="14">
        <f>IF('Allocation - Factors'!$E30=0,0,'Allocation - Factors'!G30/'Allocation - Factors'!$E30)</f>
        <v>0.10928839101811187</v>
      </c>
      <c r="H30" s="14">
        <f>IF('Allocation - Factors'!$E30=0,0,'Allocation - Factors'!H30/'Allocation - Factors'!$E30)</f>
        <v>0</v>
      </c>
      <c r="I30" s="14">
        <f>IF('Allocation - Factors'!$E30=0,0,'Allocation - Factors'!I30/'Allocation - Factors'!$E30)</f>
        <v>0</v>
      </c>
      <c r="J30" s="14">
        <f>IF('Allocation - Factors'!$E30=0,0,'Allocation - Factors'!J30/'Allocation - Factors'!$E30)</f>
        <v>1.5608172599167818E-3</v>
      </c>
      <c r="K30" s="14">
        <f>IF('Allocation - Factors'!$E30=0,0,'Allocation - Factors'!K30/'Allocation - Factors'!$E30)</f>
        <v>1.9934397030162647E-4</v>
      </c>
      <c r="L30" s="14">
        <f>IF('Allocation - Factors'!$E30=0,0,'Allocation - Factors'!L30/'Allocation - Factors'!$E30)</f>
        <v>1.3198977375590641E-4</v>
      </c>
      <c r="M30" s="14">
        <f>IF('Allocation - Factors'!$E30=0,0,'Allocation - Factors'!M30/'Allocation - Factors'!$E30)</f>
        <v>1.8412780302826183E-4</v>
      </c>
      <c r="N30" s="14">
        <f>IF('Allocation - Factors'!$E30=0,0,'Allocation - Factors'!N30/'Allocation - Factors'!$E30)</f>
        <v>4.2270428301026663E-4</v>
      </c>
      <c r="O30" s="14">
        <f>IF('Allocation - Factors'!$E30=0,0,'Allocation - Factors'!O30/'Allocation - Factors'!$E30)</f>
        <v>7.1453355117883928E-4</v>
      </c>
      <c r="P30" s="14">
        <f>IF('Allocation - Factors'!$E30=0,0,'Allocation - Factors'!P30/'Allocation - Factors'!$E30)</f>
        <v>0</v>
      </c>
      <c r="Q30" s="14">
        <f>IF('Allocation - Factors'!$E30=0,0,'Allocation - Factors'!Q30/'Allocation - Factors'!$E30)</f>
        <v>6.0476520738080286E-6</v>
      </c>
      <c r="R30" s="14">
        <f>IF('Allocation - Factors'!$E30=0,0,'Allocation - Factors'!R30/'Allocation - Factors'!$E30)</f>
        <v>0</v>
      </c>
      <c r="S30" s="14">
        <f>IF('Allocation - Factors'!$E30=0,0,'Allocation - Factors'!S30/'Allocation - Factors'!$E30)</f>
        <v>0</v>
      </c>
    </row>
    <row r="31" spans="2:19">
      <c r="B31" s="13" t="s">
        <v>221</v>
      </c>
      <c r="C31" s="9" t="s">
        <v>25</v>
      </c>
      <c r="E31" s="14">
        <f t="shared" si="0"/>
        <v>1</v>
      </c>
      <c r="F31" s="14">
        <f>IF('Allocation - Factors'!$E31=0,0,'Allocation - Factors'!F31/'Allocation - Factors'!$E31)</f>
        <v>0.2</v>
      </c>
      <c r="G31" s="14">
        <f>IF('Allocation - Factors'!$E31=0,0,'Allocation - Factors'!G31/'Allocation - Factors'!$E31)</f>
        <v>0.8</v>
      </c>
      <c r="H31" s="14">
        <f>IF('Allocation - Factors'!$E31=0,0,'Allocation - Factors'!H31/'Allocation - Factors'!$E31)</f>
        <v>0</v>
      </c>
      <c r="I31" s="14">
        <f>IF('Allocation - Factors'!$E31=0,0,'Allocation - Factors'!I31/'Allocation - Factors'!$E31)</f>
        <v>0</v>
      </c>
      <c r="J31" s="14">
        <f>IF('Allocation - Factors'!$E31=0,0,'Allocation - Factors'!J31/'Allocation - Factors'!$E31)</f>
        <v>0</v>
      </c>
      <c r="K31" s="14">
        <f>IF('Allocation - Factors'!$E31=0,0,'Allocation - Factors'!K31/'Allocation - Factors'!$E31)</f>
        <v>0</v>
      </c>
      <c r="L31" s="14">
        <f>IF('Allocation - Factors'!$E31=0,0,'Allocation - Factors'!L31/'Allocation - Factors'!$E31)</f>
        <v>0</v>
      </c>
      <c r="M31" s="14">
        <f>IF('Allocation - Factors'!$E31=0,0,'Allocation - Factors'!M31/'Allocation - Factors'!$E31)</f>
        <v>0</v>
      </c>
      <c r="N31" s="14">
        <f>IF('Allocation - Factors'!$E31=0,0,'Allocation - Factors'!N31/'Allocation - Factors'!$E31)</f>
        <v>0</v>
      </c>
      <c r="O31" s="14">
        <f>IF('Allocation - Factors'!$E31=0,0,'Allocation - Factors'!O31/'Allocation - Factors'!$E31)</f>
        <v>0</v>
      </c>
      <c r="P31" s="14">
        <f>IF('Allocation - Factors'!$E31=0,0,'Allocation - Factors'!P31/'Allocation - Factors'!$E31)</f>
        <v>0</v>
      </c>
      <c r="Q31" s="14">
        <f>IF('Allocation - Factors'!$E31=0,0,'Allocation - Factors'!Q31/'Allocation - Factors'!$E31)</f>
        <v>0</v>
      </c>
      <c r="R31" s="14">
        <f>IF('Allocation - Factors'!$E31=0,0,'Allocation - Factors'!R31/'Allocation - Factors'!$E31)</f>
        <v>0</v>
      </c>
      <c r="S31" s="14">
        <f>IF('Allocation - Factors'!$E31=0,0,'Allocation - Factors'!S31/'Allocation - Factors'!$E31)</f>
        <v>0</v>
      </c>
    </row>
    <row r="32" spans="2:19">
      <c r="B32" s="13" t="s">
        <v>223</v>
      </c>
      <c r="C32" s="9" t="s">
        <v>378</v>
      </c>
      <c r="E32" s="14">
        <f t="shared" si="0"/>
        <v>0.99999999999999989</v>
      </c>
      <c r="F32" s="14">
        <f>IF('Allocation - Factors'!$E32=0,0,'Allocation - Factors'!F32/'Allocation - Factors'!$E32)</f>
        <v>0.92305877621283683</v>
      </c>
      <c r="G32" s="14">
        <f>IF('Allocation - Factors'!$E32=0,0,'Allocation - Factors'!G32/'Allocation - Factors'!$E32)</f>
        <v>7.6757077162474582E-2</v>
      </c>
      <c r="H32" s="14">
        <f>IF('Allocation - Factors'!$E32=0,0,'Allocation - Factors'!H32/'Allocation - Factors'!$E32)</f>
        <v>0</v>
      </c>
      <c r="I32" s="14">
        <f>IF('Allocation - Factors'!$E32=0,0,'Allocation - Factors'!I32/'Allocation - Factors'!$E32)</f>
        <v>0</v>
      </c>
      <c r="J32" s="14">
        <f>IF('Allocation - Factors'!$E32=0,0,'Allocation - Factors'!J32/'Allocation - Factors'!$E32)</f>
        <v>1.2139018791659166E-4</v>
      </c>
      <c r="K32" s="14">
        <f>IF('Allocation - Factors'!$E32=0,0,'Allocation - Factors'!K32/'Allocation - Factors'!$E32)</f>
        <v>1.236805688206783E-5</v>
      </c>
      <c r="L32" s="14">
        <f>IF('Allocation - Factors'!$E32=0,0,'Allocation - Factors'!L32/'Allocation - Factors'!$E32)</f>
        <v>1.8323047232693081E-6</v>
      </c>
      <c r="M32" s="14">
        <f>IF('Allocation - Factors'!$E32=0,0,'Allocation - Factors'!M32/'Allocation - Factors'!$E32)</f>
        <v>1.9697275775145061E-5</v>
      </c>
      <c r="N32" s="14">
        <f>IF('Allocation - Factors'!$E32=0,0,'Allocation - Factors'!N32/'Allocation - Factors'!$E32)</f>
        <v>1.6490742509423771E-5</v>
      </c>
      <c r="O32" s="14">
        <f>IF('Allocation - Factors'!$E32=0,0,'Allocation - Factors'!O32/'Allocation - Factors'!$E32)</f>
        <v>1.1451904520433176E-5</v>
      </c>
      <c r="P32" s="14">
        <f>IF('Allocation - Factors'!$E32=0,0,'Allocation - Factors'!P32/'Allocation - Factors'!$E32)</f>
        <v>4.5807618081732702E-7</v>
      </c>
      <c r="Q32" s="14">
        <f>IF('Allocation - Factors'!$E32=0,0,'Allocation - Factors'!Q32/'Allocation - Factors'!$E32)</f>
        <v>4.5807618081732702E-7</v>
      </c>
      <c r="R32" s="14">
        <f>IF('Allocation - Factors'!$E32=0,0,'Allocation - Factors'!R32/'Allocation - Factors'!$E32)</f>
        <v>0</v>
      </c>
      <c r="S32" s="14">
        <f>IF('Allocation - Factors'!$E32=0,0,'Allocation - Factors'!S32/'Allocation - Factors'!$E32)</f>
        <v>0</v>
      </c>
    </row>
    <row r="33" spans="2:19">
      <c r="B33" s="13" t="s">
        <v>225</v>
      </c>
      <c r="C33" s="9" t="s">
        <v>379</v>
      </c>
      <c r="E33" s="14">
        <f t="shared" si="0"/>
        <v>1</v>
      </c>
      <c r="F33" s="14">
        <f>IF('Allocation - Factors'!$E33=0,0,'Allocation - Factors'!F33/'Allocation - Factors'!$E33)</f>
        <v>0</v>
      </c>
      <c r="G33" s="14">
        <f>IF('Allocation - Factors'!$E33=0,0,'Allocation - Factors'!G33/'Allocation - Factors'!$E33)</f>
        <v>0.99760665849040875</v>
      </c>
      <c r="H33" s="14">
        <f>IF('Allocation - Factors'!$E33=0,0,'Allocation - Factors'!H33/'Allocation - Factors'!$E33)</f>
        <v>0</v>
      </c>
      <c r="I33" s="14">
        <f>IF('Allocation - Factors'!$E33=0,0,'Allocation - Factors'!I33/'Allocation - Factors'!$E33)</f>
        <v>0</v>
      </c>
      <c r="J33" s="14">
        <f>IF('Allocation - Factors'!$E33=0,0,'Allocation - Factors'!J33/'Allocation - Factors'!$E33)</f>
        <v>1.5777002488598882E-3</v>
      </c>
      <c r="K33" s="14">
        <f>IF('Allocation - Factors'!$E33=0,0,'Allocation - Factors'!K33/'Allocation - Factors'!$E33)</f>
        <v>1.6074681780836597E-4</v>
      </c>
      <c r="L33" s="14">
        <f>IF('Allocation - Factors'!$E33=0,0,'Allocation - Factors'!L33/'Allocation - Factors'!$E33)</f>
        <v>2.3814343379017182E-5</v>
      </c>
      <c r="M33" s="14">
        <f>IF('Allocation - Factors'!$E33=0,0,'Allocation - Factors'!M33/'Allocation - Factors'!$E33)</f>
        <v>2.560041913244347E-4</v>
      </c>
      <c r="N33" s="14">
        <f>IF('Allocation - Factors'!$E33=0,0,'Allocation - Factors'!N33/'Allocation - Factors'!$E33)</f>
        <v>2.1432909041115464E-4</v>
      </c>
      <c r="O33" s="14">
        <f>IF('Allocation - Factors'!$E33=0,0,'Allocation - Factors'!O33/'Allocation - Factors'!$E33)</f>
        <v>1.4883964611885739E-4</v>
      </c>
      <c r="P33" s="14">
        <f>IF('Allocation - Factors'!$E33=0,0,'Allocation - Factors'!P33/'Allocation - Factors'!$E33)</f>
        <v>5.9535858447542955E-6</v>
      </c>
      <c r="Q33" s="14">
        <f>IF('Allocation - Factors'!$E33=0,0,'Allocation - Factors'!Q33/'Allocation - Factors'!$E33)</f>
        <v>5.9535858447542955E-6</v>
      </c>
      <c r="R33" s="14">
        <f>IF('Allocation - Factors'!$E33=0,0,'Allocation - Factors'!R33/'Allocation - Factors'!$E33)</f>
        <v>0</v>
      </c>
      <c r="S33" s="14">
        <f>IF('Allocation - Factors'!$E33=0,0,'Allocation - Factors'!S33/'Allocation - Factors'!$E33)</f>
        <v>0</v>
      </c>
    </row>
    <row r="34" spans="2:19">
      <c r="B34" s="13" t="s">
        <v>227</v>
      </c>
      <c r="C34" s="9" t="s">
        <v>293</v>
      </c>
      <c r="E34" s="14">
        <f t="shared" si="0"/>
        <v>1</v>
      </c>
      <c r="F34" s="14">
        <f>IF('Allocation - Factors'!$E34=0,0,'Allocation - Factors'!F34/'Allocation - Factors'!$E34)</f>
        <v>0</v>
      </c>
      <c r="G34" s="14">
        <f>IF('Allocation - Factors'!$E34=0,0,'Allocation - Factors'!G34/'Allocation - Factors'!$E34)</f>
        <v>0</v>
      </c>
      <c r="H34" s="14">
        <f>IF('Allocation - Factors'!$E34=0,0,'Allocation - Factors'!H34/'Allocation - Factors'!$E34)</f>
        <v>0</v>
      </c>
      <c r="I34" s="14">
        <f>IF('Allocation - Factors'!$E34=0,0,'Allocation - Factors'!I34/'Allocation - Factors'!$E34)</f>
        <v>0</v>
      </c>
      <c r="J34" s="14">
        <f>IF('Allocation - Factors'!$E34=0,0,'Allocation - Factors'!J34/'Allocation - Factors'!$E34)</f>
        <v>0.65920398009950254</v>
      </c>
      <c r="K34" s="14">
        <f>IF('Allocation - Factors'!$E34=0,0,'Allocation - Factors'!K34/'Allocation - Factors'!$E34)</f>
        <v>6.7164179104477612E-2</v>
      </c>
      <c r="L34" s="14">
        <f>IF('Allocation - Factors'!$E34=0,0,'Allocation - Factors'!L34/'Allocation - Factors'!$E34)</f>
        <v>9.9502487562189053E-3</v>
      </c>
      <c r="M34" s="14">
        <f>IF('Allocation - Factors'!$E34=0,0,'Allocation - Factors'!M34/'Allocation - Factors'!$E34)</f>
        <v>0.10696517412935323</v>
      </c>
      <c r="N34" s="14">
        <f>IF('Allocation - Factors'!$E34=0,0,'Allocation - Factors'!N34/'Allocation - Factors'!$E34)</f>
        <v>8.9552238805970144E-2</v>
      </c>
      <c r="O34" s="14">
        <f>IF('Allocation - Factors'!$E34=0,0,'Allocation - Factors'!O34/'Allocation - Factors'!$E34)</f>
        <v>6.2189054726368161E-2</v>
      </c>
      <c r="P34" s="14">
        <f>IF('Allocation - Factors'!$E34=0,0,'Allocation - Factors'!P34/'Allocation - Factors'!$E34)</f>
        <v>2.4875621890547263E-3</v>
      </c>
      <c r="Q34" s="14">
        <f>IF('Allocation - Factors'!$E34=0,0,'Allocation - Factors'!Q34/'Allocation - Factors'!$E34)</f>
        <v>2.4875621890547263E-3</v>
      </c>
      <c r="R34" s="14">
        <f>IF('Allocation - Factors'!$E34=0,0,'Allocation - Factors'!R34/'Allocation - Factors'!$E34)</f>
        <v>0</v>
      </c>
      <c r="S34" s="14">
        <f>IF('Allocation - Factors'!$E34=0,0,'Allocation - Factors'!S34/'Allocation - Factors'!$E34)</f>
        <v>0</v>
      </c>
    </row>
    <row r="35" spans="2:19">
      <c r="B35" s="13" t="s">
        <v>229</v>
      </c>
      <c r="C35" s="9" t="s">
        <v>380</v>
      </c>
      <c r="E35" s="14">
        <f t="shared" si="0"/>
        <v>1</v>
      </c>
      <c r="F35" s="14">
        <f>IF('Allocation - Factors'!$E35=0,0,'Allocation - Factors'!F35/'Allocation - Factors'!$E35)</f>
        <v>0</v>
      </c>
      <c r="G35" s="14">
        <f>IF('Allocation - Factors'!$E35=0,0,'Allocation - Factors'!G35/'Allocation - Factors'!$E35)</f>
        <v>0.98519885770007665</v>
      </c>
      <c r="H35" s="14">
        <f>IF('Allocation - Factors'!$E35=0,0,'Allocation - Factors'!H35/'Allocation - Factors'!$E35)</f>
        <v>0</v>
      </c>
      <c r="I35" s="14">
        <f>IF('Allocation - Factors'!$E35=0,0,'Allocation - Factors'!I35/'Allocation - Factors'!$E35)</f>
        <v>0</v>
      </c>
      <c r="J35" s="14">
        <f>IF('Allocation - Factors'!$E35=0,0,'Allocation - Factors'!J35/'Allocation - Factors'!$E35)</f>
        <v>8.4453576652504005E-3</v>
      </c>
      <c r="K35" s="14">
        <f>IF('Allocation - Factors'!$E35=0,0,'Allocation - Factors'!K35/'Allocation - Factors'!$E35)</f>
        <v>0</v>
      </c>
      <c r="L35" s="14">
        <f>IF('Allocation - Factors'!$E35=0,0,'Allocation - Factors'!L35/'Allocation - Factors'!$E35)</f>
        <v>0</v>
      </c>
      <c r="M35" s="14">
        <f>IF('Allocation - Factors'!$E35=0,0,'Allocation - Factors'!M35/'Allocation - Factors'!$E35)</f>
        <v>0</v>
      </c>
      <c r="N35" s="14">
        <f>IF('Allocation - Factors'!$E35=0,0,'Allocation - Factors'!N35/'Allocation - Factors'!$E35)</f>
        <v>0</v>
      </c>
      <c r="O35" s="14">
        <f>IF('Allocation - Factors'!$E35=0,0,'Allocation - Factors'!O35/'Allocation - Factors'!$E35)</f>
        <v>0</v>
      </c>
      <c r="P35" s="14">
        <f>IF('Allocation - Factors'!$E35=0,0,'Allocation - Factors'!P35/'Allocation - Factors'!$E35)</f>
        <v>0</v>
      </c>
      <c r="Q35" s="14">
        <f>IF('Allocation - Factors'!$E35=0,0,'Allocation - Factors'!Q35/'Allocation - Factors'!$E35)</f>
        <v>6.3557846346729814E-3</v>
      </c>
      <c r="R35" s="14">
        <f>IF('Allocation - Factors'!$E35=0,0,'Allocation - Factors'!R35/'Allocation - Factors'!$E35)</f>
        <v>0</v>
      </c>
      <c r="S35" s="14">
        <f>IF('Allocation - Factors'!$E35=0,0,'Allocation - Factors'!S35/'Allocation - Factors'!$E35)</f>
        <v>0</v>
      </c>
    </row>
    <row r="36" spans="2:19">
      <c r="B36" s="13" t="s">
        <v>230</v>
      </c>
      <c r="C36" s="9" t="s">
        <v>381</v>
      </c>
      <c r="E36" s="14">
        <f t="shared" si="0"/>
        <v>1</v>
      </c>
      <c r="F36" s="14">
        <f>IF('Allocation - Factors'!$E36=0,0,'Allocation - Factors'!F36/'Allocation - Factors'!$E36)</f>
        <v>0</v>
      </c>
      <c r="G36" s="14">
        <f>IF('Allocation - Factors'!$E36=0,0,'Allocation - Factors'!G36/'Allocation - Factors'!$E36)</f>
        <v>0.84964300713985719</v>
      </c>
      <c r="H36" s="14">
        <f>IF('Allocation - Factors'!$E36=0,0,'Allocation - Factors'!H36/'Allocation - Factors'!$E36)</f>
        <v>0</v>
      </c>
      <c r="I36" s="14">
        <f>IF('Allocation - Factors'!$E36=0,0,'Allocation - Factors'!I36/'Allocation - Factors'!$E36)</f>
        <v>0</v>
      </c>
      <c r="J36" s="14">
        <f>IF('Allocation - Factors'!$E36=0,0,'Allocation - Factors'!J36/'Allocation - Factors'!$E36)</f>
        <v>9.3238135237295253E-2</v>
      </c>
      <c r="K36" s="14">
        <f>IF('Allocation - Factors'!$E36=0,0,'Allocation - Factors'!K36/'Allocation - Factors'!$E36)</f>
        <v>1.2179756404871903E-2</v>
      </c>
      <c r="L36" s="14">
        <f>IF('Allocation - Factors'!$E36=0,0,'Allocation - Factors'!L36/'Allocation - Factors'!$E36)</f>
        <v>1.6799664006719867E-3</v>
      </c>
      <c r="M36" s="14">
        <f>IF('Allocation - Factors'!$E36=0,0,'Allocation - Factors'!M36/'Allocation - Factors'!$E36)</f>
        <v>1.5119697606047878E-2</v>
      </c>
      <c r="N36" s="14">
        <f>IF('Allocation - Factors'!$E36=0,0,'Allocation - Factors'!N36/'Allocation - Factors'!$E36)</f>
        <v>1.5539689206215875E-2</v>
      </c>
      <c r="O36" s="14">
        <f>IF('Allocation - Factors'!$E36=0,0,'Allocation - Factors'!O36/'Allocation - Factors'!$E36)</f>
        <v>1.25997480050399E-2</v>
      </c>
      <c r="P36" s="14">
        <f>IF('Allocation - Factors'!$E36=0,0,'Allocation - Factors'!P36/'Allocation - Factors'!$E36)</f>
        <v>0</v>
      </c>
      <c r="Q36" s="14">
        <f>IF('Allocation - Factors'!$E36=0,0,'Allocation - Factors'!Q36/'Allocation - Factors'!$E36)</f>
        <v>0</v>
      </c>
      <c r="R36" s="14">
        <f>IF('Allocation - Factors'!$E36=0,0,'Allocation - Factors'!R36/'Allocation - Factors'!$E36)</f>
        <v>0</v>
      </c>
      <c r="S36" s="14">
        <f>IF('Allocation - Factors'!$E36=0,0,'Allocation - Factors'!S36/'Allocation - Factors'!$E36)</f>
        <v>0</v>
      </c>
    </row>
    <row r="37" spans="2:19">
      <c r="B37" s="13" t="s">
        <v>232</v>
      </c>
      <c r="C37" s="9" t="s">
        <v>382</v>
      </c>
      <c r="E37" s="14">
        <f t="shared" si="0"/>
        <v>1</v>
      </c>
      <c r="F37" s="14">
        <f>IF('Allocation - Factors'!$E37=0,0,'Allocation - Factors'!F37/'Allocation - Factors'!$E37)</f>
        <v>0.92591237941198767</v>
      </c>
      <c r="G37" s="14">
        <f>IF('Allocation - Factors'!$E37=0,0,'Allocation - Factors'!G37/'Allocation - Factors'!$E37)</f>
        <v>7.4087620588012298E-2</v>
      </c>
      <c r="H37" s="14">
        <f>IF('Allocation - Factors'!$E37=0,0,'Allocation - Factors'!H37/'Allocation - Factors'!$E37)</f>
        <v>0</v>
      </c>
      <c r="I37" s="14">
        <f>IF('Allocation - Factors'!$E37=0,0,'Allocation - Factors'!I37/'Allocation - Factors'!$E37)</f>
        <v>0</v>
      </c>
      <c r="J37" s="14">
        <f>IF('Allocation - Factors'!$E37=0,0,'Allocation - Factors'!J37/'Allocation - Factors'!$E37)</f>
        <v>0</v>
      </c>
      <c r="K37" s="14">
        <f>IF('Allocation - Factors'!$E37=0,0,'Allocation - Factors'!K37/'Allocation - Factors'!$E37)</f>
        <v>0</v>
      </c>
      <c r="L37" s="14">
        <f>IF('Allocation - Factors'!$E37=0,0,'Allocation - Factors'!L37/'Allocation - Factors'!$E37)</f>
        <v>0</v>
      </c>
      <c r="M37" s="14">
        <f>IF('Allocation - Factors'!$E37=0,0,'Allocation - Factors'!M37/'Allocation - Factors'!$E37)</f>
        <v>0</v>
      </c>
      <c r="N37" s="14">
        <f>IF('Allocation - Factors'!$E37=0,0,'Allocation - Factors'!N37/'Allocation - Factors'!$E37)</f>
        <v>0</v>
      </c>
      <c r="O37" s="14">
        <f>IF('Allocation - Factors'!$E37=0,0,'Allocation - Factors'!O37/'Allocation - Factors'!$E37)</f>
        <v>0</v>
      </c>
      <c r="P37" s="14">
        <f>IF('Allocation - Factors'!$E37=0,0,'Allocation - Factors'!P37/'Allocation - Factors'!$E37)</f>
        <v>0</v>
      </c>
      <c r="Q37" s="14">
        <f>IF('Allocation - Factors'!$E37=0,0,'Allocation - Factors'!Q37/'Allocation - Factors'!$E37)</f>
        <v>0</v>
      </c>
      <c r="R37" s="14">
        <f>IF('Allocation - Factors'!$E37=0,0,'Allocation - Factors'!R37/'Allocation - Factors'!$E37)</f>
        <v>0</v>
      </c>
      <c r="S37" s="14">
        <f>IF('Allocation - Factors'!$E37=0,0,'Allocation - Factors'!S37/'Allocation - Factors'!$E37)</f>
        <v>0</v>
      </c>
    </row>
    <row r="38" spans="2:19">
      <c r="B38" s="13" t="s">
        <v>234</v>
      </c>
      <c r="C38" s="9" t="s">
        <v>390</v>
      </c>
      <c r="E38" s="14">
        <f t="shared" si="0"/>
        <v>1</v>
      </c>
      <c r="F38" s="14">
        <v>0.77500000000000002</v>
      </c>
      <c r="G38" s="14">
        <v>0.22500000000000001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</row>
    <row r="39" spans="2:19">
      <c r="B39" s="13" t="s">
        <v>391</v>
      </c>
      <c r="C39" s="9" t="s">
        <v>383</v>
      </c>
      <c r="E39" s="14">
        <f t="shared" si="0"/>
        <v>1</v>
      </c>
      <c r="F39" s="14">
        <f>IF('Allocation - Factors'!$E38=0,0,'Allocation - Factors'!F38/'Allocation - Factors'!$E38)</f>
        <v>0</v>
      </c>
      <c r="G39" s="14">
        <f>IF('Allocation - Factors'!$E38=0,0,'Allocation - Factors'!G38/'Allocation - Factors'!$E38)</f>
        <v>0</v>
      </c>
      <c r="H39" s="14">
        <f>IF('Allocation - Factors'!$E38=0,0,'Allocation - Factors'!H38/'Allocation - Factors'!$E38)</f>
        <v>0</v>
      </c>
      <c r="I39" s="14">
        <f>IF('Allocation - Factors'!$E38=0,0,'Allocation - Factors'!I38/'Allocation - Factors'!$E38)</f>
        <v>0</v>
      </c>
      <c r="J39" s="14">
        <f>IF('Allocation - Factors'!$E38=0,0,'Allocation - Factors'!J38/'Allocation - Factors'!$E38)</f>
        <v>0</v>
      </c>
      <c r="K39" s="14">
        <f>IF('Allocation - Factors'!$E38=0,0,'Allocation - Factors'!K38/'Allocation - Factors'!$E38)</f>
        <v>0</v>
      </c>
      <c r="L39" s="14">
        <f>IF('Allocation - Factors'!$E38=0,0,'Allocation - Factors'!L38/'Allocation - Factors'!$E38)</f>
        <v>0</v>
      </c>
      <c r="M39" s="14">
        <f>IF('Allocation - Factors'!$E38=0,0,'Allocation - Factors'!M38/'Allocation - Factors'!$E38)</f>
        <v>0</v>
      </c>
      <c r="N39" s="14">
        <f>IF('Allocation - Factors'!$E38=0,0,'Allocation - Factors'!N38/'Allocation - Factors'!$E38)</f>
        <v>0</v>
      </c>
      <c r="O39" s="14">
        <f>IF('Allocation - Factors'!$E38=0,0,'Allocation - Factors'!O38/'Allocation - Factors'!$E38)</f>
        <v>0</v>
      </c>
      <c r="P39" s="14">
        <f>IF('Allocation - Factors'!$E38=0,0,'Allocation - Factors'!P38/'Allocation - Factors'!$E38)</f>
        <v>0</v>
      </c>
      <c r="Q39" s="14">
        <f>IF('Allocation - Factors'!$E38=0,0,'Allocation - Factors'!Q38/'Allocation - Factors'!$E38)</f>
        <v>0</v>
      </c>
      <c r="R39" s="14">
        <f>IF('Allocation - Factors'!$E38=0,0,'Allocation - Factors'!R38/'Allocation - Factors'!$E38)</f>
        <v>0</v>
      </c>
      <c r="S39" s="14">
        <f>IF('Allocation - Factors'!$E38=0,0,'Allocation - Factors'!S38/'Allocation - Factors'!$E38)</f>
        <v>1</v>
      </c>
    </row>
    <row r="40" spans="2:19">
      <c r="B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2:19">
      <c r="B41" s="13" t="s">
        <v>68</v>
      </c>
      <c r="C41" s="9" t="s">
        <v>384</v>
      </c>
      <c r="E41" s="14">
        <f>SUM(F41:R41)</f>
        <v>0.99999999999999978</v>
      </c>
      <c r="F41" s="14">
        <f>IF('Allocation - Factors'!$E40=0,0,'Allocation - Factors'!F40/'Allocation - Factors'!$E40)</f>
        <v>0.67809713481412881</v>
      </c>
      <c r="G41" s="14">
        <f>IF('Allocation - Factors'!$E40=0,0,'Allocation - Factors'!G40/'Allocation - Factors'!$E40)</f>
        <v>0.28930348001581158</v>
      </c>
      <c r="H41" s="14">
        <f>IF('Allocation - Factors'!$E40=0,0,'Allocation - Factors'!H40/'Allocation - Factors'!$E40)</f>
        <v>0</v>
      </c>
      <c r="I41" s="14">
        <f>IF('Allocation - Factors'!$E40=0,0,'Allocation - Factors'!I40/'Allocation - Factors'!$E40)</f>
        <v>8.5805570516299988E-13</v>
      </c>
      <c r="J41" s="14">
        <f>IF('Allocation - Factors'!$E40=0,0,'Allocation - Factors'!J40/'Allocation - Factors'!$E40)</f>
        <v>1.2400464655343089E-2</v>
      </c>
      <c r="K41" s="14">
        <f>IF('Allocation - Factors'!$E40=0,0,'Allocation - Factors'!K40/'Allocation - Factors'!$E40)</f>
        <v>4.5500024675396702E-3</v>
      </c>
      <c r="L41" s="14">
        <f>IF('Allocation - Factors'!$E40=0,0,'Allocation - Factors'!L40/'Allocation - Factors'!$E40)</f>
        <v>9.9629632345529587E-3</v>
      </c>
      <c r="M41" s="14">
        <f>IF('Allocation - Factors'!$E40=0,0,'Allocation - Factors'!M40/'Allocation - Factors'!$E40)</f>
        <v>5.6972122507219702E-4</v>
      </c>
      <c r="N41" s="14">
        <f>IF('Allocation - Factors'!$E40=0,0,'Allocation - Factors'!N40/'Allocation - Factors'!$E40)</f>
        <v>1.0198390314857619E-3</v>
      </c>
      <c r="O41" s="14">
        <f>IF('Allocation - Factors'!$E40=0,0,'Allocation - Factors'!O40/'Allocation - Factors'!$E40)</f>
        <v>1.4294333443579878E-3</v>
      </c>
      <c r="P41" s="14">
        <f>IF('Allocation - Factors'!$E40=0,0,'Allocation - Factors'!P40/'Allocation - Factors'!$E40)</f>
        <v>2.5876816906232648E-3</v>
      </c>
      <c r="Q41" s="14">
        <f>IF('Allocation - Factors'!$E40=0,0,'Allocation - Factors'!Q40/'Allocation - Factors'!$E40)</f>
        <v>7.9279520226547629E-5</v>
      </c>
      <c r="R41" s="14">
        <f>IF('Allocation - Factors'!$E40=0,0,'Allocation - Factors'!R40/'Allocation - Factors'!$E40)</f>
        <v>0</v>
      </c>
      <c r="S41" s="14">
        <f>IF('Allocation - Factors'!$E40=0,0,'Allocation - Factors'!S40/'Allocation - Factors'!$E40)</f>
        <v>0</v>
      </c>
    </row>
    <row r="42" spans="2:19">
      <c r="B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2:19">
      <c r="B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2:19">
      <c r="B44" s="13"/>
      <c r="C44" s="9" t="s">
        <v>392</v>
      </c>
      <c r="E44" s="14">
        <f>SUM(F44:R44)</f>
        <v>1</v>
      </c>
      <c r="F44" s="14">
        <f>'Allocation - Factors'!F43/'Allocation - Factors'!$E43</f>
        <v>3.9631296815996093E-2</v>
      </c>
      <c r="G44" s="14">
        <f>'Allocation - Factors'!G43/'Allocation - Factors'!$E43</f>
        <v>0.42802679804329485</v>
      </c>
      <c r="H44" s="14">
        <f>'Allocation - Factors'!H43/'Allocation - Factors'!$E43</f>
        <v>0</v>
      </c>
      <c r="I44" s="14">
        <f>'Allocation - Factors'!I43/'Allocation - Factors'!$E43</f>
        <v>0</v>
      </c>
      <c r="J44" s="14">
        <f>'Allocation - Factors'!J43/'Allocation - Factors'!$E43</f>
        <v>0.22707923189510737</v>
      </c>
      <c r="K44" s="14">
        <f>'Allocation - Factors'!K43/'Allocation - Factors'!$E43</f>
        <v>0.17310398606644972</v>
      </c>
      <c r="L44" s="14">
        <f>'Allocation - Factors'!L43/'Allocation - Factors'!$E43</f>
        <v>0</v>
      </c>
      <c r="M44" s="14">
        <f>'Allocation - Factors'!M43/'Allocation - Factors'!$E43</f>
        <v>1.8955039352722781E-2</v>
      </c>
      <c r="N44" s="14">
        <f>'Allocation - Factors'!N43/'Allocation - Factors'!$E43</f>
        <v>1.2034332720719753E-2</v>
      </c>
      <c r="O44" s="14">
        <f>'Allocation - Factors'!O43/'Allocation - Factors'!$E43</f>
        <v>8.1976784977198208E-2</v>
      </c>
      <c r="P44" s="14">
        <f>'Allocation - Factors'!P43/'Allocation - Factors'!$E43</f>
        <v>1.919253012851118E-2</v>
      </c>
      <c r="Q44" s="14">
        <f>'Allocation - Factors'!Q43/'Allocation - Factors'!$E43</f>
        <v>0</v>
      </c>
      <c r="R44" s="14">
        <f>'Allocation - Factors'!R43/'Allocation - Factors'!$E43</f>
        <v>0</v>
      </c>
      <c r="S44" s="14">
        <f>'Allocation - Factors'!S43/'Allocation - Factors'!$E43</f>
        <v>0</v>
      </c>
    </row>
    <row r="45" spans="2:19">
      <c r="B45" s="13"/>
      <c r="C45" s="9" t="s">
        <v>387</v>
      </c>
      <c r="E45" s="14">
        <f>SUM(F45:R45)</f>
        <v>1</v>
      </c>
      <c r="F45" s="14">
        <f>'Allocation - Factors'!F44/'Allocation - Factors'!$E44</f>
        <v>0.53390275343289484</v>
      </c>
      <c r="G45" s="14">
        <f>'Allocation - Factors'!G44/'Allocation - Factors'!$E44</f>
        <v>0.41668029083180486</v>
      </c>
      <c r="H45" s="14">
        <f>'Allocation - Factors'!H44/'Allocation - Factors'!$E44</f>
        <v>0</v>
      </c>
      <c r="I45" s="14">
        <f>'Allocation - Factors'!I44/'Allocation - Factors'!$E44</f>
        <v>0</v>
      </c>
      <c r="J45" s="14">
        <f>'Allocation - Factors'!J44/'Allocation - Factors'!$E44</f>
        <v>2.4913691738862792E-2</v>
      </c>
      <c r="K45" s="14">
        <f>'Allocation - Factors'!K44/'Allocation - Factors'!$E44</f>
        <v>1.2995098087257913E-3</v>
      </c>
      <c r="L45" s="14">
        <f>'Allocation - Factors'!L44/'Allocation - Factors'!$E44</f>
        <v>0</v>
      </c>
      <c r="M45" s="14">
        <f>'Allocation - Factors'!M44/'Allocation - Factors'!$E44</f>
        <v>2.1707330538056446E-3</v>
      </c>
      <c r="N45" s="14">
        <f>'Allocation - Factors'!N44/'Allocation - Factors'!$E44</f>
        <v>1.2304760680651998E-3</v>
      </c>
      <c r="O45" s="14">
        <f>'Allocation - Factors'!O44/'Allocation - Factors'!$E44</f>
        <v>4.8847574205076348E-3</v>
      </c>
      <c r="P45" s="14">
        <f>'Allocation - Factors'!P44/'Allocation - Factors'!$E44</f>
        <v>1.4917787645333308E-2</v>
      </c>
      <c r="Q45" s="14">
        <f>'Allocation - Factors'!Q44/'Allocation - Factors'!$E44</f>
        <v>0</v>
      </c>
      <c r="R45" s="14">
        <f>'Allocation - Factors'!R44/'Allocation - Factors'!$E44</f>
        <v>0</v>
      </c>
      <c r="S45" s="14">
        <f>'Allocation - Factors'!S44/'Allocation - Factors'!$E44</f>
        <v>0</v>
      </c>
    </row>
    <row r="46" spans="2:19">
      <c r="B46" s="13"/>
      <c r="C46" s="9" t="s">
        <v>388</v>
      </c>
      <c r="E46" s="14">
        <f>SUM(F46:R46)</f>
        <v>1</v>
      </c>
      <c r="F46" s="14">
        <f>'Allocation - Factors'!F45/'Allocation - Factors'!$E45</f>
        <v>0.44119773534839485</v>
      </c>
      <c r="G46" s="14">
        <f>'Allocation - Factors'!G45/'Allocation - Factors'!$E45</f>
        <v>0.43810428702050785</v>
      </c>
      <c r="H46" s="14">
        <f>'Allocation - Factors'!H45/'Allocation - Factors'!$E45</f>
        <v>0</v>
      </c>
      <c r="I46" s="14">
        <f>'Allocation - Factors'!I45/'Allocation - Factors'!$E45</f>
        <v>0</v>
      </c>
      <c r="J46" s="14">
        <f>'Allocation - Factors'!J45/'Allocation - Factors'!$E45</f>
        <v>5.0032654988307015E-2</v>
      </c>
      <c r="K46" s="14">
        <f>'Allocation - Factors'!K45/'Allocation - Factors'!$E45</f>
        <v>3.1582217980711369E-2</v>
      </c>
      <c r="L46" s="14">
        <f>'Allocation - Factors'!L45/'Allocation - Factors'!$E45</f>
        <v>0</v>
      </c>
      <c r="M46" s="14">
        <f>'Allocation - Factors'!M45/'Allocation - Factors'!$E45</f>
        <v>1.7188493380306039E-3</v>
      </c>
      <c r="N46" s="14">
        <f>'Allocation - Factors'!N45/'Allocation - Factors'!$E45</f>
        <v>3.6863689094388374E-3</v>
      </c>
      <c r="O46" s="14">
        <f>'Allocation - Factors'!O45/'Allocation - Factors'!$E45</f>
        <v>1.8432197848966502E-2</v>
      </c>
      <c r="P46" s="14">
        <f>'Allocation - Factors'!P45/'Allocation - Factors'!$E45</f>
        <v>1.5245688565642946E-2</v>
      </c>
      <c r="Q46" s="14">
        <f>'Allocation - Factors'!Q45/'Allocation - Factors'!$E45</f>
        <v>0</v>
      </c>
      <c r="R46" s="14">
        <f>'Allocation - Factors'!R45/'Allocation - Factors'!$E45</f>
        <v>0</v>
      </c>
      <c r="S46" s="14">
        <f>'Allocation - Factors'!S45/'Allocation - Factors'!$E45</f>
        <v>0</v>
      </c>
    </row>
    <row r="47" spans="2:19">
      <c r="E47" s="21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spans="2:19" ht="18" customHeight="1">
      <c r="B48" s="13"/>
      <c r="C48" s="9" t="s">
        <v>393</v>
      </c>
      <c r="E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 spans="2:19">
      <c r="B49" s="13"/>
      <c r="C49" s="9" t="s">
        <v>394</v>
      </c>
      <c r="E49" s="21">
        <f>SUM(F49:S49)</f>
        <v>1.262011</v>
      </c>
      <c r="F49" s="21">
        <v>0.10073381111111111</v>
      </c>
      <c r="G49" s="21">
        <v>1.1612771888888889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</row>
    <row r="50" spans="2:19">
      <c r="B50" s="13"/>
      <c r="C50" s="9" t="s">
        <v>395</v>
      </c>
      <c r="E50" s="21">
        <f>SUM(F50:S50)</f>
        <v>0.245</v>
      </c>
      <c r="F50" s="21">
        <v>1.3611111111111112E-2</v>
      </c>
      <c r="G50" s="21">
        <v>0.23138888888888889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</row>
    <row r="51" spans="2:19">
      <c r="B51" s="13"/>
      <c r="C51" s="9" t="s">
        <v>396</v>
      </c>
      <c r="E51" s="21">
        <f>SUM(F51:S51)</f>
        <v>1.0000000000000002</v>
      </c>
      <c r="F51" s="21">
        <v>7.0945019159074724E-2</v>
      </c>
      <c r="G51" s="21">
        <v>0.92905498084092542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</row>
    <row r="52" spans="2:19">
      <c r="B52" s="13"/>
      <c r="C52" s="9" t="s">
        <v>397</v>
      </c>
      <c r="E52" s="21">
        <f>SUM(F52:S52)</f>
        <v>-0.36316899999999996</v>
      </c>
      <c r="F52" s="21">
        <v>-5.3878299999999997E-2</v>
      </c>
      <c r="G52" s="21">
        <v>-0.30929069999999997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</row>
    <row r="53" spans="2:19">
      <c r="B53" s="13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</row>
    <row r="54" spans="2:19">
      <c r="B54" s="13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</row>
    <row r="55" spans="2:19">
      <c r="B55" s="13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2:19">
      <c r="B56" s="13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 spans="2:19">
      <c r="B57" s="13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2:19">
      <c r="B58" s="13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2:19">
      <c r="B59" s="13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2:19">
      <c r="B60" s="13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 spans="2:19">
      <c r="B61" s="13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 spans="2:19">
      <c r="B62" s="13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 spans="2:19">
      <c r="B63" s="13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 spans="2:19">
      <c r="B64" s="13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 spans="2:19">
      <c r="B65" s="13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2:19">
      <c r="B66" s="13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</row>
    <row r="67" spans="2:19">
      <c r="B67" s="13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</row>
    <row r="68" spans="2:19"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</row>
    <row r="69" spans="2:19">
      <c r="B69" s="13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</row>
    <row r="70" spans="2:19">
      <c r="B70" s="13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</row>
    <row r="71" spans="2:19">
      <c r="B71" s="13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</row>
    <row r="72" spans="2:19">
      <c r="B72" s="13"/>
      <c r="E72" s="25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</row>
  </sheetData>
  <mergeCells count="3">
    <mergeCell ref="B1:S1"/>
    <mergeCell ref="B2:S2"/>
    <mergeCell ref="B3:S3"/>
  </mergeCells>
  <pageMargins left="0.7" right="0.7" top="0.75" bottom="0.75" header="0.3" footer="0.3"/>
  <pageSetup scale="61" orientation="portrait" r:id="rId1"/>
  <headerFooter>
    <oddHeader>&amp;R&amp;"Arial,Regular"&amp;10Filed: 2023-03-08
EB-2022-0200
Exhibit I.7.1-VECC-62
Attachment 1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ADD6-3C65-4A4F-A4E7-68E24D0547F7}">
  <sheetPr>
    <tabColor theme="5" tint="0.59999389629810485"/>
  </sheetPr>
  <dimension ref="A1:V84"/>
  <sheetViews>
    <sheetView zoomScale="98" zoomScaleNormal="98" workbookViewId="0"/>
  </sheetViews>
  <sheetFormatPr defaultColWidth="9.1796875" defaultRowHeight="12.5"/>
  <cols>
    <col min="1" max="1" width="9.1796875" style="9"/>
    <col min="2" max="2" width="4.453125" style="9" bestFit="1" customWidth="1"/>
    <col min="3" max="3" width="27.453125" style="9" bestFit="1" customWidth="1"/>
    <col min="4" max="4" width="2" style="9" customWidth="1"/>
    <col min="5" max="5" width="9.26953125" style="10" bestFit="1" customWidth="1"/>
    <col min="6" max="7" width="8.54296875" style="10" bestFit="1" customWidth="1"/>
    <col min="8" max="8" width="6.1796875" style="10" bestFit="1" customWidth="1"/>
    <col min="9" max="17" width="8.1796875" style="10" bestFit="1" customWidth="1"/>
    <col min="18" max="18" width="9.54296875" style="10" customWidth="1"/>
    <col min="19" max="19" width="7.1796875" style="9" bestFit="1" customWidth="1"/>
    <col min="20" max="16384" width="9.1796875" style="9"/>
  </cols>
  <sheetData>
    <row r="1" spans="1:22">
      <c r="B1" s="90" t="s">
        <v>398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22">
      <c r="B2" s="90" t="str">
        <f>'Allocation - Factors'!B2</f>
        <v>Year Ended December 31, 2018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22">
      <c r="B3" s="91" t="s">
        <v>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13"/>
      <c r="U3" s="13"/>
      <c r="V3" s="13"/>
    </row>
    <row r="4" spans="1:22">
      <c r="B4" s="90" t="s">
        <v>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</row>
    <row r="6" spans="1:22"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0" t="s">
        <v>16</v>
      </c>
      <c r="R6" s="10" t="s">
        <v>89</v>
      </c>
    </row>
    <row r="8" spans="1:22" ht="25">
      <c r="D8" s="11"/>
      <c r="E8" s="12" t="s">
        <v>384</v>
      </c>
      <c r="F8" s="12" t="s">
        <v>351</v>
      </c>
      <c r="G8" s="12" t="s">
        <v>352</v>
      </c>
      <c r="H8" s="12" t="s">
        <v>353</v>
      </c>
      <c r="I8" s="12" t="s">
        <v>354</v>
      </c>
      <c r="J8" s="12" t="s">
        <v>355</v>
      </c>
      <c r="K8" s="12" t="s">
        <v>356</v>
      </c>
      <c r="L8" s="12" t="s">
        <v>357</v>
      </c>
      <c r="M8" s="12" t="s">
        <v>358</v>
      </c>
      <c r="N8" s="12" t="s">
        <v>359</v>
      </c>
      <c r="O8" s="12" t="s">
        <v>360</v>
      </c>
      <c r="P8" s="12" t="s">
        <v>361</v>
      </c>
      <c r="Q8" s="12" t="s">
        <v>399</v>
      </c>
      <c r="R8" s="12" t="s">
        <v>400</v>
      </c>
    </row>
    <row r="10" spans="1:22">
      <c r="C10" s="9" t="s">
        <v>401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22"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22" ht="13">
      <c r="C12" s="48" t="s">
        <v>402</v>
      </c>
      <c r="F12" s="21"/>
      <c r="G12" s="21"/>
      <c r="H12" s="21"/>
      <c r="I12" s="21"/>
      <c r="J12" s="21"/>
      <c r="K12" s="21"/>
      <c r="L12" s="21"/>
      <c r="M12" s="21"/>
      <c r="O12" s="21"/>
      <c r="P12" s="21"/>
      <c r="Q12" s="21"/>
      <c r="R12" s="21"/>
    </row>
    <row r="13" spans="1:22">
      <c r="E13" s="21"/>
      <c r="F13" s="21"/>
      <c r="G13" s="21"/>
      <c r="H13" s="21"/>
      <c r="I13" s="21"/>
      <c r="J13" s="21"/>
      <c r="K13" s="21"/>
      <c r="L13" s="21"/>
      <c r="M13" s="21"/>
      <c r="O13" s="21"/>
      <c r="P13" s="21"/>
      <c r="Q13" s="21"/>
      <c r="R13" s="21"/>
    </row>
    <row r="14" spans="1:22">
      <c r="A14" s="69"/>
      <c r="B14" s="13" t="s">
        <v>108</v>
      </c>
      <c r="C14" s="9" t="s">
        <v>279</v>
      </c>
      <c r="E14" s="21">
        <f>'Classification - Rate Base'!$H$41</f>
        <v>27.584419507442309</v>
      </c>
      <c r="F14" s="21">
        <f>$E14*'Allocation - Allo%'!F10</f>
        <v>15.934084464905176</v>
      </c>
      <c r="G14" s="21">
        <f>$E14*'Allocation - Allo%'!G10</f>
        <v>10.839552900803696</v>
      </c>
      <c r="H14" s="21">
        <f>$E14*'Allocation - Allo%'!H10</f>
        <v>0</v>
      </c>
      <c r="I14" s="21">
        <f>$E14*'Allocation - Allo%'!I10</f>
        <v>0</v>
      </c>
      <c r="J14" s="21">
        <f>$E14*'Allocation - Allo%'!J10</f>
        <v>0.19558931726012529</v>
      </c>
      <c r="K14" s="21">
        <f>$E14*'Allocation - Allo%'!K10</f>
        <v>0</v>
      </c>
      <c r="L14" s="21">
        <f>$E14*'Allocation - Allo%'!L10</f>
        <v>0</v>
      </c>
      <c r="M14" s="21">
        <f>$E14*'Allocation - Allo%'!M10</f>
        <v>1.55348439551768E-2</v>
      </c>
      <c r="N14" s="21">
        <f>$E14*'Allocation - Allo%'!N10</f>
        <v>2.9778668407832179E-2</v>
      </c>
      <c r="O14" s="21">
        <f>$E14*'Allocation - Allo%'!O10</f>
        <v>0.11972151986155165</v>
      </c>
      <c r="P14" s="21">
        <f>$E14*'Allocation - Allo%'!P10</f>
        <v>0.45015779224875185</v>
      </c>
      <c r="Q14" s="21">
        <f>$E14*'Allocation - Allo%'!Q10</f>
        <v>0</v>
      </c>
      <c r="R14" s="21">
        <f>$E14*'Allocation - Allo%'!R10</f>
        <v>0</v>
      </c>
    </row>
    <row r="15" spans="1:22">
      <c r="B15" s="13" t="s">
        <v>109</v>
      </c>
      <c r="C15" s="11" t="s">
        <v>278</v>
      </c>
      <c r="D15" s="11"/>
      <c r="E15" s="22">
        <f>'Classification - Rate Base'!$G$41</f>
        <v>0</v>
      </c>
      <c r="F15" s="22">
        <f>$E15*'Allocation - Allo%'!F46</f>
        <v>0</v>
      </c>
      <c r="G15" s="22">
        <f>$E15*'Allocation - Allo%'!G46</f>
        <v>0</v>
      </c>
      <c r="H15" s="22">
        <f>$E15*'Allocation - Allo%'!H46</f>
        <v>0</v>
      </c>
      <c r="I15" s="22">
        <f>$E15*'Allocation - Allo%'!I46</f>
        <v>0</v>
      </c>
      <c r="J15" s="22">
        <f>$E15*'Allocation - Allo%'!J46</f>
        <v>0</v>
      </c>
      <c r="K15" s="22">
        <f>$E15*'Allocation - Allo%'!K46</f>
        <v>0</v>
      </c>
      <c r="L15" s="22">
        <f>$E15*'Allocation - Allo%'!L46</f>
        <v>0</v>
      </c>
      <c r="M15" s="22">
        <f>$E15*'Allocation - Allo%'!M46</f>
        <v>0</v>
      </c>
      <c r="N15" s="22">
        <f>$E15*'Allocation - Allo%'!N46</f>
        <v>0</v>
      </c>
      <c r="O15" s="22">
        <f>$E15*'Allocation - Allo%'!O46</f>
        <v>0</v>
      </c>
      <c r="P15" s="22">
        <f>$E15*'Allocation - Allo%'!P46</f>
        <v>0</v>
      </c>
      <c r="Q15" s="22">
        <f>$E15*'Allocation - Allo%'!Q46</f>
        <v>0</v>
      </c>
      <c r="R15" s="22">
        <f>$E15*'Allocation - Allo%'!R46</f>
        <v>0</v>
      </c>
    </row>
    <row r="16" spans="1:22">
      <c r="B16" s="13"/>
      <c r="E16" s="21"/>
      <c r="F16" s="21"/>
      <c r="G16" s="21"/>
      <c r="H16" s="21"/>
      <c r="L16" s="21"/>
      <c r="M16" s="21"/>
      <c r="N16" s="21"/>
      <c r="O16" s="21"/>
      <c r="P16" s="21"/>
      <c r="Q16" s="21"/>
      <c r="R16" s="21"/>
    </row>
    <row r="17" spans="1:18" ht="13">
      <c r="B17" s="13" t="s">
        <v>30</v>
      </c>
      <c r="C17" s="48" t="s">
        <v>403</v>
      </c>
      <c r="E17" s="21">
        <f t="shared" ref="E17:R17" si="0">SUM(E14:E15)</f>
        <v>27.584419507442309</v>
      </c>
      <c r="F17" s="21">
        <f t="shared" si="0"/>
        <v>15.934084464905176</v>
      </c>
      <c r="G17" s="21">
        <f t="shared" si="0"/>
        <v>10.839552900803696</v>
      </c>
      <c r="H17" s="21">
        <f t="shared" si="0"/>
        <v>0</v>
      </c>
      <c r="I17" s="21">
        <f t="shared" si="0"/>
        <v>0</v>
      </c>
      <c r="J17" s="21">
        <f t="shared" si="0"/>
        <v>0.19558931726012529</v>
      </c>
      <c r="K17" s="21">
        <f t="shared" si="0"/>
        <v>0</v>
      </c>
      <c r="L17" s="21">
        <f t="shared" si="0"/>
        <v>0</v>
      </c>
      <c r="M17" s="21">
        <f t="shared" si="0"/>
        <v>1.55348439551768E-2</v>
      </c>
      <c r="N17" s="21">
        <f t="shared" si="0"/>
        <v>2.9778668407832179E-2</v>
      </c>
      <c r="O17" s="21">
        <f t="shared" si="0"/>
        <v>0.11972151986155165</v>
      </c>
      <c r="P17" s="21">
        <f t="shared" si="0"/>
        <v>0.45015779224875185</v>
      </c>
      <c r="Q17" s="21">
        <f t="shared" si="0"/>
        <v>0</v>
      </c>
      <c r="R17" s="21">
        <f t="shared" si="0"/>
        <v>0</v>
      </c>
    </row>
    <row r="18" spans="1:18">
      <c r="B18" s="13"/>
      <c r="E18" s="21"/>
      <c r="F18" s="21"/>
      <c r="G18" s="21"/>
      <c r="H18" s="21"/>
      <c r="L18" s="21"/>
      <c r="M18" s="21"/>
      <c r="N18" s="21"/>
      <c r="O18" s="21"/>
      <c r="P18" s="21"/>
      <c r="Q18" s="21"/>
      <c r="R18" s="21"/>
    </row>
    <row r="19" spans="1:18" ht="13">
      <c r="B19" s="13"/>
      <c r="C19" s="48" t="s">
        <v>404</v>
      </c>
      <c r="E19" s="21"/>
      <c r="F19" s="21"/>
      <c r="G19" s="21"/>
      <c r="H19" s="21"/>
      <c r="L19" s="21"/>
      <c r="M19" s="21"/>
      <c r="N19" s="21"/>
      <c r="O19" s="21"/>
      <c r="P19" s="21"/>
      <c r="Q19" s="21"/>
      <c r="R19" s="21"/>
    </row>
    <row r="20" spans="1:18" ht="13">
      <c r="B20" s="13"/>
      <c r="C20" s="48"/>
      <c r="E20" s="21"/>
      <c r="F20" s="21"/>
      <c r="G20" s="21"/>
      <c r="H20" s="21"/>
      <c r="L20" s="21"/>
      <c r="M20" s="21"/>
      <c r="N20" s="21"/>
      <c r="O20" s="21"/>
      <c r="P20" s="21"/>
      <c r="Q20" s="21"/>
      <c r="R20" s="21"/>
    </row>
    <row r="21" spans="1:18">
      <c r="A21" s="69"/>
      <c r="B21" s="13" t="s">
        <v>32</v>
      </c>
      <c r="C21" s="9" t="s">
        <v>280</v>
      </c>
      <c r="E21" s="21">
        <f>'Classification - Rate Base'!$I$41</f>
        <v>0</v>
      </c>
      <c r="F21" s="21">
        <f>$E21*'Allocation - Allo%'!F13</f>
        <v>0</v>
      </c>
      <c r="G21" s="21">
        <f>$E21*'Allocation - Allo%'!G13</f>
        <v>0</v>
      </c>
      <c r="H21" s="21">
        <f>$E21*'Allocation - Allo%'!H13</f>
        <v>0</v>
      </c>
      <c r="I21" s="21">
        <f>$E21*'Allocation - Allo%'!I13</f>
        <v>0</v>
      </c>
      <c r="J21" s="21">
        <f>$E21*'Allocation - Allo%'!J13</f>
        <v>0</v>
      </c>
      <c r="K21" s="21">
        <f>$E21*'Allocation - Allo%'!K13</f>
        <v>0</v>
      </c>
      <c r="L21" s="21">
        <f>$E21*'Allocation - Allo%'!L13</f>
        <v>0</v>
      </c>
      <c r="M21" s="21">
        <f>$E21*'Allocation - Allo%'!M13</f>
        <v>0</v>
      </c>
      <c r="N21" s="21">
        <f>$E21*'Allocation - Allo%'!N13</f>
        <v>0</v>
      </c>
      <c r="O21" s="21">
        <f>$E21*'Allocation - Allo%'!O13</f>
        <v>0</v>
      </c>
      <c r="P21" s="21">
        <f>$E21*'Allocation - Allo%'!P13</f>
        <v>0</v>
      </c>
      <c r="Q21" s="21">
        <f>$E21*'Allocation - Allo%'!Q13</f>
        <v>0</v>
      </c>
      <c r="R21" s="21">
        <f>$E21*'Allocation - Allo%'!R13</f>
        <v>0</v>
      </c>
    </row>
    <row r="22" spans="1:18">
      <c r="A22" s="69"/>
      <c r="B22" s="13" t="s">
        <v>34</v>
      </c>
      <c r="C22" s="9" t="s">
        <v>281</v>
      </c>
      <c r="E22" s="21">
        <f>'Classification - Rate Base'!$J$41</f>
        <v>374.94492962504853</v>
      </c>
      <c r="F22" s="21">
        <f>$E22*'Allocation - Allo%'!F25</f>
        <v>182.44069284973523</v>
      </c>
      <c r="G22" s="21">
        <f>$E22*'Allocation - Allo%'!G25</f>
        <v>175.03990055519355</v>
      </c>
      <c r="H22" s="21">
        <f>$E22*'Allocation - Allo%'!H25</f>
        <v>0</v>
      </c>
      <c r="I22" s="21">
        <f>$E22*'Allocation - Allo%'!I25</f>
        <v>0</v>
      </c>
      <c r="J22" s="21">
        <f>$E22*'Allocation - Allo%'!J25</f>
        <v>6.548270128995104</v>
      </c>
      <c r="K22" s="21">
        <f>$E22*'Allocation - Allo%'!K25</f>
        <v>1.5994071999920463</v>
      </c>
      <c r="L22" s="21">
        <f>$E22*'Allocation - Allo%'!L25</f>
        <v>0</v>
      </c>
      <c r="M22" s="21">
        <f>$E22*'Allocation - Allo%'!M25</f>
        <v>0</v>
      </c>
      <c r="N22" s="21">
        <f>$E22*'Allocation - Allo%'!N25</f>
        <v>0.93528679970526984</v>
      </c>
      <c r="O22" s="21">
        <f>$E22*'Allocation - Allo%'!O25</f>
        <v>2.3858618410281727</v>
      </c>
      <c r="P22" s="21">
        <f>$E22*'Allocation - Allo%'!P25</f>
        <v>5.9955102503992386</v>
      </c>
      <c r="Q22" s="21">
        <f>$E22*'Allocation - Allo%'!Q25</f>
        <v>0</v>
      </c>
      <c r="R22" s="21">
        <f>$E22*'Allocation - Allo%'!R25</f>
        <v>0</v>
      </c>
    </row>
    <row r="23" spans="1:18">
      <c r="A23" s="69"/>
      <c r="B23" s="13" t="s">
        <v>36</v>
      </c>
      <c r="C23" s="9" t="s">
        <v>282</v>
      </c>
      <c r="E23" s="21">
        <f>'Classification - Rate Base'!$K$41</f>
        <v>0</v>
      </c>
      <c r="F23" s="21">
        <f>$E23*'Allocation - Allo%'!F11</f>
        <v>0</v>
      </c>
      <c r="G23" s="21">
        <f>$E23*'Allocation - Allo%'!G11</f>
        <v>0</v>
      </c>
      <c r="H23" s="21">
        <f>$E23*'Allocation - Allo%'!H11</f>
        <v>0</v>
      </c>
      <c r="I23" s="21">
        <f>$E23*'Allocation - Allo%'!I11</f>
        <v>0</v>
      </c>
      <c r="J23" s="21">
        <f>$E23*'Allocation - Allo%'!J11</f>
        <v>0</v>
      </c>
      <c r="K23" s="21">
        <f>$E23*'Allocation - Allo%'!K11</f>
        <v>0</v>
      </c>
      <c r="L23" s="21">
        <f>$E23*'Allocation - Allo%'!L11</f>
        <v>0</v>
      </c>
      <c r="M23" s="21">
        <f>$E23*'Allocation - Allo%'!M11</f>
        <v>0</v>
      </c>
      <c r="N23" s="21">
        <f>$E23*'Allocation - Allo%'!N11</f>
        <v>0</v>
      </c>
      <c r="O23" s="21">
        <f>$E23*'Allocation - Allo%'!O11</f>
        <v>0</v>
      </c>
      <c r="P23" s="21">
        <f>$E23*'Allocation - Allo%'!P11</f>
        <v>0</v>
      </c>
      <c r="Q23" s="21">
        <f>$E23*'Allocation - Allo%'!Q11</f>
        <v>0</v>
      </c>
      <c r="R23" s="21">
        <f>$E23*'Allocation - Allo%'!R11</f>
        <v>0</v>
      </c>
    </row>
    <row r="24" spans="1:18">
      <c r="A24" s="69"/>
      <c r="B24" s="13" t="s">
        <v>37</v>
      </c>
      <c r="C24" s="9" t="s">
        <v>405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</row>
    <row r="25" spans="1:18">
      <c r="A25" s="69"/>
      <c r="B25" s="13" t="s">
        <v>39</v>
      </c>
      <c r="C25" s="11" t="s">
        <v>406</v>
      </c>
      <c r="D25" s="11"/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</row>
    <row r="26" spans="1:18" ht="13">
      <c r="B26" s="13"/>
      <c r="C26" s="48"/>
      <c r="E26" s="21"/>
      <c r="F26" s="21"/>
      <c r="G26" s="21"/>
      <c r="H26" s="21"/>
      <c r="L26" s="21"/>
      <c r="M26" s="21"/>
      <c r="N26" s="21"/>
      <c r="O26" s="21"/>
      <c r="P26" s="21"/>
      <c r="Q26" s="21"/>
      <c r="R26" s="21"/>
    </row>
    <row r="27" spans="1:18" ht="13">
      <c r="A27" s="69"/>
      <c r="B27" s="13" t="s">
        <v>41</v>
      </c>
      <c r="C27" s="48" t="s">
        <v>407</v>
      </c>
      <c r="E27" s="21">
        <f t="shared" ref="E27:R27" si="1">SUM(E21:E25)</f>
        <v>374.94492962504853</v>
      </c>
      <c r="F27" s="21">
        <f t="shared" si="1"/>
        <v>182.44069284973523</v>
      </c>
      <c r="G27" s="21">
        <f t="shared" si="1"/>
        <v>175.03990055519355</v>
      </c>
      <c r="H27" s="21">
        <f t="shared" si="1"/>
        <v>0</v>
      </c>
      <c r="I27" s="21">
        <f t="shared" si="1"/>
        <v>0</v>
      </c>
      <c r="J27" s="21">
        <f t="shared" si="1"/>
        <v>6.548270128995104</v>
      </c>
      <c r="K27" s="21">
        <f t="shared" si="1"/>
        <v>1.5994071999920463</v>
      </c>
      <c r="L27" s="21">
        <f t="shared" si="1"/>
        <v>0</v>
      </c>
      <c r="M27" s="21">
        <f t="shared" si="1"/>
        <v>0</v>
      </c>
      <c r="N27" s="21">
        <f t="shared" si="1"/>
        <v>0.93528679970526984</v>
      </c>
      <c r="O27" s="21">
        <f t="shared" si="1"/>
        <v>2.3858618410281727</v>
      </c>
      <c r="P27" s="21">
        <f t="shared" si="1"/>
        <v>5.9955102503992386</v>
      </c>
      <c r="Q27" s="21">
        <f t="shared" si="1"/>
        <v>0</v>
      </c>
      <c r="R27" s="21">
        <f t="shared" si="1"/>
        <v>0</v>
      </c>
    </row>
    <row r="28" spans="1:18">
      <c r="B28" s="13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1:18">
      <c r="B29" s="13"/>
      <c r="C29" s="9" t="s">
        <v>408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8">
      <c r="B30" s="13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18" ht="13">
      <c r="B31" s="13"/>
      <c r="C31" s="48" t="s">
        <v>409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>
      <c r="B32" s="13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>
      <c r="B33" s="13" t="s">
        <v>44</v>
      </c>
      <c r="C33" s="9" t="s">
        <v>283</v>
      </c>
      <c r="E33" s="21">
        <f>'Classification - Rate Base'!$L$41</f>
        <v>4.8800239966815688</v>
      </c>
      <c r="F33" s="21">
        <f>$E33*'Allocation - Allo%'!F24</f>
        <v>2.6819669113670894</v>
      </c>
      <c r="G33" s="21">
        <f>$E33*'Allocation - Allo%'!G24</f>
        <v>2.1371337959286469</v>
      </c>
      <c r="H33" s="21">
        <f>$E33*'Allocation - Allo%'!H24</f>
        <v>0</v>
      </c>
      <c r="I33" s="21">
        <f>$E33*'Allocation - Allo%'!I24</f>
        <v>0</v>
      </c>
      <c r="J33" s="21">
        <f>$E33*'Allocation - Allo%'!J24</f>
        <v>1.1268237448776237E-2</v>
      </c>
      <c r="K33" s="21">
        <f>$E33*'Allocation - Allo%'!K24</f>
        <v>4.4687075822050087E-3</v>
      </c>
      <c r="L33" s="21">
        <f>$E33*'Allocation - Allo%'!L24</f>
        <v>0</v>
      </c>
      <c r="M33" s="21">
        <f>$E33*'Allocation - Allo%'!M24</f>
        <v>0</v>
      </c>
      <c r="N33" s="21">
        <f>$E33*'Allocation - Allo%'!N24</f>
        <v>0</v>
      </c>
      <c r="O33" s="21">
        <f>$E33*'Allocation - Allo%'!O24</f>
        <v>0</v>
      </c>
      <c r="P33" s="21">
        <f>$E33*'Allocation - Allo%'!P24</f>
        <v>4.5186344354852387E-2</v>
      </c>
      <c r="Q33" s="21">
        <f>$E33*'Allocation - Allo%'!Q24</f>
        <v>0</v>
      </c>
      <c r="R33" s="21">
        <f>$E33*'Allocation - Allo%'!R24</f>
        <v>0</v>
      </c>
    </row>
    <row r="34" spans="1:18">
      <c r="B34" s="13" t="s">
        <v>45</v>
      </c>
      <c r="C34" s="9" t="s">
        <v>284</v>
      </c>
      <c r="E34" s="21">
        <f>'Classification - Rate Base'!$M$41</f>
        <v>2.5297902032325781</v>
      </c>
      <c r="F34" s="21">
        <f>$E34*'Allocation - Allo%'!F25</f>
        <v>1.2309452428221093</v>
      </c>
      <c r="G34" s="21">
        <f>$E34*'Allocation - Allo%'!G25</f>
        <v>1.1810113715690336</v>
      </c>
      <c r="H34" s="21">
        <f>$E34*'Allocation - Allo%'!H25</f>
        <v>0</v>
      </c>
      <c r="I34" s="21">
        <f>$E34*'Allocation - Allo%'!I25</f>
        <v>0</v>
      </c>
      <c r="J34" s="21">
        <f>$E34*'Allocation - Allo%'!J25</f>
        <v>4.418182061301211E-2</v>
      </c>
      <c r="K34" s="21">
        <f>$E34*'Allocation - Allo%'!K25</f>
        <v>1.0791357198951223E-2</v>
      </c>
      <c r="L34" s="21">
        <f>$E34*'Allocation - Allo%'!L25</f>
        <v>0</v>
      </c>
      <c r="M34" s="21">
        <f>$E34*'Allocation - Allo%'!M25</f>
        <v>0</v>
      </c>
      <c r="N34" s="21">
        <f>$E34*'Allocation - Allo%'!N25</f>
        <v>6.310471741738881E-3</v>
      </c>
      <c r="O34" s="21">
        <f>$E34*'Allocation - Allo%'!O25</f>
        <v>1.6097643773274516E-2</v>
      </c>
      <c r="P34" s="21">
        <f>$E34*'Allocation - Allo%'!P25</f>
        <v>4.0452295514458995E-2</v>
      </c>
      <c r="Q34" s="21">
        <f>$E34*'Allocation - Allo%'!Q25</f>
        <v>0</v>
      </c>
      <c r="R34" s="21">
        <f>$E34*'Allocation - Allo%'!R25</f>
        <v>0</v>
      </c>
    </row>
    <row r="35" spans="1:18">
      <c r="B35" s="13" t="s">
        <v>46</v>
      </c>
      <c r="C35" s="11" t="s">
        <v>285</v>
      </c>
      <c r="D35" s="11"/>
      <c r="E35" s="22">
        <f>'Classification - Rate Base'!$N$41</f>
        <v>0</v>
      </c>
      <c r="F35" s="22">
        <f>$E35*'Allocation - Allo%'!F46</f>
        <v>0</v>
      </c>
      <c r="G35" s="22">
        <f>$E35*'Allocation - Allo%'!G46</f>
        <v>0</v>
      </c>
      <c r="H35" s="22">
        <f>$E35*'Allocation - Allo%'!H46</f>
        <v>0</v>
      </c>
      <c r="I35" s="22">
        <f>$E35*'Allocation - Allo%'!I46</f>
        <v>0</v>
      </c>
      <c r="J35" s="22">
        <f>$E35*'Allocation - Allo%'!J46</f>
        <v>0</v>
      </c>
      <c r="K35" s="22">
        <f>$E35*'Allocation - Allo%'!K46</f>
        <v>0</v>
      </c>
      <c r="L35" s="22">
        <f>$E35*'Allocation - Allo%'!L46</f>
        <v>0</v>
      </c>
      <c r="M35" s="22">
        <f>$E35*'Allocation - Allo%'!M46</f>
        <v>0</v>
      </c>
      <c r="N35" s="22">
        <f>$E35*'Allocation - Allo%'!N46</f>
        <v>0</v>
      </c>
      <c r="O35" s="22">
        <f>$E35*'Allocation - Allo%'!O46</f>
        <v>0</v>
      </c>
      <c r="P35" s="22">
        <f>$E35*'Allocation - Allo%'!P46</f>
        <v>0</v>
      </c>
      <c r="Q35" s="22">
        <f>$E35*'Allocation - Allo%'!Q46</f>
        <v>0</v>
      </c>
      <c r="R35" s="22">
        <f>$E35*'Allocation - Allo%'!R46</f>
        <v>0</v>
      </c>
    </row>
    <row r="36" spans="1:18">
      <c r="B36" s="13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18" ht="13">
      <c r="A37" s="69"/>
      <c r="B37" s="13" t="s">
        <v>64</v>
      </c>
      <c r="C37" s="48" t="s">
        <v>410</v>
      </c>
      <c r="E37" s="21">
        <f t="shared" ref="E37:R37" si="2">SUM(E33:E35)</f>
        <v>7.4098141999141465</v>
      </c>
      <c r="F37" s="21">
        <f t="shared" si="2"/>
        <v>3.9129121541891987</v>
      </c>
      <c r="G37" s="21">
        <f t="shared" si="2"/>
        <v>3.3181451674976805</v>
      </c>
      <c r="H37" s="21">
        <f t="shared" si="2"/>
        <v>0</v>
      </c>
      <c r="I37" s="21">
        <f t="shared" si="2"/>
        <v>0</v>
      </c>
      <c r="J37" s="21">
        <f t="shared" si="2"/>
        <v>5.5450058061788349E-2</v>
      </c>
      <c r="K37" s="21">
        <f t="shared" si="2"/>
        <v>1.5260064781156232E-2</v>
      </c>
      <c r="L37" s="21">
        <f t="shared" si="2"/>
        <v>0</v>
      </c>
      <c r="M37" s="21">
        <f t="shared" si="2"/>
        <v>0</v>
      </c>
      <c r="N37" s="21">
        <f t="shared" si="2"/>
        <v>6.310471741738881E-3</v>
      </c>
      <c r="O37" s="21">
        <f t="shared" si="2"/>
        <v>1.6097643773274516E-2</v>
      </c>
      <c r="P37" s="21">
        <f t="shared" si="2"/>
        <v>8.5638639869311389E-2</v>
      </c>
      <c r="Q37" s="21">
        <f t="shared" si="2"/>
        <v>0</v>
      </c>
      <c r="R37" s="21">
        <f t="shared" si="2"/>
        <v>0</v>
      </c>
    </row>
    <row r="38" spans="1:18">
      <c r="B38" s="13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  <row r="39" spans="1:18" ht="13">
      <c r="B39" s="13"/>
      <c r="C39" s="48" t="s">
        <v>411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spans="1:18">
      <c r="B40" s="13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</row>
    <row r="41" spans="1:18">
      <c r="A41" s="69"/>
      <c r="B41" s="13" t="s">
        <v>215</v>
      </c>
      <c r="C41" s="9" t="s">
        <v>412</v>
      </c>
      <c r="E41" s="21">
        <f>'Classification - Rate Base'!$P$41</f>
        <v>686.92933395854936</v>
      </c>
      <c r="F41" s="21">
        <f>$E41*'Allocation - Allo%'!F17</f>
        <v>318.29065434581054</v>
      </c>
      <c r="G41" s="21">
        <f>$E41*'Allocation - Allo%'!G17</f>
        <v>279.18380152893474</v>
      </c>
      <c r="H41" s="21">
        <f>$E41*'Allocation - Allo%'!H17</f>
        <v>0</v>
      </c>
      <c r="I41" s="21">
        <f>$E41*'Allocation - Allo%'!I17</f>
        <v>0</v>
      </c>
      <c r="J41" s="21">
        <f>$E41*'Allocation - Allo%'!J17</f>
        <v>15.564129215236642</v>
      </c>
      <c r="K41" s="21">
        <f>$E41*'Allocation - Allo%'!K17</f>
        <v>9.6392191630785007</v>
      </c>
      <c r="L41" s="21">
        <f>$E41*'Allocation - Allo%'!L17</f>
        <v>55.196585056219035</v>
      </c>
      <c r="M41" s="21">
        <f>$E41*'Allocation - Allo%'!M17</f>
        <v>3.1863815634169151E-2</v>
      </c>
      <c r="N41" s="21">
        <f>$E41*'Allocation - Allo%'!N17</f>
        <v>0.63677632210653456</v>
      </c>
      <c r="O41" s="21">
        <f>$E41*'Allocation - Allo%'!O17</f>
        <v>0.62378824493999674</v>
      </c>
      <c r="P41" s="21">
        <f>$E41*'Allocation - Allo%'!P17</f>
        <v>7.6695320839192158</v>
      </c>
      <c r="Q41" s="21">
        <f>$E41*'Allocation - Allo%'!Q17</f>
        <v>9.2984182669957213E-2</v>
      </c>
      <c r="R41" s="21">
        <f>$E41*'Allocation - Allo%'!R17</f>
        <v>0</v>
      </c>
    </row>
    <row r="42" spans="1:18">
      <c r="A42" s="69"/>
      <c r="B42" s="13" t="s">
        <v>217</v>
      </c>
      <c r="C42" s="9" t="s">
        <v>413</v>
      </c>
      <c r="E42" s="21">
        <f>'Classification - Rate Base'!$O$41</f>
        <v>75.389929292051193</v>
      </c>
      <c r="F42" s="21">
        <f>$E42*'Allocation - Allo%'!F18</f>
        <v>37.984274152551933</v>
      </c>
      <c r="G42" s="21">
        <f>$E42*'Allocation - Allo%'!G18</f>
        <v>33.317327767673696</v>
      </c>
      <c r="H42" s="21">
        <f>$E42*'Allocation - Allo%'!H18</f>
        <v>0</v>
      </c>
      <c r="I42" s="21">
        <f>$E42*'Allocation - Allo%'!I18</f>
        <v>0</v>
      </c>
      <c r="J42" s="21">
        <f>$E42*'Allocation - Allo%'!J18</f>
        <v>1.8573971399580711</v>
      </c>
      <c r="K42" s="21">
        <f>$E42*'Allocation - Allo%'!K18</f>
        <v>1.1503282873932903</v>
      </c>
      <c r="L42" s="21">
        <f>$E42*'Allocation - Allo%'!L18</f>
        <v>0</v>
      </c>
      <c r="M42" s="21">
        <f>$E42*'Allocation - Allo%'!M18</f>
        <v>3.8025744459329329E-3</v>
      </c>
      <c r="N42" s="21">
        <f>$E42*'Allocation - Allo%'!N18</f>
        <v>7.5991820879759628E-2</v>
      </c>
      <c r="O42" s="21">
        <f>$E42*'Allocation - Allo%'!O18</f>
        <v>7.444184548126026E-2</v>
      </c>
      <c r="P42" s="21">
        <f>$E42*'Allocation - Allo%'!P18</f>
        <v>0.91526912688071183</v>
      </c>
      <c r="Q42" s="21">
        <f>$E42*'Allocation - Allo%'!Q18</f>
        <v>1.1096576786540862E-2</v>
      </c>
      <c r="R42" s="21">
        <f>$E42*'Allocation - Allo%'!R18</f>
        <v>0</v>
      </c>
    </row>
    <row r="43" spans="1:18">
      <c r="A43" s="69"/>
      <c r="B43" s="13" t="s">
        <v>219</v>
      </c>
      <c r="C43" s="9" t="s">
        <v>414</v>
      </c>
      <c r="E43" s="21">
        <f>'Classification - Rate Base'!$Q$41</f>
        <v>217.38917429307065</v>
      </c>
      <c r="F43" s="21">
        <f>$E43*'Allocation - Allo%'!F19</f>
        <v>110.87489322988021</v>
      </c>
      <c r="G43" s="21">
        <f>$E43*'Allocation - Allo%'!G19</f>
        <v>97.252224541917784</v>
      </c>
      <c r="H43" s="21">
        <f>$E43*'Allocation - Allo%'!H19</f>
        <v>0</v>
      </c>
      <c r="I43" s="21">
        <f>$E43*'Allocation - Allo%'!I19</f>
        <v>0</v>
      </c>
      <c r="J43" s="21">
        <f>$E43*'Allocation - Allo%'!J19</f>
        <v>5.4216834248628194</v>
      </c>
      <c r="K43" s="21">
        <f>$E43*'Allocation - Allo%'!K19</f>
        <v>3.3577718382035533</v>
      </c>
      <c r="L43" s="21">
        <f>$E43*'Allocation - Allo%'!L19</f>
        <v>0</v>
      </c>
      <c r="M43" s="21">
        <f>$E43*'Allocation - Allo%'!M19</f>
        <v>1.1099594374193392E-2</v>
      </c>
      <c r="N43" s="21">
        <f>$E43*'Allocation - Allo%'!N19</f>
        <v>0.22181771836810177</v>
      </c>
      <c r="O43" s="21">
        <f>$E43*'Allocation - Allo%'!O19</f>
        <v>0.21729338927002909</v>
      </c>
      <c r="P43" s="21">
        <f>$E43*'Allocation - Allo%'!P19</f>
        <v>0</v>
      </c>
      <c r="Q43" s="21">
        <f>$E43*'Allocation - Allo%'!Q19</f>
        <v>3.2390556193956567E-2</v>
      </c>
      <c r="R43" s="21">
        <f>$E43*'Allocation - Allo%'!R19</f>
        <v>0</v>
      </c>
    </row>
    <row r="44" spans="1:18">
      <c r="A44" s="69"/>
      <c r="B44" s="13" t="s">
        <v>221</v>
      </c>
      <c r="C44" s="9" t="s">
        <v>415</v>
      </c>
      <c r="E44" s="21">
        <f>'Classification - Rate Base'!$R$41</f>
        <v>1177.0142558468326</v>
      </c>
      <c r="F44" s="21">
        <f>$E44*'Allocation - Allo%'!F20</f>
        <v>605.47016441933226</v>
      </c>
      <c r="G44" s="21">
        <f>$E44*'Allocation - Allo%'!G20</f>
        <v>531.07893652223174</v>
      </c>
      <c r="H44" s="21">
        <f>$E44*'Allocation - Allo%'!H20</f>
        <v>0</v>
      </c>
      <c r="I44" s="21">
        <f>$E44*'Allocation - Allo%'!I20</f>
        <v>0</v>
      </c>
      <c r="J44" s="21">
        <f>$E44*'Allocation - Allo%'!J20</f>
        <v>29.606951213699997</v>
      </c>
      <c r="K44" s="21">
        <f>$E44*'Allocation - Allo%'!K20</f>
        <v>8.2227949471444077</v>
      </c>
      <c r="L44" s="21">
        <f>$E44*'Allocation - Allo%'!L20</f>
        <v>0</v>
      </c>
      <c r="M44" s="21">
        <f>$E44*'Allocation - Allo%'!M20</f>
        <v>6.0613120202037185E-2</v>
      </c>
      <c r="N44" s="21">
        <f>$E44*'Allocation - Allo%'!N20</f>
        <v>1.2113112941899229</v>
      </c>
      <c r="O44" s="21">
        <f>$E44*'Allocation - Allo%'!O20</f>
        <v>1.1866046522884273</v>
      </c>
      <c r="P44" s="21">
        <f>$E44*'Allocation - Allo%'!P20</f>
        <v>0</v>
      </c>
      <c r="Q44" s="21">
        <f>$E44*'Allocation - Allo%'!Q20</f>
        <v>0.17687967774388169</v>
      </c>
      <c r="R44" s="21">
        <f>$E44*'Allocation - Allo%'!R20</f>
        <v>0</v>
      </c>
    </row>
    <row r="45" spans="1:18">
      <c r="A45" s="69"/>
      <c r="B45" s="13" t="s">
        <v>223</v>
      </c>
      <c r="C45" s="9" t="s">
        <v>290</v>
      </c>
      <c r="E45" s="21">
        <f>'Classification - Rate Base'!$S$41</f>
        <v>0.30735943693322676</v>
      </c>
      <c r="F45" s="21">
        <f>$E45*'Allocation - Allo%'!F12</f>
        <v>0.12717236080548103</v>
      </c>
      <c r="G45" s="21">
        <f>$E45*'Allocation - Allo%'!G12</f>
        <v>0.12917300942943605</v>
      </c>
      <c r="H45" s="21">
        <f>$E45*'Allocation - Allo%'!H12</f>
        <v>0</v>
      </c>
      <c r="I45" s="21">
        <f>$E45*'Allocation - Allo%'!I12</f>
        <v>0</v>
      </c>
      <c r="J45" s="21">
        <f>$E45*'Allocation - Allo%'!J12</f>
        <v>2.1102795764190406E-2</v>
      </c>
      <c r="K45" s="21">
        <f>$E45*'Allocation - Allo%'!K12</f>
        <v>1.4518049700567089E-2</v>
      </c>
      <c r="L45" s="21">
        <f>$E45*'Allocation - Allo%'!L12</f>
        <v>0</v>
      </c>
      <c r="M45" s="21">
        <f>$E45*'Allocation - Allo%'!M12</f>
        <v>1.725089388433356E-3</v>
      </c>
      <c r="N45" s="21">
        <f>$E45*'Allocation - Allo%'!N12</f>
        <v>1.3408941044337104E-3</v>
      </c>
      <c r="O45" s="21">
        <f>$E45*'Allocation - Allo%'!O12</f>
        <v>7.7868815615198287E-3</v>
      </c>
      <c r="P45" s="21">
        <f>$E45*'Allocation - Allo%'!P12</f>
        <v>4.5403561791652648E-3</v>
      </c>
      <c r="Q45" s="21">
        <f>$E45*'Allocation - Allo%'!Q12</f>
        <v>0</v>
      </c>
      <c r="R45" s="21">
        <f>$E45*'Allocation - Allo%'!R12</f>
        <v>0</v>
      </c>
    </row>
    <row r="46" spans="1:18">
      <c r="A46" s="69"/>
      <c r="B46" s="13" t="s">
        <v>225</v>
      </c>
      <c r="C46" s="11" t="s">
        <v>291</v>
      </c>
      <c r="D46" s="11"/>
      <c r="E46" s="22">
        <f>'Classification - Rate Base'!$W$41</f>
        <v>843.59849989124621</v>
      </c>
      <c r="F46" s="22">
        <f>$E46*'Allocation - Allo%'!F21</f>
        <v>778.69099892459872</v>
      </c>
      <c r="G46" s="22">
        <f>$E46*'Allocation - Allo%'!G21</f>
        <v>64.752155150300197</v>
      </c>
      <c r="H46" s="22">
        <f>$E46*'Allocation - Allo%'!H21</f>
        <v>0</v>
      </c>
      <c r="I46" s="22">
        <f>$E46*'Allocation - Allo%'!I21</f>
        <v>0</v>
      </c>
      <c r="J46" s="22">
        <f>$E46*'Allocation - Allo%'!J21</f>
        <v>0.10240458042795321</v>
      </c>
      <c r="K46" s="22">
        <f>$E46*'Allocation - Allo%'!K21</f>
        <v>1.0433674232282026E-2</v>
      </c>
      <c r="L46" s="22">
        <f>$E46*'Allocation - Allo%'!L21</f>
        <v>1.5457295158936334E-3</v>
      </c>
      <c r="M46" s="22">
        <f>$E46*'Allocation - Allo%'!M21</f>
        <v>1.6616592295856557E-2</v>
      </c>
      <c r="N46" s="22">
        <f>$E46*'Allocation - Allo%'!N21</f>
        <v>1.3911565643042698E-2</v>
      </c>
      <c r="O46" s="22">
        <f>$E46*'Allocation - Allo%'!O21</f>
        <v>9.6608094743352076E-3</v>
      </c>
      <c r="P46" s="22">
        <f>$E46*'Allocation - Allo%'!P21</f>
        <v>3.8643237897340835E-4</v>
      </c>
      <c r="Q46" s="22">
        <f>$E46*'Allocation - Allo%'!Q21</f>
        <v>3.8643237897340835E-4</v>
      </c>
      <c r="R46" s="22">
        <f>$E46*'Allocation - Allo%'!R21</f>
        <v>0</v>
      </c>
    </row>
    <row r="47" spans="1:18"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18" ht="13">
      <c r="B48" s="13" t="s">
        <v>66</v>
      </c>
      <c r="C48" s="48" t="s">
        <v>416</v>
      </c>
      <c r="E48" s="21">
        <f t="shared" ref="E48:R48" si="3">SUM(E41:E46)</f>
        <v>3000.6285527186837</v>
      </c>
      <c r="F48" s="21">
        <f t="shared" si="3"/>
        <v>1851.4381574329791</v>
      </c>
      <c r="G48" s="21">
        <f t="shared" si="3"/>
        <v>1005.7136185204876</v>
      </c>
      <c r="H48" s="21">
        <f t="shared" si="3"/>
        <v>0</v>
      </c>
      <c r="I48" s="21">
        <f t="shared" si="3"/>
        <v>0</v>
      </c>
      <c r="J48" s="21">
        <f t="shared" si="3"/>
        <v>52.573668369949679</v>
      </c>
      <c r="K48" s="21">
        <f t="shared" si="3"/>
        <v>22.3950659597526</v>
      </c>
      <c r="L48" s="21">
        <f t="shared" si="3"/>
        <v>55.198130785734932</v>
      </c>
      <c r="M48" s="21">
        <f t="shared" si="3"/>
        <v>0.12572078634062256</v>
      </c>
      <c r="N48" s="21">
        <f t="shared" si="3"/>
        <v>2.1611496152917953</v>
      </c>
      <c r="O48" s="21">
        <f t="shared" si="3"/>
        <v>2.1195758230155683</v>
      </c>
      <c r="P48" s="21">
        <f t="shared" si="3"/>
        <v>8.5897279993580664</v>
      </c>
      <c r="Q48" s="21">
        <f t="shared" si="3"/>
        <v>0.31373742577330976</v>
      </c>
      <c r="R48" s="21">
        <f t="shared" si="3"/>
        <v>0</v>
      </c>
    </row>
    <row r="49" spans="1:18">
      <c r="B49" s="13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 ht="13">
      <c r="B50" s="13"/>
      <c r="C50" s="48" t="s">
        <v>417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ht="13">
      <c r="B51" s="13"/>
      <c r="C51" s="48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>
      <c r="A52" s="69"/>
      <c r="B52" s="13" t="s">
        <v>96</v>
      </c>
      <c r="C52" s="9" t="s">
        <v>24</v>
      </c>
      <c r="E52" s="21">
        <f>'Classification - Rate Base'!$T$41</f>
        <v>226.93397155413896</v>
      </c>
      <c r="F52" s="21">
        <f>$E52*'Allocation - Allo%'!F28</f>
        <v>127.38212629274672</v>
      </c>
      <c r="G52" s="21">
        <f>$E52*'Allocation - Allo%'!G28</f>
        <v>95.284467934447008</v>
      </c>
      <c r="H52" s="21">
        <f>$E52*'Allocation - Allo%'!H28</f>
        <v>0</v>
      </c>
      <c r="I52" s="21">
        <f>$E52*'Allocation - Allo%'!I28</f>
        <v>4.8548256792162444E-9</v>
      </c>
      <c r="J52" s="21">
        <f>$E52*'Allocation - Allo%'!J28</f>
        <v>2.2551098755404877</v>
      </c>
      <c r="K52" s="21">
        <f>$E52*'Allocation - Allo%'!K28</f>
        <v>0.22976591184752138</v>
      </c>
      <c r="L52" s="21">
        <f>$E52*'Allocation - Allo%'!L28</f>
        <v>0.93127248938783169</v>
      </c>
      <c r="M52" s="21">
        <f>$E52*'Allocation - Allo%'!M28</f>
        <v>0.35866401280332794</v>
      </c>
      <c r="N52" s="21">
        <f>$E52*'Allocation - Allo%'!N28</f>
        <v>0.27130896925067161</v>
      </c>
      <c r="O52" s="21">
        <f>$E52*'Allocation - Allo%'!O28</f>
        <v>0.21274621467363089</v>
      </c>
      <c r="P52" s="21">
        <f>$E52*'Allocation - Allo%'!P28</f>
        <v>0</v>
      </c>
      <c r="Q52" s="21">
        <f>$E52*'Allocation - Allo%'!Q28</f>
        <v>8.5098485869452341E-3</v>
      </c>
      <c r="R52" s="21">
        <f>$E52*'Allocation - Allo%'!R28</f>
        <v>0</v>
      </c>
    </row>
    <row r="53" spans="1:18">
      <c r="A53" s="69"/>
      <c r="B53" s="13" t="s">
        <v>239</v>
      </c>
      <c r="C53" s="9" t="s">
        <v>20</v>
      </c>
      <c r="E53" s="21">
        <f>'Classification - Rate Base'!$U$41</f>
        <v>169.17986863749408</v>
      </c>
      <c r="F53" s="21">
        <f>$E53*'Allocation - Allo%'!F29</f>
        <v>12.650656105415187</v>
      </c>
      <c r="G53" s="21">
        <f>$E53*'Allocation - Allo%'!G29</f>
        <v>143.28783135665788</v>
      </c>
      <c r="H53" s="21">
        <f>$E53*'Allocation - Allo%'!H29</f>
        <v>0</v>
      </c>
      <c r="I53" s="21">
        <f>$E53*'Allocation - Allo%'!I29</f>
        <v>0</v>
      </c>
      <c r="J53" s="21">
        <f>$E53*'Allocation - Allo%'!J29</f>
        <v>5.8941390613282536</v>
      </c>
      <c r="K53" s="21">
        <f>$E53*'Allocation - Allo%'!K29</f>
        <v>1.1406012025548375</v>
      </c>
      <c r="L53" s="21">
        <f>$E53*'Allocation - Allo%'!L29</f>
        <v>0</v>
      </c>
      <c r="M53" s="21">
        <f>$E53*'Allocation - Allo%'!M29</f>
        <v>2.4039515157432532</v>
      </c>
      <c r="N53" s="21">
        <f>$E53*'Allocation - Allo%'!N29</f>
        <v>1.6276821625746076</v>
      </c>
      <c r="O53" s="21">
        <f>$E53*'Allocation - Allo%'!O29</f>
        <v>2.0597282526235561</v>
      </c>
      <c r="P53" s="21">
        <f>$E53*'Allocation - Allo%'!P29</f>
        <v>0</v>
      </c>
      <c r="Q53" s="21">
        <f>$E53*'Allocation - Allo%'!Q29</f>
        <v>0.11527898059644934</v>
      </c>
      <c r="R53" s="21">
        <f>$E53*'Allocation - Allo%'!R29</f>
        <v>0</v>
      </c>
    </row>
    <row r="54" spans="1:18">
      <c r="A54" s="69"/>
      <c r="B54" s="13" t="s">
        <v>241</v>
      </c>
      <c r="C54" s="9" t="s">
        <v>22</v>
      </c>
      <c r="E54" s="21">
        <f>'Classification - Rate Base'!$V$41</f>
        <v>1820.9064560366489</v>
      </c>
      <c r="F54" s="21">
        <f>$E54*'Allocation - Allo%'!F30</f>
        <v>1616.0399938546796</v>
      </c>
      <c r="G54" s="21">
        <f>$E54*'Allocation - Allo%'!G30</f>
        <v>199.00393677473761</v>
      </c>
      <c r="H54" s="21">
        <f>$E54*'Allocation - Allo%'!H30</f>
        <v>0</v>
      </c>
      <c r="I54" s="21">
        <f>$E54*'Allocation - Allo%'!I30</f>
        <v>0</v>
      </c>
      <c r="J54" s="21">
        <f>$E54*'Allocation - Allo%'!J30</f>
        <v>2.8421022252759003</v>
      </c>
      <c r="K54" s="21">
        <f>$E54*'Allocation - Allo%'!K30</f>
        <v>0.36298672249420966</v>
      </c>
      <c r="L54" s="21">
        <f>$E54*'Allocation - Allo%'!L30</f>
        <v>0.24034103116294664</v>
      </c>
      <c r="M54" s="21">
        <f>$E54*'Allocation - Allo%'!M30</f>
        <v>0.33527950527000638</v>
      </c>
      <c r="N54" s="21">
        <f>$E54*'Allocation - Allo%'!N30</f>
        <v>0.7697049579277373</v>
      </c>
      <c r="O54" s="21">
        <f>$E54*'Allocation - Allo%'!O30</f>
        <v>1.3010987563963416</v>
      </c>
      <c r="P54" s="21">
        <f>$E54*'Allocation - Allo%'!P30</f>
        <v>0</v>
      </c>
      <c r="Q54" s="21">
        <f>$E54*'Allocation - Allo%'!Q30</f>
        <v>1.1012208705060467E-2</v>
      </c>
      <c r="R54" s="21">
        <f>$E54*'Allocation - Allo%'!R30</f>
        <v>0</v>
      </c>
    </row>
    <row r="55" spans="1:18">
      <c r="A55" s="69"/>
      <c r="B55" s="13" t="s">
        <v>243</v>
      </c>
      <c r="C55" s="9" t="s">
        <v>112</v>
      </c>
      <c r="E55" s="21">
        <f>'Classification - Rate Base'!$X$41</f>
        <v>13.954857364224456</v>
      </c>
      <c r="F55" s="21">
        <f>$E55*'Allocation - Allo%'!F31</f>
        <v>2.7909714728448911</v>
      </c>
      <c r="G55" s="21">
        <f>$E55*'Allocation - Allo%'!G31</f>
        <v>11.163885891379564</v>
      </c>
      <c r="H55" s="21">
        <f>$E55*'Allocation - Allo%'!H31</f>
        <v>0</v>
      </c>
      <c r="I55" s="21">
        <f>$E55*'Allocation - Allo%'!I31</f>
        <v>0</v>
      </c>
      <c r="J55" s="21">
        <f>$E55*'Allocation - Allo%'!J31</f>
        <v>0</v>
      </c>
      <c r="K55" s="21">
        <f>$E55*'Allocation - Allo%'!K31</f>
        <v>0</v>
      </c>
      <c r="L55" s="21">
        <f>$E55*'Allocation - Allo%'!L31</f>
        <v>0</v>
      </c>
      <c r="M55" s="21">
        <f>$E55*'Allocation - Allo%'!M31</f>
        <v>0</v>
      </c>
      <c r="N55" s="21">
        <f>$E55*'Allocation - Allo%'!N31</f>
        <v>0</v>
      </c>
      <c r="O55" s="21">
        <f>$E55*'Allocation - Allo%'!O31</f>
        <v>0</v>
      </c>
      <c r="P55" s="21">
        <f>$E55*'Allocation - Allo%'!P31</f>
        <v>0</v>
      </c>
      <c r="Q55" s="21">
        <f>$E55*'Allocation - Allo%'!Q31</f>
        <v>0</v>
      </c>
      <c r="R55" s="21">
        <f>$E55*'Allocation - Allo%'!R31</f>
        <v>0</v>
      </c>
    </row>
    <row r="56" spans="1:18">
      <c r="A56" s="69"/>
      <c r="B56" s="13" t="s">
        <v>245</v>
      </c>
      <c r="C56" s="9" t="s">
        <v>418</v>
      </c>
      <c r="E56" s="21">
        <f>'Classification - Rate Base'!$Y$41</f>
        <v>0</v>
      </c>
      <c r="F56" s="21">
        <f>$E56*'Allocation - Allo%'!F33</f>
        <v>0</v>
      </c>
      <c r="G56" s="21">
        <f>$E56*'Allocation - Allo%'!G33</f>
        <v>0</v>
      </c>
      <c r="H56" s="21">
        <f>$E56*'Allocation - Allo%'!H33</f>
        <v>0</v>
      </c>
      <c r="I56" s="21">
        <f>$E56*'Allocation - Allo%'!I33</f>
        <v>0</v>
      </c>
      <c r="J56" s="21">
        <f>$E56*'Allocation - Allo%'!J33</f>
        <v>0</v>
      </c>
      <c r="K56" s="21">
        <f>$E56*'Allocation - Allo%'!K33</f>
        <v>0</v>
      </c>
      <c r="L56" s="21">
        <f>$E56*'Allocation - Allo%'!L33</f>
        <v>0</v>
      </c>
      <c r="M56" s="21">
        <f>$E56*'Allocation - Allo%'!M33</f>
        <v>0</v>
      </c>
      <c r="N56" s="21">
        <f>$E56*'Allocation - Allo%'!N33</f>
        <v>0</v>
      </c>
      <c r="O56" s="21">
        <f>$E56*'Allocation - Allo%'!O33</f>
        <v>0</v>
      </c>
      <c r="P56" s="21">
        <f>$E56*'Allocation - Allo%'!P33</f>
        <v>0</v>
      </c>
      <c r="Q56" s="21">
        <f>$E56*'Allocation - Allo%'!Q33</f>
        <v>0</v>
      </c>
      <c r="R56" s="21">
        <f>$E56*'Allocation - Allo%'!R33</f>
        <v>0</v>
      </c>
    </row>
    <row r="57" spans="1:18">
      <c r="A57" s="69"/>
      <c r="B57" s="13" t="s">
        <v>246</v>
      </c>
      <c r="C57" s="9" t="s">
        <v>293</v>
      </c>
      <c r="E57" s="21">
        <f>'Classification - Rate Base'!$Z$41</f>
        <v>0</v>
      </c>
      <c r="F57" s="21">
        <f>$E57*'Allocation - Allo%'!F34</f>
        <v>0</v>
      </c>
      <c r="G57" s="21">
        <f>$E57*'Allocation - Allo%'!G34</f>
        <v>0</v>
      </c>
      <c r="H57" s="21">
        <f>$E57*'Allocation - Allo%'!H34</f>
        <v>0</v>
      </c>
      <c r="I57" s="21">
        <f>$E57*'Allocation - Allo%'!I34</f>
        <v>0</v>
      </c>
      <c r="J57" s="21">
        <f>$E57*'Allocation - Allo%'!J34</f>
        <v>0</v>
      </c>
      <c r="K57" s="21">
        <f>$E57*'Allocation - Allo%'!K34</f>
        <v>0</v>
      </c>
      <c r="L57" s="21">
        <f>$E57*'Allocation - Allo%'!L34</f>
        <v>0</v>
      </c>
      <c r="M57" s="21">
        <f>$E57*'Allocation - Allo%'!M34</f>
        <v>0</v>
      </c>
      <c r="N57" s="21">
        <f>$E57*'Allocation - Allo%'!N34</f>
        <v>0</v>
      </c>
      <c r="O57" s="21">
        <f>$E57*'Allocation - Allo%'!O34</f>
        <v>0</v>
      </c>
      <c r="P57" s="21">
        <f>$E57*'Allocation - Allo%'!P34</f>
        <v>0</v>
      </c>
      <c r="Q57" s="21">
        <f>$E57*'Allocation - Allo%'!Q34</f>
        <v>0</v>
      </c>
      <c r="R57" s="21">
        <f>$E57*'Allocation - Allo%'!R34</f>
        <v>0</v>
      </c>
    </row>
    <row r="58" spans="1:18">
      <c r="A58" s="69"/>
      <c r="B58" s="13" t="s">
        <v>247</v>
      </c>
      <c r="C58" s="9" t="s">
        <v>294</v>
      </c>
      <c r="E58" s="21">
        <f>'Classification - Rate Base'!$AA$41</f>
        <v>0</v>
      </c>
      <c r="F58" s="21">
        <f>$E58*'Allocation - Allo%'!F39</f>
        <v>0</v>
      </c>
      <c r="G58" s="21">
        <f>$E58*'Allocation - Allo%'!G39</f>
        <v>0</v>
      </c>
      <c r="H58" s="21">
        <f>$E58*'Allocation - Allo%'!H39</f>
        <v>0</v>
      </c>
      <c r="I58" s="21">
        <f>$E58*'Allocation - Allo%'!I39</f>
        <v>0</v>
      </c>
      <c r="J58" s="21">
        <f>$E58*'Allocation - Allo%'!J39</f>
        <v>0</v>
      </c>
      <c r="K58" s="21">
        <f>$E58*'Allocation - Allo%'!K39</f>
        <v>0</v>
      </c>
      <c r="L58" s="21">
        <f>$E58*'Allocation - Allo%'!L39</f>
        <v>0</v>
      </c>
      <c r="M58" s="21">
        <f>$E58*'Allocation - Allo%'!M39</f>
        <v>0</v>
      </c>
      <c r="N58" s="21">
        <f>$E58*'Allocation - Allo%'!N39</f>
        <v>0</v>
      </c>
      <c r="O58" s="21">
        <f>$E58*'Allocation - Allo%'!O39</f>
        <v>0</v>
      </c>
      <c r="P58" s="21">
        <f>$E58*'Allocation - Allo%'!P39</f>
        <v>0</v>
      </c>
      <c r="Q58" s="21">
        <f>$E58*'Allocation - Allo%'!Q39</f>
        <v>0</v>
      </c>
      <c r="R58" s="21">
        <f>$E58*'Allocation - Allo%'!R39</f>
        <v>0</v>
      </c>
    </row>
    <row r="59" spans="1:18">
      <c r="A59" s="69"/>
      <c r="B59" s="13" t="s">
        <v>249</v>
      </c>
      <c r="C59" s="9" t="s">
        <v>419</v>
      </c>
      <c r="E59" s="21">
        <f>'Classification - Rate Base'!$AB$41</f>
        <v>43.91982551511753</v>
      </c>
      <c r="F59" s="21">
        <f>$E59*'Allocation - Allo%'!F32</f>
        <v>40.54058039146571</v>
      </c>
      <c r="G59" s="21">
        <f>$E59*'Allocation - Allo%'!G32</f>
        <v>3.3711574360262961</v>
      </c>
      <c r="H59" s="21">
        <f>$E59*'Allocation - Allo%'!H32</f>
        <v>0</v>
      </c>
      <c r="I59" s="21">
        <f>$E59*'Allocation - Allo%'!I32</f>
        <v>0</v>
      </c>
      <c r="J59" s="21">
        <f>$E59*'Allocation - Allo%'!J32</f>
        <v>5.3314358725440342E-3</v>
      </c>
      <c r="K59" s="21">
        <f>$E59*'Allocation - Allo%'!K32</f>
        <v>5.4320290022146769E-4</v>
      </c>
      <c r="L59" s="21">
        <f>$E59*'Allocation - Allo%'!L32</f>
        <v>8.0474503736513726E-5</v>
      </c>
      <c r="M59" s="21">
        <f>$E59*'Allocation - Allo%'!M32</f>
        <v>8.6510091516752254E-4</v>
      </c>
      <c r="N59" s="21">
        <f>$E59*'Allocation - Allo%'!N32</f>
        <v>7.2427053362862344E-4</v>
      </c>
      <c r="O59" s="21">
        <f>$E59*'Allocation - Allo%'!O32</f>
        <v>5.0296564835321082E-4</v>
      </c>
      <c r="P59" s="21">
        <f>$E59*'Allocation - Allo%'!P32</f>
        <v>2.0118625934128432E-5</v>
      </c>
      <c r="Q59" s="21">
        <f>$E59*'Allocation - Allo%'!Q32</f>
        <v>2.0118625934128432E-5</v>
      </c>
      <c r="R59" s="21">
        <f>$E59*'Allocation - Allo%'!R32</f>
        <v>0</v>
      </c>
    </row>
    <row r="60" spans="1:18">
      <c r="A60" s="69"/>
      <c r="B60" s="13" t="s">
        <v>420</v>
      </c>
      <c r="C60" s="9" t="s">
        <v>277</v>
      </c>
      <c r="E60" s="21">
        <f>'Classification - Rate Base'!$F$41</f>
        <v>1.8949538823844145</v>
      </c>
      <c r="F60" s="21">
        <f>'Allocation - Allo%'!F49+'Allocation - Allo%'!F50+(E60-'Allocation - Allo%'!E49-'Allocation - Allo%'!E50)*(1-0.0174)</f>
        <v>0.49553759845314793</v>
      </c>
      <c r="G60" s="21">
        <f>'Allocation - Allo%'!G49+'Allocation - Allo%'!G50+(E60-'Allocation - Allo%'!E49-'Allocation - Allo%'!E50)*(0.0174)</f>
        <v>1.3994162839312665</v>
      </c>
      <c r="H60" s="21">
        <f>'Allocation - Allo%'!H49+'Allocation - Allo%'!H50</f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</row>
    <row r="61" spans="1:18">
      <c r="A61" s="69"/>
      <c r="B61" s="13" t="s">
        <v>421</v>
      </c>
      <c r="C61" s="9" t="s">
        <v>295</v>
      </c>
      <c r="E61" s="21">
        <f>'Classification - Rate Base'!$AC$41</f>
        <v>0</v>
      </c>
      <c r="F61" s="21">
        <f>$E61*('Allocation - Allo%'!F35+'Allocation - Allo%'!F37)</f>
        <v>0</v>
      </c>
      <c r="G61" s="21">
        <f>$E61*('Allocation - Allo%'!G35+'Allocation - Allo%'!G37)</f>
        <v>0</v>
      </c>
      <c r="H61" s="21">
        <f>$E61*('Allocation - Allo%'!H35+'Allocation - Allo%'!H37)</f>
        <v>0</v>
      </c>
      <c r="I61" s="21">
        <f>$E61*('Allocation - Allo%'!I35+'Allocation - Allo%'!I37)</f>
        <v>0</v>
      </c>
      <c r="J61" s="21">
        <f>$E61*('Allocation - Allo%'!J35+'Allocation - Allo%'!J37)</f>
        <v>0</v>
      </c>
      <c r="K61" s="21">
        <f>$E61*('Allocation - Allo%'!K35+'Allocation - Allo%'!K37)</f>
        <v>0</v>
      </c>
      <c r="L61" s="21">
        <f>$E61*('Allocation - Allo%'!L35+'Allocation - Allo%'!L37)</f>
        <v>0</v>
      </c>
      <c r="M61" s="21">
        <f>$E61*('Allocation - Allo%'!M35+'Allocation - Allo%'!M37)</f>
        <v>0</v>
      </c>
      <c r="N61" s="21">
        <f>$E61*('Allocation - Allo%'!N35+'Allocation - Allo%'!N37)</f>
        <v>0</v>
      </c>
      <c r="O61" s="21">
        <f>$E61*('Allocation - Allo%'!O35+'Allocation - Allo%'!O37)</f>
        <v>0</v>
      </c>
      <c r="P61" s="21">
        <f>$E61*('Allocation - Allo%'!P35+'Allocation - Allo%'!P37)</f>
        <v>0</v>
      </c>
      <c r="Q61" s="21">
        <f>$E61*('Allocation - Allo%'!Q35+'Allocation - Allo%'!Q37)</f>
        <v>0</v>
      </c>
      <c r="R61" s="21">
        <f>$E61*('Allocation - Allo%'!R35+'Allocation - Allo%'!R37)</f>
        <v>0</v>
      </c>
    </row>
    <row r="62" spans="1:18">
      <c r="A62" s="69"/>
      <c r="B62" s="13" t="s">
        <v>422</v>
      </c>
      <c r="C62" s="9" t="s">
        <v>91</v>
      </c>
      <c r="E62" s="21">
        <f>'Classification - Rate Base'!$AE$41</f>
        <v>-29.42</v>
      </c>
      <c r="F62" s="21">
        <f>$E62*'Allocation - Allo%'!F10</f>
        <v>-16.994403845657608</v>
      </c>
      <c r="G62" s="21">
        <f>$E62*'Allocation - Allo%'!G10</f>
        <v>-11.560861241093193</v>
      </c>
      <c r="H62" s="21">
        <f>$E62*'Allocation - Allo%'!H10</f>
        <v>0</v>
      </c>
      <c r="I62" s="21">
        <f>$E62*'Allocation - Allo%'!I10</f>
        <v>0</v>
      </c>
      <c r="J62" s="21">
        <f>$E62*'Allocation - Allo%'!J10</f>
        <v>-0.20860463321478948</v>
      </c>
      <c r="K62" s="21">
        <f>$E62*'Allocation - Allo%'!K10</f>
        <v>0</v>
      </c>
      <c r="L62" s="21">
        <f>$E62*'Allocation - Allo%'!L10</f>
        <v>0</v>
      </c>
      <c r="M62" s="21">
        <f>$E62*'Allocation - Allo%'!M10</f>
        <v>-1.656859623375409E-2</v>
      </c>
      <c r="N62" s="21">
        <f>$E62*'Allocation - Allo%'!N10</f>
        <v>-3.1760263228379812E-2</v>
      </c>
      <c r="O62" s="21">
        <f>$E62*'Allocation - Allo%'!O10</f>
        <v>-0.12768828118266379</v>
      </c>
      <c r="P62" s="21">
        <f>$E62*'Allocation - Allo%'!P10</f>
        <v>-0.48011313938961558</v>
      </c>
      <c r="Q62" s="21">
        <f>$E62*'Allocation - Allo%'!Q10</f>
        <v>0</v>
      </c>
      <c r="R62" s="21">
        <f>$E62*'Allocation - Allo%'!R10</f>
        <v>0</v>
      </c>
    </row>
    <row r="63" spans="1:18">
      <c r="A63" s="69"/>
      <c r="B63" s="13"/>
      <c r="C63" s="11"/>
      <c r="D63" s="11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</row>
    <row r="64" spans="1:18">
      <c r="B64" s="13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spans="2:18" ht="13">
      <c r="B65" s="13" t="s">
        <v>68</v>
      </c>
      <c r="C65" s="48" t="s">
        <v>423</v>
      </c>
      <c r="E65" s="21">
        <f>SUM(E52:E63)</f>
        <v>2247.3699329900087</v>
      </c>
      <c r="F65" s="21">
        <f t="shared" ref="F65:R65" si="4">SUM(F52:F62)</f>
        <v>1782.9054618699477</v>
      </c>
      <c r="G65" s="21">
        <f t="shared" si="4"/>
        <v>441.94983443608646</v>
      </c>
      <c r="H65" s="21">
        <f t="shared" si="4"/>
        <v>0</v>
      </c>
      <c r="I65" s="21">
        <f t="shared" si="4"/>
        <v>4.8548256792162444E-9</v>
      </c>
      <c r="J65" s="21">
        <f t="shared" si="4"/>
        <v>10.788077964802394</v>
      </c>
      <c r="K65" s="21">
        <f t="shared" si="4"/>
        <v>1.7338970397967901</v>
      </c>
      <c r="L65" s="21">
        <f t="shared" si="4"/>
        <v>1.1716939950545149</v>
      </c>
      <c r="M65" s="21">
        <f t="shared" si="4"/>
        <v>3.0821915384980003</v>
      </c>
      <c r="N65" s="21">
        <f t="shared" si="4"/>
        <v>2.6376600970582653</v>
      </c>
      <c r="O65" s="21">
        <f t="shared" si="4"/>
        <v>3.4463879081592181</v>
      </c>
      <c r="P65" s="21">
        <f t="shared" si="4"/>
        <v>-0.48009302076368143</v>
      </c>
      <c r="Q65" s="21">
        <f t="shared" si="4"/>
        <v>0.13482115651438917</v>
      </c>
      <c r="R65" s="21">
        <f t="shared" si="4"/>
        <v>0</v>
      </c>
    </row>
    <row r="66" spans="2:18">
      <c r="B66" s="13"/>
      <c r="C66" s="11"/>
      <c r="D66" s="11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spans="2:18">
      <c r="B67" s="13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spans="2:18">
      <c r="B68" s="13" t="s">
        <v>99</v>
      </c>
      <c r="C68" s="9" t="s">
        <v>104</v>
      </c>
      <c r="E68" s="25">
        <f t="shared" ref="E68:R68" si="5">E65+E48+E37+E27+E17</f>
        <v>5657.9376490410978</v>
      </c>
      <c r="F68" s="25">
        <f t="shared" si="5"/>
        <v>3836.6313087717558</v>
      </c>
      <c r="G68" s="25">
        <f t="shared" si="5"/>
        <v>1636.861051580069</v>
      </c>
      <c r="H68" s="25">
        <f t="shared" si="5"/>
        <v>0</v>
      </c>
      <c r="I68" s="25">
        <f t="shared" si="5"/>
        <v>4.8548256792162444E-9</v>
      </c>
      <c r="J68" s="25">
        <f t="shared" si="5"/>
        <v>70.161055839069093</v>
      </c>
      <c r="K68" s="25">
        <f t="shared" si="5"/>
        <v>25.743630264322594</v>
      </c>
      <c r="L68" s="25">
        <f t="shared" si="5"/>
        <v>56.36982478078945</v>
      </c>
      <c r="M68" s="25">
        <f t="shared" si="5"/>
        <v>3.2234471687938</v>
      </c>
      <c r="N68" s="25">
        <f t="shared" si="5"/>
        <v>5.7701856522049013</v>
      </c>
      <c r="O68" s="25">
        <f t="shared" si="5"/>
        <v>8.0876447358377863</v>
      </c>
      <c r="P68" s="25">
        <f t="shared" si="5"/>
        <v>14.640941661111686</v>
      </c>
      <c r="Q68" s="25">
        <f t="shared" si="5"/>
        <v>0.44855858228769896</v>
      </c>
      <c r="R68" s="25">
        <f t="shared" si="5"/>
        <v>0</v>
      </c>
    </row>
    <row r="69" spans="2:18"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</row>
    <row r="70" spans="2:18">
      <c r="B70" s="13" t="s">
        <v>78</v>
      </c>
      <c r="C70" s="9" t="s">
        <v>29</v>
      </c>
      <c r="E70" s="21">
        <f>'Classification - Rate Base'!$AD$41</f>
        <v>7</v>
      </c>
      <c r="F70" s="21">
        <f>$E70*'Allocation - Allo%'!F32</f>
        <v>6.4614114334898574</v>
      </c>
      <c r="G70" s="21">
        <f>$E70*'Allocation - Allo%'!G32</f>
        <v>0.53729954013732206</v>
      </c>
      <c r="H70" s="21">
        <f>$E70*'Allocation - Allo%'!H32</f>
        <v>0</v>
      </c>
      <c r="I70" s="21">
        <f>$E70*'Allocation - Allo%'!I32</f>
        <v>0</v>
      </c>
      <c r="J70" s="21">
        <f>$E70*'Allocation - Allo%'!J32</f>
        <v>8.4973131541614161E-4</v>
      </c>
      <c r="K70" s="21">
        <f>$E70*'Allocation - Allo%'!K32</f>
        <v>8.6576398174474802E-5</v>
      </c>
      <c r="L70" s="21">
        <f>$E70*'Allocation - Allo%'!L32</f>
        <v>1.2826133062885157E-5</v>
      </c>
      <c r="M70" s="21">
        <f>$E70*'Allocation - Allo%'!M32</f>
        <v>1.3788093042601542E-4</v>
      </c>
      <c r="N70" s="21">
        <f>$E70*'Allocation - Allo%'!N32</f>
        <v>1.154351975659664E-4</v>
      </c>
      <c r="O70" s="21">
        <f>$E70*'Allocation - Allo%'!O32</f>
        <v>8.0163331643032235E-5</v>
      </c>
      <c r="P70" s="21">
        <f>$E70*'Allocation - Allo%'!P32</f>
        <v>3.2065332657212892E-6</v>
      </c>
      <c r="Q70" s="21">
        <f>$E70*'Allocation - Allo%'!Q32</f>
        <v>3.2065332657212892E-6</v>
      </c>
      <c r="R70" s="21">
        <f>$E70*'Allocation - Allo%'!R32</f>
        <v>0</v>
      </c>
    </row>
    <row r="71" spans="2:18">
      <c r="B71" s="13"/>
      <c r="C71" s="11"/>
      <c r="D71" s="11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</row>
    <row r="72" spans="2:18">
      <c r="B72" s="13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</row>
    <row r="73" spans="2:18">
      <c r="B73" s="13" t="s">
        <v>80</v>
      </c>
      <c r="C73" s="9" t="s">
        <v>424</v>
      </c>
      <c r="E73" s="25">
        <f t="shared" ref="E73:R73" si="6">E70+E68</f>
        <v>5664.9376490410978</v>
      </c>
      <c r="F73" s="21">
        <f t="shared" si="6"/>
        <v>3843.0927202052458</v>
      </c>
      <c r="G73" s="21">
        <f t="shared" si="6"/>
        <v>1637.3983511202064</v>
      </c>
      <c r="H73" s="21">
        <f t="shared" si="6"/>
        <v>0</v>
      </c>
      <c r="I73" s="21">
        <f t="shared" si="6"/>
        <v>4.8548256792162444E-9</v>
      </c>
      <c r="J73" s="21">
        <f t="shared" si="6"/>
        <v>70.161905570384505</v>
      </c>
      <c r="K73" s="21">
        <f t="shared" si="6"/>
        <v>25.743716840720769</v>
      </c>
      <c r="L73" s="21">
        <f t="shared" si="6"/>
        <v>56.369837606922516</v>
      </c>
      <c r="M73" s="21">
        <f t="shared" si="6"/>
        <v>3.223585049724226</v>
      </c>
      <c r="N73" s="21">
        <f t="shared" si="6"/>
        <v>5.7703010874024674</v>
      </c>
      <c r="O73" s="21">
        <f t="shared" si="6"/>
        <v>8.0877248991694302</v>
      </c>
      <c r="P73" s="21">
        <f t="shared" si="6"/>
        <v>14.640944867644953</v>
      </c>
      <c r="Q73" s="21">
        <f t="shared" si="6"/>
        <v>0.4485617888209647</v>
      </c>
      <c r="R73" s="21">
        <f t="shared" si="6"/>
        <v>0</v>
      </c>
    </row>
    <row r="74" spans="2:18" ht="13" thickBot="1">
      <c r="B74" s="26"/>
      <c r="C74" s="26"/>
      <c r="D74" s="26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</row>
    <row r="75" spans="2:18" ht="13" thickTop="1"/>
    <row r="80" spans="2:18">
      <c r="C80" s="47"/>
      <c r="D80" s="47"/>
      <c r="E80" s="47"/>
    </row>
    <row r="81" spans="3:5">
      <c r="C81" s="47"/>
      <c r="D81" s="47"/>
      <c r="E81" s="47"/>
    </row>
    <row r="82" spans="3:5">
      <c r="C82" s="47"/>
      <c r="D82" s="47"/>
      <c r="E82" s="47"/>
    </row>
    <row r="83" spans="3:5">
      <c r="C83" s="47"/>
      <c r="D83" s="47"/>
      <c r="E83" s="47"/>
    </row>
    <row r="84" spans="3:5">
      <c r="C84" s="47"/>
      <c r="D84" s="47"/>
      <c r="E84" s="47"/>
    </row>
  </sheetData>
  <mergeCells count="4">
    <mergeCell ref="B1:S1"/>
    <mergeCell ref="B2:S2"/>
    <mergeCell ref="B3:S3"/>
    <mergeCell ref="B4:S4"/>
  </mergeCells>
  <pageMargins left="0.7" right="0.7" top="0.75" bottom="0.75" header="0.3" footer="0.3"/>
  <pageSetup scale="61" orientation="portrait" r:id="rId1"/>
  <headerFooter>
    <oddHeader>&amp;R&amp;"Arial,Regular"&amp;10Filed: 2023-03-08
EB-2022-0200
Exhibit I.7.1-VECC-62
Attachment 1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30A1A-8232-44A4-BF6E-ADCF6346418C}">
  <sheetPr>
    <tabColor theme="5" tint="0.59999389629810485"/>
  </sheetPr>
  <dimension ref="B1:W83"/>
  <sheetViews>
    <sheetView zoomScale="96" zoomScaleNormal="96" workbookViewId="0"/>
  </sheetViews>
  <sheetFormatPr defaultColWidth="9.1796875" defaultRowHeight="12.5"/>
  <cols>
    <col min="1" max="1" width="9.1796875" style="9"/>
    <col min="2" max="2" width="4.54296875" style="9" bestFit="1" customWidth="1"/>
    <col min="3" max="3" width="27.81640625" style="9" bestFit="1" customWidth="1"/>
    <col min="4" max="4" width="0.1796875" style="9" customWidth="1"/>
    <col min="5" max="5" width="9.453125" style="10" bestFit="1" customWidth="1"/>
    <col min="6" max="6" width="13.26953125" style="10" bestFit="1" customWidth="1"/>
    <col min="7" max="8" width="7.1796875" style="10" bestFit="1" customWidth="1"/>
    <col min="9" max="9" width="6.1796875" style="10" bestFit="1" customWidth="1"/>
    <col min="10" max="18" width="8.26953125" style="10" bestFit="1" customWidth="1"/>
    <col min="19" max="19" width="10.7265625" style="10" bestFit="1" customWidth="1"/>
    <col min="20" max="20" width="7.1796875" style="9" bestFit="1" customWidth="1"/>
    <col min="21" max="16384" width="9.1796875" style="9"/>
  </cols>
  <sheetData>
    <row r="1" spans="2:23">
      <c r="B1" s="90" t="s">
        <v>425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2" spans="2:23">
      <c r="B2" s="90" t="str">
        <f>'Allocation - Factors'!B2</f>
        <v>Year Ended December 31, 2018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2:23">
      <c r="B3" s="91" t="s">
        <v>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13"/>
      <c r="V3" s="13"/>
      <c r="W3" s="13"/>
    </row>
    <row r="4" spans="2:23">
      <c r="B4" s="90" t="s">
        <v>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</row>
    <row r="6" spans="2:23"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0" t="s">
        <v>16</v>
      </c>
      <c r="R6" s="10" t="s">
        <v>89</v>
      </c>
      <c r="S6" s="10" t="s">
        <v>102</v>
      </c>
    </row>
    <row r="8" spans="2:23">
      <c r="D8" s="11"/>
      <c r="E8" s="12" t="s">
        <v>384</v>
      </c>
      <c r="F8" s="12" t="s">
        <v>426</v>
      </c>
      <c r="G8" s="12" t="s">
        <v>351</v>
      </c>
      <c r="H8" s="12" t="s">
        <v>352</v>
      </c>
      <c r="I8" s="12" t="s">
        <v>353</v>
      </c>
      <c r="J8" s="12" t="s">
        <v>354</v>
      </c>
      <c r="K8" s="12" t="s">
        <v>355</v>
      </c>
      <c r="L8" s="12" t="s">
        <v>356</v>
      </c>
      <c r="M8" s="12" t="s">
        <v>357</v>
      </c>
      <c r="N8" s="12" t="s">
        <v>358</v>
      </c>
      <c r="O8" s="12" t="s">
        <v>359</v>
      </c>
      <c r="P8" s="12" t="s">
        <v>360</v>
      </c>
      <c r="Q8" s="12" t="s">
        <v>361</v>
      </c>
      <c r="R8" s="12" t="s">
        <v>399</v>
      </c>
      <c r="S8" s="12" t="s">
        <v>400</v>
      </c>
    </row>
    <row r="10" spans="2:23">
      <c r="C10" s="9" t="s">
        <v>401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2:23"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2:23" ht="13">
      <c r="C12" s="48" t="s">
        <v>402</v>
      </c>
      <c r="G12" s="21"/>
      <c r="H12" s="21"/>
      <c r="I12" s="21"/>
      <c r="J12" s="21"/>
      <c r="K12" s="21"/>
      <c r="L12" s="21"/>
      <c r="M12" s="21"/>
      <c r="N12" s="21"/>
      <c r="P12" s="21"/>
      <c r="Q12" s="21"/>
      <c r="R12" s="21"/>
      <c r="S12" s="21"/>
    </row>
    <row r="13" spans="2:23">
      <c r="E13" s="21"/>
      <c r="F13" s="21"/>
      <c r="G13" s="21"/>
      <c r="H13" s="21"/>
      <c r="I13" s="21"/>
      <c r="J13" s="21"/>
      <c r="K13" s="21"/>
      <c r="L13" s="21"/>
      <c r="M13" s="21"/>
      <c r="N13" s="21"/>
      <c r="P13" s="21"/>
      <c r="Q13" s="21"/>
      <c r="R13" s="21"/>
      <c r="S13" s="21"/>
    </row>
    <row r="14" spans="2:23">
      <c r="B14" s="13" t="s">
        <v>108</v>
      </c>
      <c r="C14" s="9" t="s">
        <v>279</v>
      </c>
      <c r="E14" s="21">
        <f>'Classification - Rate Base'!$H$41</f>
        <v>27.584419507442309</v>
      </c>
      <c r="F14" s="21">
        <v>1.9401887308793702</v>
      </c>
      <c r="G14" s="21">
        <f>$F14*'Allocation - Allo%'!F10</f>
        <v>1.1207461192847696</v>
      </c>
      <c r="H14" s="21">
        <f>$F14*'Allocation - Allo%'!G10</f>
        <v>0.76241511554143782</v>
      </c>
      <c r="I14" s="21">
        <f>$F14*'Allocation - Allo%'!H10</f>
        <v>0</v>
      </c>
      <c r="J14" s="21">
        <f>$F14*'Allocation - Allo%'!I10</f>
        <v>0</v>
      </c>
      <c r="K14" s="21">
        <f>$F14*'Allocation - Allo%'!J10</f>
        <v>1.3757048217965973E-2</v>
      </c>
      <c r="L14" s="21">
        <f>$F14*'Allocation - Allo%'!K10</f>
        <v>0</v>
      </c>
      <c r="M14" s="21">
        <f>$F14*'Allocation - Allo%'!L10</f>
        <v>0</v>
      </c>
      <c r="N14" s="21">
        <f>$F14*'Allocation - Allo%'!M10</f>
        <v>1.0926649795791998E-3</v>
      </c>
      <c r="O14" s="21">
        <f>$F14*'Allocation - Allo%'!N10</f>
        <v>2.0945242965827652E-3</v>
      </c>
      <c r="P14" s="21">
        <f>$F14*'Allocation - Allo%'!O10</f>
        <v>8.4207805647845205E-3</v>
      </c>
      <c r="Q14" s="21">
        <f>$F14*'Allocation - Allo%'!P10</f>
        <v>3.1662477994250454E-2</v>
      </c>
      <c r="R14" s="21">
        <f>$F14*'Allocation - Allo%'!Q10</f>
        <v>0</v>
      </c>
      <c r="S14" s="21">
        <f>$F14*'Allocation - Allo%'!R10</f>
        <v>0</v>
      </c>
    </row>
    <row r="15" spans="2:23">
      <c r="B15" s="13" t="s">
        <v>109</v>
      </c>
      <c r="C15" s="11" t="s">
        <v>278</v>
      </c>
      <c r="D15" s="11"/>
      <c r="E15" s="22">
        <f>'Classification - Rate Base'!$G$41</f>
        <v>0</v>
      </c>
      <c r="F15" s="22">
        <v>0</v>
      </c>
      <c r="G15" s="22">
        <f>$F15*'Allocation - Allo%'!F46</f>
        <v>0</v>
      </c>
      <c r="H15" s="22">
        <f>$F15*'Allocation - Allo%'!G46</f>
        <v>0</v>
      </c>
      <c r="I15" s="22">
        <f>$F15*'Allocation - Allo%'!H46</f>
        <v>0</v>
      </c>
      <c r="J15" s="22">
        <f>$F15*'Allocation - Allo%'!I46</f>
        <v>0</v>
      </c>
      <c r="K15" s="22">
        <f>$F15*'Allocation - Allo%'!J46</f>
        <v>0</v>
      </c>
      <c r="L15" s="22">
        <f>$F15*'Allocation - Allo%'!K46</f>
        <v>0</v>
      </c>
      <c r="M15" s="22">
        <f>$F15*'Allocation - Allo%'!L46</f>
        <v>0</v>
      </c>
      <c r="N15" s="22">
        <f>$F15*'Allocation - Allo%'!M46</f>
        <v>0</v>
      </c>
      <c r="O15" s="22">
        <f>$F15*'Allocation - Allo%'!N46</f>
        <v>0</v>
      </c>
      <c r="P15" s="22">
        <f>$F15*'Allocation - Allo%'!O46</f>
        <v>0</v>
      </c>
      <c r="Q15" s="22">
        <f>$F15*'Allocation - Allo%'!P46</f>
        <v>0</v>
      </c>
      <c r="R15" s="22">
        <f>$F15*'Allocation - Allo%'!Q46</f>
        <v>0</v>
      </c>
      <c r="S15" s="22">
        <f>$F15*'Allocation - Allo%'!R46</f>
        <v>0</v>
      </c>
    </row>
    <row r="16" spans="2:23">
      <c r="B16" s="13"/>
      <c r="E16" s="21"/>
      <c r="F16" s="21"/>
      <c r="G16" s="21"/>
      <c r="H16" s="21"/>
      <c r="I16" s="21"/>
      <c r="M16" s="21"/>
      <c r="N16" s="21"/>
      <c r="O16" s="21"/>
      <c r="P16" s="21"/>
      <c r="Q16" s="21"/>
      <c r="R16" s="21"/>
      <c r="S16" s="21"/>
    </row>
    <row r="17" spans="2:19" ht="13">
      <c r="B17" s="13" t="s">
        <v>30</v>
      </c>
      <c r="C17" s="48" t="s">
        <v>403</v>
      </c>
      <c r="E17" s="21">
        <f t="shared" ref="E17:S17" si="0">SUM(E14:E15)</f>
        <v>27.584419507442309</v>
      </c>
      <c r="F17" s="21">
        <f t="shared" si="0"/>
        <v>1.9401887308793702</v>
      </c>
      <c r="G17" s="21">
        <f t="shared" si="0"/>
        <v>1.1207461192847696</v>
      </c>
      <c r="H17" s="21">
        <f t="shared" si="0"/>
        <v>0.76241511554143782</v>
      </c>
      <c r="I17" s="21">
        <f t="shared" si="0"/>
        <v>0</v>
      </c>
      <c r="J17" s="21">
        <f t="shared" si="0"/>
        <v>0</v>
      </c>
      <c r="K17" s="21">
        <f t="shared" si="0"/>
        <v>1.3757048217965973E-2</v>
      </c>
      <c r="L17" s="21">
        <f t="shared" si="0"/>
        <v>0</v>
      </c>
      <c r="M17" s="21">
        <f t="shared" si="0"/>
        <v>0</v>
      </c>
      <c r="N17" s="21">
        <f t="shared" si="0"/>
        <v>1.0926649795791998E-3</v>
      </c>
      <c r="O17" s="21">
        <f t="shared" si="0"/>
        <v>2.0945242965827652E-3</v>
      </c>
      <c r="P17" s="21">
        <f t="shared" si="0"/>
        <v>8.4207805647845205E-3</v>
      </c>
      <c r="Q17" s="21">
        <f t="shared" si="0"/>
        <v>3.1662477994250454E-2</v>
      </c>
      <c r="R17" s="21">
        <f t="shared" si="0"/>
        <v>0</v>
      </c>
      <c r="S17" s="21">
        <f t="shared" si="0"/>
        <v>0</v>
      </c>
    </row>
    <row r="18" spans="2:19">
      <c r="B18" s="13"/>
      <c r="E18" s="21"/>
      <c r="F18" s="21"/>
      <c r="G18" s="21"/>
      <c r="H18" s="21"/>
      <c r="I18" s="21"/>
      <c r="M18" s="21"/>
      <c r="N18" s="21"/>
      <c r="O18" s="21"/>
      <c r="P18" s="21"/>
      <c r="Q18" s="21"/>
      <c r="R18" s="21"/>
      <c r="S18" s="21"/>
    </row>
    <row r="19" spans="2:19" ht="13">
      <c r="B19" s="13"/>
      <c r="C19" s="48" t="s">
        <v>404</v>
      </c>
      <c r="E19" s="21"/>
      <c r="F19" s="21"/>
      <c r="G19" s="21"/>
      <c r="H19" s="21"/>
      <c r="I19" s="21"/>
      <c r="M19" s="21"/>
      <c r="N19" s="21"/>
      <c r="O19" s="21"/>
      <c r="P19" s="21"/>
      <c r="Q19" s="21"/>
      <c r="R19" s="21"/>
      <c r="S19" s="21"/>
    </row>
    <row r="20" spans="2:19" ht="13">
      <c r="B20" s="13"/>
      <c r="C20" s="48"/>
      <c r="E20" s="21"/>
      <c r="F20" s="21"/>
      <c r="G20" s="21"/>
      <c r="H20" s="21"/>
      <c r="I20" s="21"/>
      <c r="M20" s="21"/>
      <c r="N20" s="21"/>
      <c r="O20" s="21"/>
      <c r="P20" s="21"/>
      <c r="Q20" s="21"/>
      <c r="R20" s="21"/>
      <c r="S20" s="21"/>
    </row>
    <row r="21" spans="2:19">
      <c r="B21" s="13" t="s">
        <v>32</v>
      </c>
      <c r="C21" s="9" t="s">
        <v>280</v>
      </c>
      <c r="E21" s="21">
        <f>'Classification - Rate Base'!$I$41</f>
        <v>0</v>
      </c>
      <c r="F21" s="21">
        <v>0</v>
      </c>
      <c r="G21" s="21">
        <f>$F21*'Allocation - Allo%'!F13</f>
        <v>0</v>
      </c>
      <c r="H21" s="21">
        <f>$F21*'Allocation - Allo%'!G13</f>
        <v>0</v>
      </c>
      <c r="I21" s="21">
        <f>$F21*'Allocation - Allo%'!H13</f>
        <v>0</v>
      </c>
      <c r="J21" s="21">
        <f>$F21*'Allocation - Allo%'!I13</f>
        <v>0</v>
      </c>
      <c r="K21" s="21">
        <f>$F21*'Allocation - Allo%'!J13</f>
        <v>0</v>
      </c>
      <c r="L21" s="21">
        <f>$F21*'Allocation - Allo%'!K13</f>
        <v>0</v>
      </c>
      <c r="M21" s="21">
        <f>$F21*'Allocation - Allo%'!L13</f>
        <v>0</v>
      </c>
      <c r="N21" s="21">
        <f>$F21*'Allocation - Allo%'!M13</f>
        <v>0</v>
      </c>
      <c r="O21" s="21">
        <f>$F21*'Allocation - Allo%'!N13</f>
        <v>0</v>
      </c>
      <c r="P21" s="21">
        <f>$F21*'Allocation - Allo%'!O13</f>
        <v>0</v>
      </c>
      <c r="Q21" s="21">
        <f>$F21*'Allocation - Allo%'!P13</f>
        <v>0</v>
      </c>
      <c r="R21" s="21">
        <f>$F21*'Allocation - Allo%'!Q13</f>
        <v>0</v>
      </c>
      <c r="S21" s="21">
        <f>$F21*'Allocation - Allo%'!R13</f>
        <v>0</v>
      </c>
    </row>
    <row r="22" spans="2:19">
      <c r="B22" s="13" t="s">
        <v>34</v>
      </c>
      <c r="C22" s="9" t="s">
        <v>281</v>
      </c>
      <c r="E22" s="21">
        <f>'Classification - Rate Base'!$J$41</f>
        <v>374.94492962504853</v>
      </c>
      <c r="F22" s="21">
        <v>26.372276094576034</v>
      </c>
      <c r="G22" s="21">
        <f>$F22*'Allocation - Allo%'!F25</f>
        <v>12.832221327890528</v>
      </c>
      <c r="H22" s="21">
        <f>$F22*'Allocation - Allo%'!G25</f>
        <v>12.311676249696131</v>
      </c>
      <c r="I22" s="21">
        <f>$F22*'Allocation - Allo%'!H25</f>
        <v>0</v>
      </c>
      <c r="J22" s="21">
        <f>$F22*'Allocation - Allo%'!I25</f>
        <v>0</v>
      </c>
      <c r="K22" s="21">
        <f>$F22*'Allocation - Allo%'!J25</f>
        <v>0.46058173918079032</v>
      </c>
      <c r="L22" s="21">
        <f>$F22*'Allocation - Allo%'!K25</f>
        <v>0.11249654264700626</v>
      </c>
      <c r="M22" s="21">
        <f>$F22*'Allocation - Allo%'!L25</f>
        <v>0</v>
      </c>
      <c r="N22" s="21">
        <f>$F22*'Allocation - Allo%'!M25</f>
        <v>0</v>
      </c>
      <c r="O22" s="21">
        <f>$F22*'Allocation - Allo%'!N25</f>
        <v>6.5784705327542062E-2</v>
      </c>
      <c r="P22" s="21">
        <f>$F22*'Allocation - Allo%'!O25</f>
        <v>0.16781292990954735</v>
      </c>
      <c r="Q22" s="21">
        <f>$F22*'Allocation - Allo%'!P25</f>
        <v>0.42170259992449405</v>
      </c>
      <c r="R22" s="21">
        <f>$F22*'Allocation - Allo%'!Q25</f>
        <v>0</v>
      </c>
      <c r="S22" s="21">
        <f>$F22*'Allocation - Allo%'!R25</f>
        <v>0</v>
      </c>
    </row>
    <row r="23" spans="2:19">
      <c r="B23" s="13" t="s">
        <v>36</v>
      </c>
      <c r="C23" s="9" t="s">
        <v>282</v>
      </c>
      <c r="E23" s="21">
        <f>'Classification - Rate Base'!$K$41</f>
        <v>0</v>
      </c>
      <c r="F23" s="21">
        <v>0</v>
      </c>
      <c r="G23" s="21">
        <f>$F23*'Allocation - Allo%'!F11</f>
        <v>0</v>
      </c>
      <c r="H23" s="21">
        <f>$F23*'Allocation - Allo%'!G11</f>
        <v>0</v>
      </c>
      <c r="I23" s="21">
        <f>$F23*'Allocation - Allo%'!H11</f>
        <v>0</v>
      </c>
      <c r="J23" s="21">
        <f>$F23*'Allocation - Allo%'!I11</f>
        <v>0</v>
      </c>
      <c r="K23" s="21">
        <f>$F23*'Allocation - Allo%'!J11</f>
        <v>0</v>
      </c>
      <c r="L23" s="21">
        <f>$F23*'Allocation - Allo%'!K11</f>
        <v>0</v>
      </c>
      <c r="M23" s="21">
        <f>$F23*'Allocation - Allo%'!L11</f>
        <v>0</v>
      </c>
      <c r="N23" s="21">
        <f>$F23*'Allocation - Allo%'!M11</f>
        <v>0</v>
      </c>
      <c r="O23" s="21">
        <f>$F23*'Allocation - Allo%'!N11</f>
        <v>0</v>
      </c>
      <c r="P23" s="21">
        <f>$F23*'Allocation - Allo%'!O11</f>
        <v>0</v>
      </c>
      <c r="Q23" s="21">
        <f>$F23*'Allocation - Allo%'!P11</f>
        <v>0</v>
      </c>
      <c r="R23" s="21">
        <f>$F23*'Allocation - Allo%'!Q11</f>
        <v>0</v>
      </c>
      <c r="S23" s="21">
        <f>$F23*'Allocation - Allo%'!R11</f>
        <v>0</v>
      </c>
    </row>
    <row r="24" spans="2:19">
      <c r="B24" s="13" t="s">
        <v>37</v>
      </c>
      <c r="C24" s="9" t="s">
        <v>405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</row>
    <row r="25" spans="2:19">
      <c r="B25" s="13" t="s">
        <v>39</v>
      </c>
      <c r="C25" s="11" t="s">
        <v>406</v>
      </c>
      <c r="D25" s="11"/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</row>
    <row r="26" spans="2:19" ht="13">
      <c r="B26" s="13"/>
      <c r="C26" s="48"/>
      <c r="E26" s="21"/>
      <c r="F26" s="21"/>
      <c r="G26" s="21"/>
      <c r="H26" s="21"/>
      <c r="I26" s="21"/>
      <c r="M26" s="21"/>
      <c r="N26" s="21"/>
      <c r="O26" s="21"/>
      <c r="P26" s="21"/>
      <c r="Q26" s="21"/>
      <c r="R26" s="21"/>
      <c r="S26" s="21"/>
    </row>
    <row r="27" spans="2:19" ht="13">
      <c r="B27" s="13" t="s">
        <v>41</v>
      </c>
      <c r="C27" s="48" t="s">
        <v>407</v>
      </c>
      <c r="E27" s="21">
        <f t="shared" ref="E27:S27" si="1">SUM(E21:E25)</f>
        <v>374.94492962504853</v>
      </c>
      <c r="F27" s="21">
        <f t="shared" si="1"/>
        <v>26.372276094576034</v>
      </c>
      <c r="G27" s="21">
        <f t="shared" si="1"/>
        <v>12.832221327890528</v>
      </c>
      <c r="H27" s="21">
        <f t="shared" si="1"/>
        <v>12.311676249696131</v>
      </c>
      <c r="I27" s="21">
        <f t="shared" si="1"/>
        <v>0</v>
      </c>
      <c r="J27" s="21">
        <f t="shared" si="1"/>
        <v>0</v>
      </c>
      <c r="K27" s="21">
        <f t="shared" si="1"/>
        <v>0.46058173918079032</v>
      </c>
      <c r="L27" s="21">
        <f t="shared" si="1"/>
        <v>0.11249654264700626</v>
      </c>
      <c r="M27" s="21">
        <f t="shared" si="1"/>
        <v>0</v>
      </c>
      <c r="N27" s="21">
        <f t="shared" si="1"/>
        <v>0</v>
      </c>
      <c r="O27" s="21">
        <f t="shared" si="1"/>
        <v>6.5784705327542062E-2</v>
      </c>
      <c r="P27" s="21">
        <f t="shared" si="1"/>
        <v>0.16781292990954735</v>
      </c>
      <c r="Q27" s="21">
        <f t="shared" si="1"/>
        <v>0.42170259992449405</v>
      </c>
      <c r="R27" s="21">
        <f t="shared" si="1"/>
        <v>0</v>
      </c>
      <c r="S27" s="21">
        <f t="shared" si="1"/>
        <v>0</v>
      </c>
    </row>
    <row r="28" spans="2:19">
      <c r="B28" s="13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  <row r="29" spans="2:19">
      <c r="B29" s="13"/>
      <c r="C29" s="9" t="s">
        <v>408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2:19">
      <c r="B30" s="13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2:19" ht="13">
      <c r="B31" s="13"/>
      <c r="C31" s="48" t="s">
        <v>409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2:19">
      <c r="B32" s="13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2:19">
      <c r="B33" s="13" t="s">
        <v>44</v>
      </c>
      <c r="C33" s="9" t="s">
        <v>283</v>
      </c>
      <c r="E33" s="21">
        <f>'Classification - Rate Base'!$L$41</f>
        <v>4.8800239966815688</v>
      </c>
      <c r="F33" s="21">
        <v>0.34324331393770902</v>
      </c>
      <c r="G33" s="21">
        <f>$F33*'Allocation - Allo%'!F24</f>
        <v>0.1886398942207887</v>
      </c>
      <c r="H33" s="21">
        <f>$F33*'Allocation - Allo%'!G24</f>
        <v>0.15031829493905055</v>
      </c>
      <c r="I33" s="21">
        <f>$F33*'Allocation - Allo%'!H24</f>
        <v>0</v>
      </c>
      <c r="J33" s="21">
        <f>$F33*'Allocation - Allo%'!I24</f>
        <v>0</v>
      </c>
      <c r="K33" s="21">
        <f>$F33*'Allocation - Allo%'!J24</f>
        <v>7.9256724286295131E-4</v>
      </c>
      <c r="L33" s="21">
        <f>$F33*'Allocation - Allo%'!K24</f>
        <v>3.1431279858001518E-4</v>
      </c>
      <c r="M33" s="21">
        <f>$F33*'Allocation - Allo%'!L24</f>
        <v>0</v>
      </c>
      <c r="N33" s="21">
        <f>$F33*'Allocation - Allo%'!M24</f>
        <v>0</v>
      </c>
      <c r="O33" s="21">
        <f>$F33*'Allocation - Allo%'!N24</f>
        <v>0</v>
      </c>
      <c r="P33" s="21">
        <f>$F33*'Allocation - Allo%'!O24</f>
        <v>0</v>
      </c>
      <c r="Q33" s="21">
        <f>$F33*'Allocation - Allo%'!P24</f>
        <v>3.1782447364268719E-3</v>
      </c>
      <c r="R33" s="21">
        <f>$F33*'Allocation - Allo%'!Q24</f>
        <v>0</v>
      </c>
      <c r="S33" s="21">
        <f>$F33*'Allocation - Allo%'!R24</f>
        <v>0</v>
      </c>
    </row>
    <row r="34" spans="2:19">
      <c r="B34" s="13" t="s">
        <v>45</v>
      </c>
      <c r="C34" s="9" t="s">
        <v>284</v>
      </c>
      <c r="E34" s="21">
        <f>'Classification - Rate Base'!$M$41</f>
        <v>2.5297902032325781</v>
      </c>
      <c r="F34" s="21">
        <v>0.17793633259081715</v>
      </c>
      <c r="G34" s="21">
        <f>$F34*'Allocation - Allo%'!F25</f>
        <v>8.658025548838065E-2</v>
      </c>
      <c r="H34" s="21">
        <f>$F34*'Allocation - Allo%'!G25</f>
        <v>8.3068086806771801E-2</v>
      </c>
      <c r="I34" s="21">
        <f>$F34*'Allocation - Allo%'!H25</f>
        <v>0</v>
      </c>
      <c r="J34" s="21">
        <f>$F34*'Allocation - Allo%'!I25</f>
        <v>0</v>
      </c>
      <c r="K34" s="21">
        <f>$F34*'Allocation - Allo%'!J25</f>
        <v>3.1075901539262883E-3</v>
      </c>
      <c r="L34" s="21">
        <f>$F34*'Allocation - Allo%'!K25</f>
        <v>7.5902520343595513E-4</v>
      </c>
      <c r="M34" s="21">
        <f>$F34*'Allocation - Allo%'!L25</f>
        <v>0</v>
      </c>
      <c r="N34" s="21">
        <f>$F34*'Allocation - Allo%'!M25</f>
        <v>0</v>
      </c>
      <c r="O34" s="21">
        <f>$F34*'Allocation - Allo%'!N25</f>
        <v>4.438558569830036E-4</v>
      </c>
      <c r="P34" s="21">
        <f>$F34*'Allocation - Allo%'!O25</f>
        <v>1.1322502920241304E-3</v>
      </c>
      <c r="Q34" s="21">
        <f>$F34*'Allocation - Allo%'!P25</f>
        <v>2.8452687892953506E-3</v>
      </c>
      <c r="R34" s="21">
        <f>$F34*'Allocation - Allo%'!Q25</f>
        <v>0</v>
      </c>
      <c r="S34" s="21">
        <f>$F34*'Allocation - Allo%'!R25</f>
        <v>0</v>
      </c>
    </row>
    <row r="35" spans="2:19">
      <c r="B35" s="13" t="s">
        <v>46</v>
      </c>
      <c r="C35" s="11" t="s">
        <v>285</v>
      </c>
      <c r="D35" s="11"/>
      <c r="E35" s="22">
        <f>'Classification - Rate Base'!$N$41</f>
        <v>0</v>
      </c>
      <c r="F35" s="22">
        <v>0</v>
      </c>
      <c r="G35" s="22">
        <f>$F35*'Allocation - Allo%'!F46</f>
        <v>0</v>
      </c>
      <c r="H35" s="22">
        <f>$F35*'Allocation - Allo%'!G46</f>
        <v>0</v>
      </c>
      <c r="I35" s="22">
        <f>$F35*'Allocation - Allo%'!H46</f>
        <v>0</v>
      </c>
      <c r="J35" s="22">
        <f>$F35*'Allocation - Allo%'!I46</f>
        <v>0</v>
      </c>
      <c r="K35" s="22">
        <f>$F35*'Allocation - Allo%'!J46</f>
        <v>0</v>
      </c>
      <c r="L35" s="22">
        <f>$F35*'Allocation - Allo%'!K46</f>
        <v>0</v>
      </c>
      <c r="M35" s="22">
        <f>$F35*'Allocation - Allo%'!L46</f>
        <v>0</v>
      </c>
      <c r="N35" s="22">
        <f>$F35*'Allocation - Allo%'!M46</f>
        <v>0</v>
      </c>
      <c r="O35" s="22">
        <f>$F35*'Allocation - Allo%'!N46</f>
        <v>0</v>
      </c>
      <c r="P35" s="22">
        <f>$F35*'Allocation - Allo%'!O46</f>
        <v>0</v>
      </c>
      <c r="Q35" s="22">
        <f>$F35*'Allocation - Allo%'!P46</f>
        <v>0</v>
      </c>
      <c r="R35" s="22">
        <f>$F35*'Allocation - Allo%'!Q46</f>
        <v>0</v>
      </c>
      <c r="S35" s="22">
        <f>$F35*'Allocation - Allo%'!R46</f>
        <v>0</v>
      </c>
    </row>
    <row r="36" spans="2:19">
      <c r="B36" s="13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2:19" ht="13">
      <c r="B37" s="13" t="s">
        <v>64</v>
      </c>
      <c r="C37" s="48" t="s">
        <v>410</v>
      </c>
      <c r="E37" s="21">
        <f t="shared" ref="E37:S37" si="2">SUM(E33:E35)</f>
        <v>7.4098141999141465</v>
      </c>
      <c r="F37" s="21">
        <f t="shared" si="2"/>
        <v>0.52117964652852611</v>
      </c>
      <c r="G37" s="21">
        <f t="shared" si="2"/>
        <v>0.27522014970916936</v>
      </c>
      <c r="H37" s="21">
        <f t="shared" si="2"/>
        <v>0.23338638174582235</v>
      </c>
      <c r="I37" s="21">
        <f t="shared" si="2"/>
        <v>0</v>
      </c>
      <c r="J37" s="21">
        <f t="shared" si="2"/>
        <v>0</v>
      </c>
      <c r="K37" s="21">
        <f t="shared" si="2"/>
        <v>3.9001573967892395E-3</v>
      </c>
      <c r="L37" s="21">
        <f t="shared" si="2"/>
        <v>1.0733380020159704E-3</v>
      </c>
      <c r="M37" s="21">
        <f t="shared" si="2"/>
        <v>0</v>
      </c>
      <c r="N37" s="21">
        <f t="shared" si="2"/>
        <v>0</v>
      </c>
      <c r="O37" s="21">
        <f t="shared" si="2"/>
        <v>4.438558569830036E-4</v>
      </c>
      <c r="P37" s="21">
        <f t="shared" si="2"/>
        <v>1.1322502920241304E-3</v>
      </c>
      <c r="Q37" s="21">
        <f t="shared" si="2"/>
        <v>6.0235135257222221E-3</v>
      </c>
      <c r="R37" s="21">
        <f t="shared" si="2"/>
        <v>0</v>
      </c>
      <c r="S37" s="21">
        <f t="shared" si="2"/>
        <v>0</v>
      </c>
    </row>
    <row r="38" spans="2:19">
      <c r="B38" s="13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2:19" ht="13">
      <c r="B39" s="13"/>
      <c r="C39" s="48" t="s">
        <v>411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2:19">
      <c r="B40" s="13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2:19">
      <c r="B41" s="13" t="s">
        <v>215</v>
      </c>
      <c r="C41" s="9" t="s">
        <v>412</v>
      </c>
      <c r="E41" s="21">
        <f>'Classification - Rate Base'!$P$41</f>
        <v>686.92933395854936</v>
      </c>
      <c r="F41" s="21">
        <v>48.316135574187641</v>
      </c>
      <c r="G41" s="21">
        <f>$F41*'Allocation - Allo%'!F17</f>
        <v>22.387418395349894</v>
      </c>
      <c r="H41" s="21">
        <f>$F41*'Allocation - Allo%'!G17</f>
        <v>19.636783200181494</v>
      </c>
      <c r="I41" s="21">
        <f>$F41*'Allocation - Allo%'!H17</f>
        <v>0</v>
      </c>
      <c r="J41" s="21">
        <f>$F41*'Allocation - Allo%'!I17</f>
        <v>0</v>
      </c>
      <c r="K41" s="21">
        <f>$F41*'Allocation - Allo%'!J17</f>
        <v>1.0947247993094518</v>
      </c>
      <c r="L41" s="21">
        <f>$F41*'Allocation - Allo%'!K17</f>
        <v>0.67798796308313047</v>
      </c>
      <c r="M41" s="21">
        <f>$F41*'Allocation - Allo%'!L17</f>
        <v>3.8823290183868946</v>
      </c>
      <c r="N41" s="21">
        <f>$F41*'Allocation - Allo%'!M17</f>
        <v>2.2411860434312664E-3</v>
      </c>
      <c r="O41" s="21">
        <f>$F41*'Allocation - Allo%'!N17</f>
        <v>4.4788553332020635E-2</v>
      </c>
      <c r="P41" s="21">
        <f>$F41*'Allocation - Allo%'!O17</f>
        <v>4.3875018756913492E-2</v>
      </c>
      <c r="Q41" s="21">
        <f>$F41*'Allocation - Allo%'!P17</f>
        <v>0.53944726719092639</v>
      </c>
      <c r="R41" s="21">
        <f>$F41*'Allocation - Allo%'!Q17</f>
        <v>6.5401725534809897E-3</v>
      </c>
      <c r="S41" s="21">
        <f>$F41*'Allocation - Allo%'!R17</f>
        <v>0</v>
      </c>
    </row>
    <row r="42" spans="2:19">
      <c r="B42" s="13" t="s">
        <v>217</v>
      </c>
      <c r="C42" s="9" t="s">
        <v>413</v>
      </c>
      <c r="E42" s="21">
        <f>'Classification - Rate Base'!$O$41</f>
        <v>75.389929292051193</v>
      </c>
      <c r="F42" s="21">
        <v>5.302656131471835</v>
      </c>
      <c r="G42" s="21">
        <f>$F42*'Allocation - Allo%'!F18</f>
        <v>2.6716770545608308</v>
      </c>
      <c r="H42" s="21">
        <f>$F42*'Allocation - Allo%'!G18</f>
        <v>2.3434208525002442</v>
      </c>
      <c r="I42" s="21">
        <f>$F42*'Allocation - Allo%'!H18</f>
        <v>0</v>
      </c>
      <c r="J42" s="21">
        <f>$F42*'Allocation - Allo%'!I18</f>
        <v>0</v>
      </c>
      <c r="K42" s="21">
        <f>$F42*'Allocation - Allo%'!J18</f>
        <v>0.13064262594838869</v>
      </c>
      <c r="L42" s="21">
        <f>$F42*'Allocation - Allo%'!K18</f>
        <v>8.0909949162064843E-2</v>
      </c>
      <c r="M42" s="21">
        <f>$F42*'Allocation - Allo%'!L18</f>
        <v>0</v>
      </c>
      <c r="N42" s="21">
        <f>$F42*'Allocation - Allo%'!M18</f>
        <v>2.6745939265962893E-4</v>
      </c>
      <c r="O42" s="21">
        <f>$F42*'Allocation - Allo%'!N18</f>
        <v>5.3449910182135317E-3</v>
      </c>
      <c r="P42" s="21">
        <f>$F42*'Allocation - Allo%'!O18</f>
        <v>5.2359713304692464E-3</v>
      </c>
      <c r="Q42" s="21">
        <f>$F42*'Allocation - Allo%'!P18</f>
        <v>6.437673430889658E-2</v>
      </c>
      <c r="R42" s="21">
        <f>$F42*'Allocation - Allo%'!Q18</f>
        <v>7.8049325006732595E-4</v>
      </c>
      <c r="S42" s="21">
        <f>$F42*'Allocation - Allo%'!R18</f>
        <v>0</v>
      </c>
    </row>
    <row r="43" spans="2:19">
      <c r="B43" s="13" t="s">
        <v>219</v>
      </c>
      <c r="C43" s="9" t="s">
        <v>414</v>
      </c>
      <c r="E43" s="21">
        <f>'Classification - Rate Base'!$Q$41</f>
        <v>217.38917429307065</v>
      </c>
      <c r="F43" s="21">
        <v>15.290371655810675</v>
      </c>
      <c r="G43" s="21">
        <f>$F43*'Allocation - Allo%'!F19</f>
        <v>7.7985407060687946</v>
      </c>
      <c r="H43" s="21">
        <f>$F43*'Allocation - Allo%'!G19</f>
        <v>6.8403712486416772</v>
      </c>
      <c r="I43" s="21">
        <f>$F43*'Allocation - Allo%'!H19</f>
        <v>0</v>
      </c>
      <c r="J43" s="21">
        <f>$F43*'Allocation - Allo%'!I19</f>
        <v>0</v>
      </c>
      <c r="K43" s="21">
        <f>$F43*'Allocation - Allo%'!J19</f>
        <v>0.38134168748688907</v>
      </c>
      <c r="L43" s="21">
        <f>$F43*'Allocation - Allo%'!K19</f>
        <v>0.23617357905932967</v>
      </c>
      <c r="M43" s="21">
        <f>$F43*'Allocation - Allo%'!L19</f>
        <v>0</v>
      </c>
      <c r="N43" s="21">
        <f>$F43*'Allocation - Allo%'!M19</f>
        <v>7.8070549631583958E-4</v>
      </c>
      <c r="O43" s="21">
        <f>$F43*'Allocation - Allo%'!N19</f>
        <v>1.5601859497933284E-2</v>
      </c>
      <c r="P43" s="21">
        <f>$F43*'Allocation - Allo%'!O19</f>
        <v>1.528363448223187E-2</v>
      </c>
      <c r="Q43" s="21">
        <f>$F43*'Allocation - Allo%'!P19</f>
        <v>0</v>
      </c>
      <c r="R43" s="21">
        <f>$F43*'Allocation - Allo%'!Q19</f>
        <v>2.2782350775035951E-3</v>
      </c>
      <c r="S43" s="21">
        <f>$F43*'Allocation - Allo%'!R19</f>
        <v>0</v>
      </c>
    </row>
    <row r="44" spans="2:19">
      <c r="B44" s="13" t="s">
        <v>221</v>
      </c>
      <c r="C44" s="9" t="s">
        <v>415</v>
      </c>
      <c r="E44" s="21">
        <f>'Classification - Rate Base'!$R$41</f>
        <v>1177.0142558468326</v>
      </c>
      <c r="F44" s="21">
        <v>82.786944081323384</v>
      </c>
      <c r="G44" s="21">
        <f>$F44*'Allocation - Allo%'!F20</f>
        <v>42.58659094033591</v>
      </c>
      <c r="H44" s="21">
        <f>$F44*'Allocation - Allo%'!G20</f>
        <v>37.354179868451936</v>
      </c>
      <c r="I44" s="21">
        <f>$F44*'Allocation - Allo%'!H20</f>
        <v>0</v>
      </c>
      <c r="J44" s="21">
        <f>$F44*'Allocation - Allo%'!I20</f>
        <v>0</v>
      </c>
      <c r="K44" s="21">
        <f>$F44*'Allocation - Allo%'!J20</f>
        <v>2.0824463275371015</v>
      </c>
      <c r="L44" s="21">
        <f>$F44*'Allocation - Allo%'!K20</f>
        <v>0.57836178457469645</v>
      </c>
      <c r="M44" s="21">
        <f>$F44*'Allocation - Allo%'!L20</f>
        <v>0</v>
      </c>
      <c r="N44" s="21">
        <f>$F44*'Allocation - Allo%'!M20</f>
        <v>4.2633085944658129E-3</v>
      </c>
      <c r="O44" s="21">
        <f>$F44*'Allocation - Allo%'!N20</f>
        <v>8.519927424755537E-2</v>
      </c>
      <c r="P44" s="21">
        <f>$F44*'Allocation - Allo%'!O20</f>
        <v>8.3461498029998193E-2</v>
      </c>
      <c r="Q44" s="21">
        <f>$F44*'Allocation - Allo%'!P20</f>
        <v>0</v>
      </c>
      <c r="R44" s="21">
        <f>$F44*'Allocation - Allo%'!Q20</f>
        <v>1.2441079551725329E-2</v>
      </c>
      <c r="S44" s="21">
        <f>$F44*'Allocation - Allo%'!R20</f>
        <v>0</v>
      </c>
    </row>
    <row r="45" spans="2:19">
      <c r="B45" s="13" t="s">
        <v>223</v>
      </c>
      <c r="C45" s="9" t="s">
        <v>290</v>
      </c>
      <c r="E45" s="21">
        <f>'Classification - Rate Base'!$S$41</f>
        <v>0.30735943693322676</v>
      </c>
      <c r="F45" s="21">
        <v>2.1618555928152958E-2</v>
      </c>
      <c r="G45" s="21">
        <f>$F45*'Allocation - Allo%'!F12</f>
        <v>8.944845884741176E-3</v>
      </c>
      <c r="H45" s="21">
        <f>$F45*'Allocation - Allo%'!G12</f>
        <v>9.0855643041953052E-3</v>
      </c>
      <c r="I45" s="21">
        <f>$F45*'Allocation - Allo%'!H12</f>
        <v>0</v>
      </c>
      <c r="J45" s="21">
        <f>$F45*'Allocation - Allo%'!I12</f>
        <v>0</v>
      </c>
      <c r="K45" s="21">
        <f>$F45*'Allocation - Allo%'!J12</f>
        <v>1.4842946584641579E-3</v>
      </c>
      <c r="L45" s="21">
        <f>$F45*'Allocation - Allo%'!K12</f>
        <v>1.0211473333991018E-3</v>
      </c>
      <c r="M45" s="21">
        <f>$F45*'Allocation - Allo%'!L12</f>
        <v>0</v>
      </c>
      <c r="N45" s="21">
        <f>$F45*'Allocation - Allo%'!M12</f>
        <v>1.2133657517407452E-4</v>
      </c>
      <c r="O45" s="21">
        <f>$F45*'Allocation - Allo%'!N12</f>
        <v>9.4313662465253569E-5</v>
      </c>
      <c r="P45" s="21">
        <f>$F45*'Allocation - Allo%'!O12</f>
        <v>5.4770120684529766E-4</v>
      </c>
      <c r="Q45" s="21">
        <f>$F45*'Allocation - Allo%'!P12</f>
        <v>3.1935230286859009E-4</v>
      </c>
      <c r="R45" s="21">
        <f>$F45*'Allocation - Allo%'!Q12</f>
        <v>0</v>
      </c>
      <c r="S45" s="21">
        <f>$F45*'Allocation - Allo%'!R12</f>
        <v>0</v>
      </c>
    </row>
    <row r="46" spans="2:19">
      <c r="B46" s="13" t="s">
        <v>225</v>
      </c>
      <c r="C46" s="11" t="s">
        <v>291</v>
      </c>
      <c r="D46" s="11"/>
      <c r="E46" s="22">
        <f>'Classification - Rate Base'!$W$41</f>
        <v>843.59849989124621</v>
      </c>
      <c r="F46" s="22">
        <v>59.335680507401761</v>
      </c>
      <c r="G46" s="22">
        <f>$F46*'Allocation - Allo%'!F21</f>
        <v>54.77032063491815</v>
      </c>
      <c r="H46" s="22">
        <f>$F46*'Allocation - Allo%'!G21</f>
        <v>4.5544334071945762</v>
      </c>
      <c r="I46" s="22">
        <f>$F46*'Allocation - Allo%'!H21</f>
        <v>0</v>
      </c>
      <c r="J46" s="22">
        <f>$F46*'Allocation - Allo%'!I21</f>
        <v>0</v>
      </c>
      <c r="K46" s="22">
        <f>$F46*'Allocation - Allo%'!J21</f>
        <v>7.2027694069523446E-3</v>
      </c>
      <c r="L46" s="22">
        <f>$F46*'Allocation - Allo%'!K21</f>
        <v>7.3386707165174836E-4</v>
      </c>
      <c r="M46" s="22">
        <f>$F46*'Allocation - Allo%'!L21</f>
        <v>1.0872104765211086E-4</v>
      </c>
      <c r="N46" s="22">
        <f>$F46*'Allocation - Allo%'!M21</f>
        <v>1.1687512622601916E-3</v>
      </c>
      <c r="O46" s="22">
        <f>$F46*'Allocation - Allo%'!N21</f>
        <v>9.7848942886899774E-4</v>
      </c>
      <c r="P46" s="22">
        <f>$F46*'Allocation - Allo%'!O21</f>
        <v>6.7950654782569287E-4</v>
      </c>
      <c r="Q46" s="22">
        <f>$F46*'Allocation - Allo%'!P21</f>
        <v>2.7180261913027715E-5</v>
      </c>
      <c r="R46" s="22">
        <f>$F46*'Allocation - Allo%'!Q21</f>
        <v>2.7180261913027715E-5</v>
      </c>
      <c r="S46" s="22">
        <f>$F46*'Allocation - Allo%'!R21</f>
        <v>0</v>
      </c>
    </row>
    <row r="47" spans="2:19"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spans="2:19" ht="13">
      <c r="B48" s="13" t="s">
        <v>66</v>
      </c>
      <c r="C48" s="48" t="s">
        <v>416</v>
      </c>
      <c r="E48" s="21">
        <f t="shared" ref="E48:S48" si="3">SUM(E41:E46)</f>
        <v>3000.6285527186837</v>
      </c>
      <c r="F48" s="21">
        <f t="shared" si="3"/>
        <v>211.05340650612345</v>
      </c>
      <c r="G48" s="21">
        <f t="shared" si="3"/>
        <v>130.22349257711832</v>
      </c>
      <c r="H48" s="21">
        <f t="shared" si="3"/>
        <v>70.738274141274132</v>
      </c>
      <c r="I48" s="21">
        <f t="shared" si="3"/>
        <v>0</v>
      </c>
      <c r="J48" s="21">
        <f t="shared" si="3"/>
        <v>0</v>
      </c>
      <c r="K48" s="21">
        <f t="shared" si="3"/>
        <v>3.6978425043472476</v>
      </c>
      <c r="L48" s="21">
        <f t="shared" si="3"/>
        <v>1.5751882902842722</v>
      </c>
      <c r="M48" s="21">
        <f t="shared" si="3"/>
        <v>3.8824377394345468</v>
      </c>
      <c r="N48" s="21">
        <f t="shared" si="3"/>
        <v>8.8427473643068136E-3</v>
      </c>
      <c r="O48" s="21">
        <f t="shared" si="3"/>
        <v>0.15200748118705706</v>
      </c>
      <c r="P48" s="21">
        <f t="shared" si="3"/>
        <v>0.14908333035428381</v>
      </c>
      <c r="Q48" s="21">
        <f t="shared" si="3"/>
        <v>0.60417053406460464</v>
      </c>
      <c r="R48" s="21">
        <f t="shared" si="3"/>
        <v>2.2067160694690266E-2</v>
      </c>
      <c r="S48" s="21">
        <f t="shared" si="3"/>
        <v>0</v>
      </c>
    </row>
    <row r="49" spans="2:19">
      <c r="B49" s="13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 spans="2:19" ht="13">
      <c r="B50" s="13"/>
      <c r="C50" s="48" t="s">
        <v>417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2:19" ht="13">
      <c r="B51" s="13"/>
      <c r="C51" s="48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2:19">
      <c r="B52" s="13" t="s">
        <v>96</v>
      </c>
      <c r="C52" s="9" t="s">
        <v>24</v>
      </c>
      <c r="E52" s="21">
        <f>'Classification - Rate Base'!$T$41</f>
        <v>226.93397155413896</v>
      </c>
      <c r="F52" s="21">
        <v>15.961718322339463</v>
      </c>
      <c r="G52" s="21">
        <f>$F52*'Allocation - Allo%'!F28</f>
        <v>8.9596000337059785</v>
      </c>
      <c r="H52" s="21">
        <f>$F52*'Allocation - Allo%'!G28</f>
        <v>6.701966335176011</v>
      </c>
      <c r="I52" s="21">
        <f>$F52*'Allocation - Allo%'!H28</f>
        <v>0</v>
      </c>
      <c r="J52" s="21">
        <f>$F52*'Allocation - Allo%'!I28</f>
        <v>3.4147095503161885E-10</v>
      </c>
      <c r="K52" s="21">
        <f>$F52*'Allocation - Allo%'!J28</f>
        <v>0.15861630752236644</v>
      </c>
      <c r="L52" s="21">
        <f>$F52*'Allocation - Allo%'!K28</f>
        <v>1.616090680416564E-2</v>
      </c>
      <c r="M52" s="21">
        <f>$F52*'Allocation - Allo%'!L28</f>
        <v>6.5502353196185997E-2</v>
      </c>
      <c r="N52" s="21">
        <f>$F52*'Allocation - Allo%'!M28</f>
        <v>2.5227135036328858E-2</v>
      </c>
      <c r="O52" s="21">
        <f>$F52*'Allocation - Allo%'!N28</f>
        <v>1.9082895856649431E-2</v>
      </c>
      <c r="P52" s="21">
        <f>$F52*'Allocation - Allo%'!O28</f>
        <v>1.4963802596449664E-2</v>
      </c>
      <c r="Q52" s="21">
        <f>$F52*'Allocation - Allo%'!P28</f>
        <v>0</v>
      </c>
      <c r="R52" s="21">
        <f>$F52*'Allocation - Allo%'!Q28</f>
        <v>5.9855210385798647E-4</v>
      </c>
      <c r="S52" s="21">
        <f>$F52*'Allocation - Allo%'!R28</f>
        <v>0</v>
      </c>
    </row>
    <row r="53" spans="2:19">
      <c r="B53" s="13" t="s">
        <v>239</v>
      </c>
      <c r="C53" s="9" t="s">
        <v>20</v>
      </c>
      <c r="E53" s="21">
        <f>'Classification - Rate Base'!$U$41</f>
        <v>169.17986863749408</v>
      </c>
      <c r="F53" s="21">
        <v>11.899502707807878</v>
      </c>
      <c r="G53" s="21">
        <f>$F53*'Allocation - Allo%'!F29</f>
        <v>0.88980159279170878</v>
      </c>
      <c r="H53" s="21">
        <f>$F53*'Allocation - Allo%'!G29</f>
        <v>10.078350048124996</v>
      </c>
      <c r="I53" s="21">
        <f>$F53*'Allocation - Allo%'!H29</f>
        <v>0</v>
      </c>
      <c r="J53" s="21">
        <f>$F53*'Allocation - Allo%'!I29</f>
        <v>0</v>
      </c>
      <c r="K53" s="21">
        <f>$F53*'Allocation - Allo%'!J29</f>
        <v>0.41457251554413205</v>
      </c>
      <c r="L53" s="21">
        <f>$F53*'Allocation - Allo%'!K29</f>
        <v>8.0225781043798614E-2</v>
      </c>
      <c r="M53" s="21">
        <f>$F53*'Allocation - Allo%'!L29</f>
        <v>0</v>
      </c>
      <c r="N53" s="21">
        <f>$F53*'Allocation - Allo%'!M29</f>
        <v>0.16908529248429738</v>
      </c>
      <c r="O53" s="21">
        <f>$F53*'Allocation - Allo%'!N29</f>
        <v>0.11448530169099923</v>
      </c>
      <c r="P53" s="21">
        <f>$F53*'Allocation - Allo%'!O29</f>
        <v>0.14487386777654987</v>
      </c>
      <c r="Q53" s="21">
        <f>$F53*'Allocation - Allo%'!P29</f>
        <v>0</v>
      </c>
      <c r="R53" s="21">
        <f>$F53*'Allocation - Allo%'!Q29</f>
        <v>8.1083083513919171E-3</v>
      </c>
      <c r="S53" s="21">
        <f>$F53*'Allocation - Allo%'!R29</f>
        <v>0</v>
      </c>
    </row>
    <row r="54" spans="2:19">
      <c r="B54" s="13" t="s">
        <v>241</v>
      </c>
      <c r="C54" s="9" t="s">
        <v>22</v>
      </c>
      <c r="E54" s="21">
        <f>'Classification - Rate Base'!$V$41</f>
        <v>1820.9064560366489</v>
      </c>
      <c r="F54" s="21">
        <v>128.07600265195418</v>
      </c>
      <c r="G54" s="21">
        <f>$F54*'Allocation - Allo%'!F30</f>
        <v>113.66643346912831</v>
      </c>
      <c r="H54" s="21">
        <f>$F54*'Allocation - Allo%'!G30</f>
        <v>13.997220257863502</v>
      </c>
      <c r="I54" s="21">
        <f>$F54*'Allocation - Allo%'!H30</f>
        <v>0</v>
      </c>
      <c r="J54" s="21">
        <f>$F54*'Allocation - Allo%'!I30</f>
        <v>0</v>
      </c>
      <c r="K54" s="21">
        <f>$F54*'Allocation - Allo%'!J30</f>
        <v>0.19990323552031761</v>
      </c>
      <c r="L54" s="21">
        <f>$F54*'Allocation - Allo%'!K30</f>
        <v>2.5531178869002188E-2</v>
      </c>
      <c r="M54" s="21">
        <f>$F54*'Allocation - Allo%'!L30</f>
        <v>1.6904722613592302E-2</v>
      </c>
      <c r="N54" s="21">
        <f>$F54*'Allocation - Allo%'!M30</f>
        <v>2.3582352988946158E-2</v>
      </c>
      <c r="O54" s="21">
        <f>$F54*'Allocation - Allo%'!N30</f>
        <v>5.4138274871815301E-2</v>
      </c>
      <c r="P54" s="21">
        <f>$F54*'Allocation - Allo%'!O30</f>
        <v>9.1514600995691253E-2</v>
      </c>
      <c r="Q54" s="21">
        <f>$F54*'Allocation - Allo%'!P30</f>
        <v>0</v>
      </c>
      <c r="R54" s="21">
        <f>$F54*'Allocation - Allo%'!Q30</f>
        <v>7.7455910304313324E-4</v>
      </c>
      <c r="S54" s="21">
        <f>$F54*'Allocation - Allo%'!R30</f>
        <v>0</v>
      </c>
    </row>
    <row r="55" spans="2:19">
      <c r="B55" s="13" t="s">
        <v>243</v>
      </c>
      <c r="C55" s="9" t="s">
        <v>112</v>
      </c>
      <c r="E55" s="21">
        <f>'Classification - Rate Base'!$X$41</f>
        <v>13.954857364224456</v>
      </c>
      <c r="F55" s="21">
        <v>0.98153441263436392</v>
      </c>
      <c r="G55" s="21">
        <f>$F55*'Allocation - Allo%'!F31</f>
        <v>0.19630688252687278</v>
      </c>
      <c r="H55" s="21">
        <f>$F55*'Allocation - Allo%'!G31</f>
        <v>0.78522753010749113</v>
      </c>
      <c r="I55" s="21">
        <f>$F55*'Allocation - Allo%'!H31</f>
        <v>0</v>
      </c>
      <c r="J55" s="21">
        <f>$F55*'Allocation - Allo%'!I31</f>
        <v>0</v>
      </c>
      <c r="K55" s="21">
        <f>$F55*'Allocation - Allo%'!J31</f>
        <v>0</v>
      </c>
      <c r="L55" s="21">
        <f>$F55*'Allocation - Allo%'!K31</f>
        <v>0</v>
      </c>
      <c r="M55" s="21">
        <f>$F55*'Allocation - Allo%'!L31</f>
        <v>0</v>
      </c>
      <c r="N55" s="21">
        <f>$F55*'Allocation - Allo%'!M31</f>
        <v>0</v>
      </c>
      <c r="O55" s="21">
        <f>$F55*'Allocation - Allo%'!N31</f>
        <v>0</v>
      </c>
      <c r="P55" s="21">
        <f>$F55*'Allocation - Allo%'!O31</f>
        <v>0</v>
      </c>
      <c r="Q55" s="21">
        <f>$F55*'Allocation - Allo%'!P31</f>
        <v>0</v>
      </c>
      <c r="R55" s="21">
        <f>$F55*'Allocation - Allo%'!Q31</f>
        <v>0</v>
      </c>
      <c r="S55" s="21">
        <f>$F55*'Allocation - Allo%'!R31</f>
        <v>0</v>
      </c>
    </row>
    <row r="56" spans="2:19">
      <c r="B56" s="13" t="s">
        <v>245</v>
      </c>
      <c r="C56" s="9" t="s">
        <v>418</v>
      </c>
      <c r="E56" s="21">
        <f>'Classification - Rate Base'!$Y$41</f>
        <v>0</v>
      </c>
      <c r="F56" s="21">
        <v>0</v>
      </c>
      <c r="G56" s="21">
        <f>$F56*'Allocation - Allo%'!F33</f>
        <v>0</v>
      </c>
      <c r="H56" s="21">
        <f>$F56*'Allocation - Allo%'!G33</f>
        <v>0</v>
      </c>
      <c r="I56" s="21">
        <f>$F56*'Allocation - Allo%'!H33</f>
        <v>0</v>
      </c>
      <c r="J56" s="21">
        <f>$F56*'Allocation - Allo%'!I33</f>
        <v>0</v>
      </c>
      <c r="K56" s="21">
        <f>$F56*'Allocation - Allo%'!J33</f>
        <v>0</v>
      </c>
      <c r="L56" s="21">
        <f>$F56*'Allocation - Allo%'!K33</f>
        <v>0</v>
      </c>
      <c r="M56" s="21">
        <f>$F56*'Allocation - Allo%'!L33</f>
        <v>0</v>
      </c>
      <c r="N56" s="21">
        <f>$F56*'Allocation - Allo%'!M33</f>
        <v>0</v>
      </c>
      <c r="O56" s="21">
        <f>$F56*'Allocation - Allo%'!N33</f>
        <v>0</v>
      </c>
      <c r="P56" s="21">
        <f>$F56*'Allocation - Allo%'!O33</f>
        <v>0</v>
      </c>
      <c r="Q56" s="21">
        <f>$F56*'Allocation - Allo%'!P33</f>
        <v>0</v>
      </c>
      <c r="R56" s="21">
        <f>$F56*'Allocation - Allo%'!Q33</f>
        <v>0</v>
      </c>
      <c r="S56" s="21">
        <f>$F56*'Allocation - Allo%'!R33</f>
        <v>0</v>
      </c>
    </row>
    <row r="57" spans="2:19">
      <c r="B57" s="13" t="s">
        <v>246</v>
      </c>
      <c r="C57" s="9" t="s">
        <v>293</v>
      </c>
      <c r="E57" s="21">
        <f>'Classification - Rate Base'!$Z$41</f>
        <v>0</v>
      </c>
      <c r="F57" s="21">
        <v>0</v>
      </c>
      <c r="G57" s="21">
        <f>$F57*'Allocation - Allo%'!F34</f>
        <v>0</v>
      </c>
      <c r="H57" s="21">
        <f>$F57*'Allocation - Allo%'!G34</f>
        <v>0</v>
      </c>
      <c r="I57" s="21">
        <f>$F57*'Allocation - Allo%'!H34</f>
        <v>0</v>
      </c>
      <c r="J57" s="21">
        <f>$F57*'Allocation - Allo%'!I34</f>
        <v>0</v>
      </c>
      <c r="K57" s="21">
        <f>$F57*'Allocation - Allo%'!J34</f>
        <v>0</v>
      </c>
      <c r="L57" s="21">
        <f>$F57*'Allocation - Allo%'!K34</f>
        <v>0</v>
      </c>
      <c r="M57" s="21">
        <f>$F57*'Allocation - Allo%'!L34</f>
        <v>0</v>
      </c>
      <c r="N57" s="21">
        <f>$F57*'Allocation - Allo%'!M34</f>
        <v>0</v>
      </c>
      <c r="O57" s="21">
        <f>$F57*'Allocation - Allo%'!N34</f>
        <v>0</v>
      </c>
      <c r="P57" s="21">
        <f>$F57*'Allocation - Allo%'!O34</f>
        <v>0</v>
      </c>
      <c r="Q57" s="21">
        <f>$F57*'Allocation - Allo%'!P34</f>
        <v>0</v>
      </c>
      <c r="R57" s="21">
        <f>$F57*'Allocation - Allo%'!Q34</f>
        <v>0</v>
      </c>
      <c r="S57" s="21">
        <f>$F57*'Allocation - Allo%'!R34</f>
        <v>0</v>
      </c>
    </row>
    <row r="58" spans="2:19">
      <c r="B58" s="13" t="s">
        <v>247</v>
      </c>
      <c r="C58" s="9" t="s">
        <v>294</v>
      </c>
      <c r="E58" s="21">
        <f>'Classification - Rate Base'!$AA$41</f>
        <v>0</v>
      </c>
      <c r="F58" s="21">
        <v>0</v>
      </c>
      <c r="G58" s="21">
        <f>$F58*'Allocation - Allo%'!F39</f>
        <v>0</v>
      </c>
      <c r="H58" s="21">
        <f>$F58*'Allocation - Allo%'!G39</f>
        <v>0</v>
      </c>
      <c r="I58" s="21">
        <f>$F58*'Allocation - Allo%'!H39</f>
        <v>0</v>
      </c>
      <c r="J58" s="21">
        <f>$F58*'Allocation - Allo%'!I39</f>
        <v>0</v>
      </c>
      <c r="K58" s="21">
        <f>$F58*'Allocation - Allo%'!J39</f>
        <v>0</v>
      </c>
      <c r="L58" s="21">
        <f>$F58*'Allocation - Allo%'!K39</f>
        <v>0</v>
      </c>
      <c r="M58" s="21">
        <f>$F58*'Allocation - Allo%'!L39</f>
        <v>0</v>
      </c>
      <c r="N58" s="21">
        <f>$F58*'Allocation - Allo%'!M39</f>
        <v>0</v>
      </c>
      <c r="O58" s="21">
        <f>$F58*'Allocation - Allo%'!N39</f>
        <v>0</v>
      </c>
      <c r="P58" s="21">
        <f>$F58*'Allocation - Allo%'!O39</f>
        <v>0</v>
      </c>
      <c r="Q58" s="21">
        <f>$F58*'Allocation - Allo%'!P39</f>
        <v>0</v>
      </c>
      <c r="R58" s="21">
        <f>$F58*'Allocation - Allo%'!Q39</f>
        <v>0</v>
      </c>
      <c r="S58" s="21">
        <f>$F58*'Allocation - Allo%'!R39</f>
        <v>0</v>
      </c>
    </row>
    <row r="59" spans="2:19">
      <c r="B59" s="13" t="s">
        <v>249</v>
      </c>
      <c r="C59" s="9" t="s">
        <v>419</v>
      </c>
      <c r="E59" s="21">
        <f>'Classification - Rate Base'!$AB$41</f>
        <v>43.91982551511753</v>
      </c>
      <c r="F59" s="21">
        <v>3.0891623622396245</v>
      </c>
      <c r="G59" s="21">
        <f>$F59*'Allocation - Allo%'!F32</f>
        <v>2.8514784296116638</v>
      </c>
      <c r="H59" s="21">
        <f>$F59*'Allocation - Allo%'!G32</f>
        <v>0.23711507380583913</v>
      </c>
      <c r="I59" s="21">
        <f>$F59*'Allocation - Allo%'!H32</f>
        <v>0</v>
      </c>
      <c r="J59" s="21">
        <f>$F59*'Allocation - Allo%'!I32</f>
        <v>0</v>
      </c>
      <c r="K59" s="21">
        <f>$F59*'Allocation - Allo%'!J32</f>
        <v>3.7499399965713019E-4</v>
      </c>
      <c r="L59" s="21">
        <f>$F59*'Allocation - Allo%'!K32</f>
        <v>3.8206935814122699E-5</v>
      </c>
      <c r="M59" s="21">
        <f>$F59*'Allocation - Allo%'!L32</f>
        <v>5.6602867872774375E-6</v>
      </c>
      <c r="N59" s="21">
        <f>$F59*'Allocation - Allo%'!M32</f>
        <v>6.0848082963232446E-5</v>
      </c>
      <c r="O59" s="21">
        <f>$F59*'Allocation - Allo%'!N32</f>
        <v>5.0942581085496928E-5</v>
      </c>
      <c r="P59" s="21">
        <f>$F59*'Allocation - Allo%'!O32</f>
        <v>3.5376792420483982E-5</v>
      </c>
      <c r="Q59" s="21">
        <f>$F59*'Allocation - Allo%'!P32</f>
        <v>1.4150716968193594E-6</v>
      </c>
      <c r="R59" s="21">
        <f>$F59*'Allocation - Allo%'!Q32</f>
        <v>1.4150716968193594E-6</v>
      </c>
      <c r="S59" s="21">
        <f>$F59*'Allocation - Allo%'!R32</f>
        <v>0</v>
      </c>
    </row>
    <row r="60" spans="2:19">
      <c r="B60" s="13" t="s">
        <v>420</v>
      </c>
      <c r="C60" s="9" t="s">
        <v>277</v>
      </c>
      <c r="E60" s="21">
        <f>'Classification - Rate Base'!$F$41</f>
        <v>1.8949538823844145</v>
      </c>
      <c r="F60" s="21">
        <v>0.13328423196095934</v>
      </c>
      <c r="G60" s="21">
        <f>IF($F60=0,0,$F60*('Allocation - Rate Base'!F60/'Allocation - Rate Base'!$E$60))</f>
        <v>3.4854330140477577E-2</v>
      </c>
      <c r="H60" s="21">
        <f>IF($F60=0,0,$F60*('Allocation - Rate Base'!G60/'Allocation - Rate Base'!$E$60))</f>
        <v>9.8429901820481766E-2</v>
      </c>
      <c r="I60" s="21">
        <f>IF($F60=0,0,$F60*('Allocation - Rate Base'!H60/'Allocation - Rate Base'!$E$60))</f>
        <v>0</v>
      </c>
      <c r="J60" s="21">
        <f>IF($F60=0,0,$F60*('Allocation - Rate Base'!I60/'Allocation - Rate Base'!$E$60))</f>
        <v>0</v>
      </c>
      <c r="K60" s="21">
        <f>IF($F60=0,0,$F60*('Allocation - Rate Base'!J60/'Allocation - Rate Base'!$E$60))</f>
        <v>0</v>
      </c>
      <c r="L60" s="21">
        <f>IF($F60=0,0,$F60*('Allocation - Rate Base'!K60/'Allocation - Rate Base'!$E$60))</f>
        <v>0</v>
      </c>
      <c r="M60" s="21">
        <f>IF($F60=0,0,$F60*('Allocation - Rate Base'!L60/'Allocation - Rate Base'!$E$60))</f>
        <v>0</v>
      </c>
      <c r="N60" s="21">
        <f>IF($F60=0,0,$F60*('Allocation - Rate Base'!M60/'Allocation - Rate Base'!$E$60))</f>
        <v>0</v>
      </c>
      <c r="O60" s="21">
        <f>IF($F60=0,0,$F60*('Allocation - Rate Base'!N60/'Allocation - Rate Base'!$E$60))</f>
        <v>0</v>
      </c>
      <c r="P60" s="21">
        <f>IF($F60=0,0,$F60*('Allocation - Rate Base'!O60/'Allocation - Rate Base'!$E$60))</f>
        <v>0</v>
      </c>
      <c r="Q60" s="21">
        <f>IF($F60=0,0,$F60*('Allocation - Rate Base'!P60/'Allocation - Rate Base'!$E$60))</f>
        <v>0</v>
      </c>
      <c r="R60" s="21">
        <f>IF($F60=0,0,$F60*('Allocation - Rate Base'!Q60/'Allocation - Rate Base'!$E$60))</f>
        <v>0</v>
      </c>
      <c r="S60" s="21">
        <f>IF($F60=0,0,$F60*('Allocation - Rate Base'!R60/'Allocation - Rate Base'!$E$60))</f>
        <v>0</v>
      </c>
    </row>
    <row r="61" spans="2:19">
      <c r="B61" s="13" t="s">
        <v>421</v>
      </c>
      <c r="C61" s="9" t="s">
        <v>295</v>
      </c>
      <c r="E61" s="21">
        <f>'Classification - Rate Base'!$AC$41</f>
        <v>0</v>
      </c>
      <c r="F61" s="21">
        <v>0</v>
      </c>
      <c r="G61" s="21">
        <f>$F61*('Allocation - Allo%'!F35+'Allocation - Allo%'!F37)</f>
        <v>0</v>
      </c>
      <c r="H61" s="21">
        <f>$F61*('Allocation - Allo%'!G35+'Allocation - Allo%'!G37)</f>
        <v>0</v>
      </c>
      <c r="I61" s="21">
        <f>$F61*('Allocation - Allo%'!H35+'Allocation - Allo%'!H37)</f>
        <v>0</v>
      </c>
      <c r="J61" s="21">
        <f>$F61*('Allocation - Allo%'!I35+'Allocation - Allo%'!I37)</f>
        <v>0</v>
      </c>
      <c r="K61" s="21">
        <f>$F61*('Allocation - Allo%'!J35+'Allocation - Allo%'!J37)</f>
        <v>0</v>
      </c>
      <c r="L61" s="21">
        <f>$F61*('Allocation - Allo%'!K35+'Allocation - Allo%'!K37)</f>
        <v>0</v>
      </c>
      <c r="M61" s="21">
        <f>$F61*('Allocation - Allo%'!L35+'Allocation - Allo%'!L37)</f>
        <v>0</v>
      </c>
      <c r="N61" s="21">
        <f>$F61*('Allocation - Allo%'!M35+'Allocation - Allo%'!M37)</f>
        <v>0</v>
      </c>
      <c r="O61" s="21">
        <f>$F61*('Allocation - Allo%'!N35+'Allocation - Allo%'!N37)</f>
        <v>0</v>
      </c>
      <c r="P61" s="21">
        <f>$F61*('Allocation - Allo%'!O35+'Allocation - Allo%'!O37)</f>
        <v>0</v>
      </c>
      <c r="Q61" s="21">
        <f>$F61*('Allocation - Allo%'!P35+'Allocation - Allo%'!P37)</f>
        <v>0</v>
      </c>
      <c r="R61" s="21">
        <f>$F61*('Allocation - Allo%'!Q35+'Allocation - Allo%'!Q37)</f>
        <v>0</v>
      </c>
      <c r="S61" s="21">
        <f>$F61*('Allocation - Allo%'!R35+'Allocation - Allo%'!R37)</f>
        <v>0</v>
      </c>
    </row>
    <row r="62" spans="2:19">
      <c r="B62" s="13" t="s">
        <v>422</v>
      </c>
      <c r="C62" s="9" t="s">
        <v>91</v>
      </c>
      <c r="E62" s="21">
        <f>'Classification - Rate Base'!$AE$41</f>
        <v>-29.42</v>
      </c>
      <c r="F62" s="21">
        <v>-2.0692968524159348</v>
      </c>
      <c r="G62" s="21">
        <f>$F62*'Allocation - Allo%'!F10</f>
        <v>-1.195325166094648</v>
      </c>
      <c r="H62" s="21">
        <f>$F62*'Allocation - Allo%'!G10</f>
        <v>-0.81314934661493943</v>
      </c>
      <c r="I62" s="21">
        <f>$F62*'Allocation - Allo%'!H10</f>
        <v>0</v>
      </c>
      <c r="J62" s="21">
        <f>$F62*'Allocation - Allo%'!I10</f>
        <v>0</v>
      </c>
      <c r="K62" s="21">
        <f>$F62*'Allocation - Allo%'!J10</f>
        <v>-1.4672498671337336E-2</v>
      </c>
      <c r="L62" s="21">
        <f>$F62*'Allocation - Allo%'!K10</f>
        <v>0</v>
      </c>
      <c r="M62" s="21">
        <f>$F62*'Allocation - Allo%'!L10</f>
        <v>0</v>
      </c>
      <c r="N62" s="21">
        <f>$F62*'Allocation - Allo%'!M10</f>
        <v>-1.1653753920957801E-3</v>
      </c>
      <c r="O62" s="21">
        <f>$F62*'Allocation - Allo%'!N10</f>
        <v>-2.2339025401219544E-3</v>
      </c>
      <c r="P62" s="21">
        <f>$F62*'Allocation - Allo%'!O10</f>
        <v>-8.9811338661348397E-3</v>
      </c>
      <c r="Q62" s="21">
        <f>$F62*'Allocation - Allo%'!P10</f>
        <v>-3.3769429236657524E-2</v>
      </c>
      <c r="R62" s="21">
        <f>$F62*'Allocation - Allo%'!Q10</f>
        <v>0</v>
      </c>
      <c r="S62" s="21">
        <f>$F62*'Allocation - Allo%'!R10</f>
        <v>0</v>
      </c>
    </row>
    <row r="63" spans="2:19">
      <c r="B63" s="13"/>
      <c r="C63" s="11"/>
      <c r="D63" s="11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2:19">
      <c r="B64" s="13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 spans="2:19" ht="13">
      <c r="B65" s="13" t="s">
        <v>68</v>
      </c>
      <c r="C65" s="48" t="s">
        <v>423</v>
      </c>
      <c r="E65" s="21">
        <f t="shared" ref="E65:S65" si="4">SUM(E52:E63)</f>
        <v>2247.3699329900087</v>
      </c>
      <c r="F65" s="21">
        <f t="shared" si="4"/>
        <v>158.07190783652055</v>
      </c>
      <c r="G65" s="21">
        <f t="shared" si="4"/>
        <v>125.40314957181035</v>
      </c>
      <c r="H65" s="21">
        <f t="shared" si="4"/>
        <v>31.085159800283382</v>
      </c>
      <c r="I65" s="21">
        <f t="shared" si="4"/>
        <v>0</v>
      </c>
      <c r="J65" s="21">
        <f t="shared" si="4"/>
        <v>3.4147095503161885E-10</v>
      </c>
      <c r="K65" s="21">
        <f t="shared" si="4"/>
        <v>0.75879455391513595</v>
      </c>
      <c r="L65" s="21">
        <f t="shared" si="4"/>
        <v>0.12195607365278056</v>
      </c>
      <c r="M65" s="21">
        <f t="shared" si="4"/>
        <v>8.2412736096565575E-2</v>
      </c>
      <c r="N65" s="21">
        <f t="shared" si="4"/>
        <v>0.21679025320043985</v>
      </c>
      <c r="O65" s="21">
        <f t="shared" si="4"/>
        <v>0.18552351246042748</v>
      </c>
      <c r="P65" s="21">
        <f t="shared" si="4"/>
        <v>0.24240651429497642</v>
      </c>
      <c r="Q65" s="21">
        <f t="shared" si="4"/>
        <v>-3.3768014164960704E-2</v>
      </c>
      <c r="R65" s="21">
        <f t="shared" si="4"/>
        <v>9.4828346299898579E-3</v>
      </c>
      <c r="S65" s="21">
        <f t="shared" si="4"/>
        <v>0</v>
      </c>
    </row>
    <row r="66" spans="2:19">
      <c r="B66" s="13"/>
      <c r="C66" s="11"/>
      <c r="D66" s="11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2:19">
      <c r="B67" s="13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</row>
    <row r="68" spans="2:19">
      <c r="B68" s="13" t="s">
        <v>99</v>
      </c>
      <c r="C68" s="9" t="s">
        <v>104</v>
      </c>
      <c r="E68" s="25">
        <f t="shared" ref="E68:S68" si="5">E65+E48+E37+E27+E17</f>
        <v>5657.9376490410978</v>
      </c>
      <c r="F68" s="25">
        <f t="shared" si="5"/>
        <v>397.95895881462792</v>
      </c>
      <c r="G68" s="25">
        <f t="shared" si="5"/>
        <v>269.85482974581316</v>
      </c>
      <c r="H68" s="25">
        <f t="shared" si="5"/>
        <v>115.13091168854091</v>
      </c>
      <c r="I68" s="25">
        <f t="shared" si="5"/>
        <v>0</v>
      </c>
      <c r="J68" s="25">
        <f t="shared" si="5"/>
        <v>3.4147095503161885E-10</v>
      </c>
      <c r="K68" s="25">
        <f t="shared" si="5"/>
        <v>4.9348760030579299</v>
      </c>
      <c r="L68" s="25">
        <f t="shared" si="5"/>
        <v>1.8107142445860749</v>
      </c>
      <c r="M68" s="25">
        <f t="shared" si="5"/>
        <v>3.9648504755311125</v>
      </c>
      <c r="N68" s="25">
        <f t="shared" si="5"/>
        <v>0.22672566554432586</v>
      </c>
      <c r="O68" s="25">
        <f t="shared" si="5"/>
        <v>0.40585407912859228</v>
      </c>
      <c r="P68" s="25">
        <f t="shared" si="5"/>
        <v>0.56885580541561631</v>
      </c>
      <c r="Q68" s="25">
        <f t="shared" si="5"/>
        <v>1.0297911113441107</v>
      </c>
      <c r="R68" s="25">
        <f t="shared" si="5"/>
        <v>3.1549995324680127E-2</v>
      </c>
      <c r="S68" s="25">
        <f t="shared" si="5"/>
        <v>0</v>
      </c>
    </row>
    <row r="69" spans="2:19"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</row>
    <row r="70" spans="2:19">
      <c r="B70" s="13" t="s">
        <v>78</v>
      </c>
      <c r="C70" s="9" t="s">
        <v>29</v>
      </c>
      <c r="E70" s="21">
        <f>'Classification - Rate Base'!$AD$41</f>
        <v>7</v>
      </c>
      <c r="F70" s="21">
        <v>7.6000000000000005</v>
      </c>
      <c r="G70" s="21">
        <v>7.0152466992175606</v>
      </c>
      <c r="H70" s="21">
        <v>0.58335378643480684</v>
      </c>
      <c r="I70" s="21">
        <v>0</v>
      </c>
      <c r="J70" s="21">
        <v>0</v>
      </c>
      <c r="K70" s="21">
        <v>9.2256542816609663E-4</v>
      </c>
      <c r="L70" s="21">
        <v>9.3997232303715518E-5</v>
      </c>
      <c r="M70" s="21">
        <v>1.3925515896846743E-5</v>
      </c>
      <c r="N70" s="21">
        <v>1.4969929589110246E-4</v>
      </c>
      <c r="O70" s="21">
        <v>1.2532964307162067E-4</v>
      </c>
      <c r="P70" s="21">
        <v>8.7034474355292141E-5</v>
      </c>
      <c r="Q70" s="21">
        <v>3.4813789742116858E-6</v>
      </c>
      <c r="R70" s="21">
        <v>3.4813789742116858E-6</v>
      </c>
      <c r="S70" s="21">
        <v>0</v>
      </c>
    </row>
    <row r="71" spans="2:19">
      <c r="B71" s="13"/>
      <c r="C71" s="11"/>
      <c r="D71" s="11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2:19">
      <c r="B72" s="13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</row>
    <row r="73" spans="2:19">
      <c r="B73" s="13" t="s">
        <v>80</v>
      </c>
      <c r="C73" s="9" t="s">
        <v>104</v>
      </c>
      <c r="E73" s="25">
        <f t="shared" ref="E73:S73" si="6">E70+E68</f>
        <v>5664.9376490410978</v>
      </c>
      <c r="F73" s="25">
        <f t="shared" si="6"/>
        <v>405.55895881462794</v>
      </c>
      <c r="G73" s="21">
        <f t="shared" si="6"/>
        <v>276.87007644503075</v>
      </c>
      <c r="H73" s="21">
        <f t="shared" si="6"/>
        <v>115.71426547497572</v>
      </c>
      <c r="I73" s="21">
        <f t="shared" si="6"/>
        <v>0</v>
      </c>
      <c r="J73" s="21">
        <f t="shared" si="6"/>
        <v>3.4147095503161885E-10</v>
      </c>
      <c r="K73" s="21">
        <f t="shared" si="6"/>
        <v>4.9357985684860957</v>
      </c>
      <c r="L73" s="21">
        <f t="shared" si="6"/>
        <v>1.8108082418183786</v>
      </c>
      <c r="M73" s="21">
        <f t="shared" si="6"/>
        <v>3.9648644010470093</v>
      </c>
      <c r="N73" s="21">
        <f t="shared" si="6"/>
        <v>0.22687536484021695</v>
      </c>
      <c r="O73" s="21">
        <f t="shared" si="6"/>
        <v>0.40597940877166389</v>
      </c>
      <c r="P73" s="21">
        <f t="shared" si="6"/>
        <v>0.56894283988997163</v>
      </c>
      <c r="Q73" s="21">
        <f t="shared" si="6"/>
        <v>1.0297945927230849</v>
      </c>
      <c r="R73" s="21">
        <f t="shared" si="6"/>
        <v>3.155347670365434E-2</v>
      </c>
      <c r="S73" s="21">
        <f t="shared" si="6"/>
        <v>0</v>
      </c>
    </row>
    <row r="74" spans="2:19" ht="13" thickBot="1">
      <c r="B74" s="26"/>
      <c r="C74" s="26"/>
      <c r="D74" s="26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</row>
    <row r="75" spans="2:19" ht="13" thickTop="1"/>
    <row r="77" spans="2:19" ht="13"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</row>
    <row r="78" spans="2:19" ht="13"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</row>
    <row r="79" spans="2:19" ht="13"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</row>
    <row r="80" spans="2:19" ht="13"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</row>
    <row r="81" spans="3:14" ht="13"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</row>
    <row r="82" spans="3:14" ht="13"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</row>
    <row r="83" spans="3:14" ht="13"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</row>
  </sheetData>
  <mergeCells count="4">
    <mergeCell ref="B1:T1"/>
    <mergeCell ref="B2:T2"/>
    <mergeCell ref="B3:T3"/>
    <mergeCell ref="B4:T4"/>
  </mergeCells>
  <pageMargins left="0.7" right="0.7" top="0.75" bottom="0.75" header="0.3" footer="0.3"/>
  <pageSetup scale="61" orientation="portrait" r:id="rId1"/>
  <headerFooter>
    <oddHeader>&amp;R&amp;"Arial,Regular"&amp;10Filed: 2023-03-08
EB-2022-0200
Exhibit I.7.1-VECC-62
Attachment 1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3BFDD-D9D9-4F85-8592-71A562AB5619}">
  <sheetPr>
    <tabColor theme="5" tint="0.59999389629810485"/>
  </sheetPr>
  <dimension ref="A1:Z99"/>
  <sheetViews>
    <sheetView zoomScale="96" zoomScaleNormal="96" workbookViewId="0"/>
  </sheetViews>
  <sheetFormatPr defaultColWidth="9.1796875" defaultRowHeight="12.5"/>
  <cols>
    <col min="1" max="1" width="3.54296875" style="9" customWidth="1"/>
    <col min="2" max="2" width="4.54296875" style="9" bestFit="1" customWidth="1"/>
    <col min="3" max="3" width="27.81640625" style="9" bestFit="1" customWidth="1"/>
    <col min="4" max="4" width="0.1796875" style="9" customWidth="1"/>
    <col min="5" max="5" width="10.26953125" style="10" bestFit="1" customWidth="1"/>
    <col min="6" max="6" width="14.26953125" style="10" customWidth="1"/>
    <col min="7" max="9" width="9.7265625" style="10" customWidth="1"/>
    <col min="10" max="10" width="6.1796875" style="10" bestFit="1" customWidth="1"/>
    <col min="11" max="18" width="8.26953125" style="10" bestFit="1" customWidth="1"/>
    <col min="19" max="20" width="8.81640625" style="10" customWidth="1"/>
    <col min="21" max="21" width="12" style="10" customWidth="1"/>
    <col min="22" max="22" width="8.26953125" style="10" bestFit="1" customWidth="1"/>
    <col min="23" max="23" width="11.54296875" style="9" customWidth="1"/>
    <col min="24" max="24" width="14.1796875" style="9" bestFit="1" customWidth="1"/>
    <col min="25" max="16384" width="9.1796875" style="9"/>
  </cols>
  <sheetData>
    <row r="1" spans="1:26">
      <c r="B1" s="90" t="s">
        <v>427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</row>
    <row r="2" spans="1:26">
      <c r="B2" s="90" t="str">
        <f>'Allocation - Factors'!B2</f>
        <v>Year Ended December 31, 2018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</row>
    <row r="3" spans="1:26">
      <c r="B3" s="91" t="s">
        <v>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13"/>
      <c r="Y3" s="13"/>
      <c r="Z3" s="13"/>
    </row>
    <row r="4" spans="1:26">
      <c r="B4" s="90" t="s">
        <v>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</row>
    <row r="6" spans="1:26"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0" t="s">
        <v>16</v>
      </c>
      <c r="R6" s="10" t="s">
        <v>89</v>
      </c>
      <c r="S6" s="10" t="s">
        <v>102</v>
      </c>
      <c r="T6" s="10" t="s">
        <v>261</v>
      </c>
      <c r="U6" s="10" t="s">
        <v>262</v>
      </c>
      <c r="V6" s="10" t="s">
        <v>263</v>
      </c>
      <c r="W6" s="10" t="s">
        <v>264</v>
      </c>
    </row>
    <row r="7" spans="1:26">
      <c r="W7" s="10"/>
    </row>
    <row r="8" spans="1:26" ht="37.5">
      <c r="D8" s="11"/>
      <c r="E8" s="12" t="s">
        <v>428</v>
      </c>
      <c r="F8" s="12" t="s">
        <v>429</v>
      </c>
      <c r="G8" s="12" t="s">
        <v>17</v>
      </c>
      <c r="H8" s="12" t="s">
        <v>351</v>
      </c>
      <c r="I8" s="12" t="s">
        <v>352</v>
      </c>
      <c r="J8" s="12" t="s">
        <v>353</v>
      </c>
      <c r="K8" s="12" t="s">
        <v>354</v>
      </c>
      <c r="L8" s="12" t="s">
        <v>355</v>
      </c>
      <c r="M8" s="12" t="s">
        <v>356</v>
      </c>
      <c r="N8" s="12" t="s">
        <v>357</v>
      </c>
      <c r="O8" s="12" t="s">
        <v>358</v>
      </c>
      <c r="P8" s="12" t="s">
        <v>359</v>
      </c>
      <c r="Q8" s="12" t="s">
        <v>360</v>
      </c>
      <c r="R8" s="12" t="s">
        <v>361</v>
      </c>
      <c r="S8" s="12" t="s">
        <v>362</v>
      </c>
      <c r="T8" s="12" t="s">
        <v>400</v>
      </c>
      <c r="U8" s="12" t="s">
        <v>294</v>
      </c>
      <c r="V8" s="12" t="s">
        <v>430</v>
      </c>
      <c r="W8" s="12" t="s">
        <v>431</v>
      </c>
    </row>
    <row r="9" spans="1:26" ht="18" customHeight="1"/>
    <row r="10" spans="1:26" ht="18" customHeight="1">
      <c r="C10" s="9" t="s">
        <v>401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6"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6" ht="18" customHeight="1">
      <c r="C12" s="48" t="s">
        <v>402</v>
      </c>
      <c r="H12" s="21"/>
      <c r="I12" s="21"/>
      <c r="J12" s="21"/>
      <c r="K12" s="21"/>
      <c r="L12" s="21"/>
      <c r="M12" s="21"/>
      <c r="N12" s="21"/>
      <c r="O12" s="21"/>
      <c r="Q12" s="21"/>
      <c r="R12" s="21"/>
      <c r="S12" s="21"/>
      <c r="T12" s="21"/>
      <c r="U12" s="21"/>
      <c r="V12" s="21"/>
    </row>
    <row r="13" spans="1:26" ht="18" customHeight="1"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Q13" s="21"/>
      <c r="R13" s="21"/>
      <c r="S13" s="21"/>
      <c r="T13" s="21"/>
      <c r="U13" s="21"/>
      <c r="V13" s="21"/>
    </row>
    <row r="14" spans="1:26" ht="18" customHeight="1">
      <c r="A14" s="24"/>
      <c r="B14" s="13" t="s">
        <v>108</v>
      </c>
      <c r="C14" s="9" t="s">
        <v>279</v>
      </c>
      <c r="E14" s="21">
        <f>'Classification - O&amp;M'!$H$81</f>
        <v>950.75359846702293</v>
      </c>
      <c r="F14" s="21">
        <f>'Classification - Net Investment'!$H$39</f>
        <v>0.12549333846098187</v>
      </c>
      <c r="G14" s="21">
        <f>F14+E14</f>
        <v>950.87909180548388</v>
      </c>
      <c r="H14" s="21">
        <f>$G14*'Allocation - Allo%'!F10</f>
        <v>549.27339546344422</v>
      </c>
      <c r="I14" s="21">
        <f>$G14*'Allocation - Allo%'!G10</f>
        <v>373.65673818558508</v>
      </c>
      <c r="J14" s="21">
        <f>$G14*'Allocation - Allo%'!H10</f>
        <v>0</v>
      </c>
      <c r="K14" s="21">
        <f>$G14*'Allocation - Allo%'!I10</f>
        <v>0</v>
      </c>
      <c r="L14" s="21">
        <f>$G14*'Allocation - Allo%'!J10</f>
        <v>6.742276824530764</v>
      </c>
      <c r="M14" s="21">
        <f>$G14*'Allocation - Allo%'!K10</f>
        <v>0</v>
      </c>
      <c r="N14" s="21">
        <f>$G14*'Allocation - Allo%'!L10</f>
        <v>0</v>
      </c>
      <c r="O14" s="21">
        <f>$G14*'Allocation - Allo%'!M10</f>
        <v>0.53551093607219069</v>
      </c>
      <c r="P14" s="21">
        <f>$G14*'Allocation - Allo%'!N10</f>
        <v>1.0265183634977872</v>
      </c>
      <c r="Q14" s="21">
        <f>$G14*'Allocation - Allo%'!O10</f>
        <v>4.1269924148597754</v>
      </c>
      <c r="R14" s="21">
        <f>$G14*'Allocation - Allo%'!P10</f>
        <v>15.517659617494131</v>
      </c>
      <c r="S14" s="21">
        <f>$G14*'Allocation - Allo%'!Q10</f>
        <v>0</v>
      </c>
      <c r="T14" s="21">
        <f>$G14*'Allocation - Allo%'!R10</f>
        <v>0</v>
      </c>
      <c r="U14" s="21">
        <f>$G14*'Allocation - Allo%'!S10</f>
        <v>0</v>
      </c>
      <c r="V14" s="21"/>
    </row>
    <row r="15" spans="1:26" ht="18" customHeight="1">
      <c r="A15" s="24"/>
      <c r="B15" s="13" t="s">
        <v>109</v>
      </c>
      <c r="C15" s="9" t="s">
        <v>317</v>
      </c>
      <c r="E15" s="21">
        <f>'Classification - O&amp;M'!$J$81</f>
        <v>3.3460121526882003</v>
      </c>
      <c r="F15" s="21">
        <v>0</v>
      </c>
      <c r="G15" s="21">
        <f>F15+E15</f>
        <v>3.3460121526882003</v>
      </c>
      <c r="H15" s="21">
        <v>1.5943254122192385</v>
      </c>
      <c r="I15" s="21">
        <v>1.7510616048094039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3.125678297789827E-4</v>
      </c>
      <c r="P15" s="21">
        <v>3.125678297789827E-4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/>
    </row>
    <row r="16" spans="1:26" ht="18" customHeight="1">
      <c r="A16" s="24"/>
      <c r="B16" s="13" t="s">
        <v>110</v>
      </c>
      <c r="C16" s="11" t="s">
        <v>432</v>
      </c>
      <c r="D16" s="11"/>
      <c r="E16" s="22">
        <f>'Classification - O&amp;M'!$I$81</f>
        <v>1.5478295597245726</v>
      </c>
      <c r="F16" s="22">
        <v>0</v>
      </c>
      <c r="G16" s="22">
        <f>F16+E16</f>
        <v>1.5478295597245726</v>
      </c>
      <c r="H16" s="22">
        <f>$G16*'Allocation - Allo%'!F14</f>
        <v>0.89410063297776332</v>
      </c>
      <c r="I16" s="22">
        <f>$G16*'Allocation - Allo%'!G14</f>
        <v>0.60823394849891743</v>
      </c>
      <c r="J16" s="22">
        <f>$G16*'Allocation - Allo%'!H14</f>
        <v>0</v>
      </c>
      <c r="K16" s="22">
        <f>$G16*'Allocation - Allo%'!I14</f>
        <v>0</v>
      </c>
      <c r="L16" s="22">
        <f>$G16*'Allocation - Allo%'!J14</f>
        <v>1.0974997198686389E-2</v>
      </c>
      <c r="M16" s="22">
        <f>$G16*'Allocation - Allo%'!K14</f>
        <v>0</v>
      </c>
      <c r="N16" s="22">
        <f>$G16*'Allocation - Allo%'!L14</f>
        <v>0</v>
      </c>
      <c r="O16" s="22">
        <f>$G16*'Allocation - Allo%'!M14</f>
        <v>8.7169826695261059E-4</v>
      </c>
      <c r="P16" s="22">
        <f>$G16*'Allocation - Allo%'!N14</f>
        <v>1.6709542572916267E-3</v>
      </c>
      <c r="Q16" s="22">
        <f>$G16*'Allocation - Allo%'!O14</f>
        <v>6.7178686623028516E-3</v>
      </c>
      <c r="R16" s="22">
        <f>$G16*'Allocation - Allo%'!P14</f>
        <v>2.5259459862658429E-2</v>
      </c>
      <c r="S16" s="22">
        <f>$G16*'Allocation - Allo%'!Q14</f>
        <v>0</v>
      </c>
      <c r="T16" s="22">
        <f>$G16*'Allocation - Allo%'!R14</f>
        <v>0</v>
      </c>
      <c r="U16" s="22">
        <f>$G16*'Allocation - Allo%'!S14</f>
        <v>0</v>
      </c>
      <c r="V16" s="22"/>
      <c r="W16" s="11"/>
    </row>
    <row r="17" spans="1:23" ht="18" customHeight="1">
      <c r="A17" s="24"/>
      <c r="B17" s="13"/>
      <c r="E17" s="21"/>
      <c r="F17" s="21"/>
      <c r="G17" s="21"/>
      <c r="H17" s="21"/>
      <c r="I17" s="21"/>
      <c r="J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3" ht="18" customHeight="1">
      <c r="A18" s="24"/>
      <c r="B18" s="13" t="s">
        <v>30</v>
      </c>
      <c r="C18" s="48" t="s">
        <v>403</v>
      </c>
      <c r="E18" s="21">
        <f t="shared" ref="E18:U18" si="0">SUM(E14:E16)</f>
        <v>955.64744017943576</v>
      </c>
      <c r="F18" s="21">
        <f t="shared" si="0"/>
        <v>0.12549333846098187</v>
      </c>
      <c r="G18" s="21">
        <f t="shared" si="0"/>
        <v>955.77293351789672</v>
      </c>
      <c r="H18" s="21">
        <f t="shared" si="0"/>
        <v>551.76182150864122</v>
      </c>
      <c r="I18" s="21">
        <f t="shared" si="0"/>
        <v>376.01603373889344</v>
      </c>
      <c r="J18" s="21">
        <f t="shared" si="0"/>
        <v>0</v>
      </c>
      <c r="K18" s="21">
        <f t="shared" si="0"/>
        <v>0</v>
      </c>
      <c r="L18" s="21">
        <f t="shared" si="0"/>
        <v>6.7532518217294504</v>
      </c>
      <c r="M18" s="21">
        <f t="shared" si="0"/>
        <v>0</v>
      </c>
      <c r="N18" s="21">
        <f t="shared" si="0"/>
        <v>0</v>
      </c>
      <c r="O18" s="21">
        <f t="shared" si="0"/>
        <v>0.5366952021689223</v>
      </c>
      <c r="P18" s="21">
        <f t="shared" si="0"/>
        <v>1.028501885584858</v>
      </c>
      <c r="Q18" s="21">
        <f t="shared" si="0"/>
        <v>4.1337102835220785</v>
      </c>
      <c r="R18" s="21">
        <f t="shared" si="0"/>
        <v>15.542919077356789</v>
      </c>
      <c r="S18" s="21">
        <f t="shared" si="0"/>
        <v>0</v>
      </c>
      <c r="T18" s="21">
        <f t="shared" si="0"/>
        <v>0</v>
      </c>
      <c r="U18" s="21">
        <f t="shared" si="0"/>
        <v>0</v>
      </c>
      <c r="V18" s="21"/>
    </row>
    <row r="19" spans="1:23">
      <c r="A19" s="24"/>
      <c r="B19" s="13"/>
      <c r="E19" s="21"/>
      <c r="F19" s="21"/>
      <c r="G19" s="21"/>
      <c r="H19" s="21"/>
      <c r="I19" s="21"/>
      <c r="J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3" ht="18" customHeight="1">
      <c r="A20" s="24"/>
      <c r="B20" s="13"/>
      <c r="C20" s="48" t="s">
        <v>404</v>
      </c>
      <c r="E20" s="21"/>
      <c r="F20" s="21"/>
      <c r="G20" s="21"/>
      <c r="H20" s="21"/>
      <c r="I20" s="21"/>
      <c r="J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3" ht="18" customHeight="1">
      <c r="A21" s="24"/>
      <c r="B21" s="13"/>
      <c r="C21" s="48"/>
      <c r="E21" s="21"/>
      <c r="F21" s="21"/>
      <c r="G21" s="21"/>
      <c r="H21" s="21"/>
      <c r="I21" s="21"/>
      <c r="J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3" ht="18" customHeight="1">
      <c r="A22" s="24"/>
      <c r="B22" s="13" t="s">
        <v>32</v>
      </c>
      <c r="C22" s="9" t="s">
        <v>280</v>
      </c>
      <c r="E22" s="21">
        <f>'Classification - O&amp;M'!$K$81</f>
        <v>13.524740556203296</v>
      </c>
      <c r="F22" s="21">
        <f>'Classification - Net Investment'!$I$39</f>
        <v>0</v>
      </c>
      <c r="G22" s="21">
        <f>E22+F22-G25</f>
        <v>17.486100556203297</v>
      </c>
      <c r="H22" s="21">
        <f>$G22*'Allocation - Allo%'!F24</f>
        <v>9.6100230516212832</v>
      </c>
      <c r="I22" s="21">
        <f>$G22*'Allocation - Allo%'!G24</f>
        <v>7.6577771918909789</v>
      </c>
      <c r="J22" s="21">
        <f>$G22*'Allocation - Allo%'!H24</f>
        <v>0</v>
      </c>
      <c r="K22" s="21">
        <f>$G22*'Allocation - Allo%'!I24</f>
        <v>0</v>
      </c>
      <c r="L22" s="21">
        <f>$G22*'Allocation - Allo%'!J24</f>
        <v>4.0376345127495911E-2</v>
      </c>
      <c r="M22" s="21">
        <f>$G22*'Allocation - Allo%'!K24</f>
        <v>1.6012271700270433E-2</v>
      </c>
      <c r="N22" s="21">
        <f>$G22*'Allocation - Allo%'!L24</f>
        <v>0</v>
      </c>
      <c r="O22" s="21">
        <f>$G22*'Allocation - Allo%'!M24</f>
        <v>0</v>
      </c>
      <c r="P22" s="21">
        <f>$G22*'Allocation - Allo%'!N24</f>
        <v>0</v>
      </c>
      <c r="Q22" s="21">
        <f>$G22*'Allocation - Allo%'!O24</f>
        <v>0</v>
      </c>
      <c r="R22" s="21">
        <f>$G22*'Allocation - Allo%'!P24</f>
        <v>0.16191169586327256</v>
      </c>
      <c r="S22" s="21">
        <f>$G22*'Allocation - Allo%'!Q24</f>
        <v>0</v>
      </c>
      <c r="T22" s="21">
        <f>$G22*'Allocation - Allo%'!R24</f>
        <v>0</v>
      </c>
      <c r="U22" s="21">
        <f>$G22*'Allocation - Allo%'!S24</f>
        <v>0</v>
      </c>
      <c r="V22" s="21"/>
    </row>
    <row r="23" spans="1:23" ht="18" customHeight="1">
      <c r="A23" s="24"/>
      <c r="B23" s="13" t="s">
        <v>34</v>
      </c>
      <c r="C23" s="9" t="s">
        <v>281</v>
      </c>
      <c r="E23" s="21">
        <f>'Classification - O&amp;M'!$L$81</f>
        <v>109.04168385019832</v>
      </c>
      <c r="F23" s="21">
        <f>'Classification - Net Investment'!$J$39</f>
        <v>1.7057850699004296</v>
      </c>
      <c r="G23" s="21">
        <f>F23+E23</f>
        <v>110.74746892009875</v>
      </c>
      <c r="H23" s="21">
        <f>$G23*'Allocation - Allo%'!F25</f>
        <v>53.887500175939259</v>
      </c>
      <c r="I23" s="21">
        <f>$G23*'Allocation - Allo%'!G25</f>
        <v>51.701528450855534</v>
      </c>
      <c r="J23" s="21">
        <f>$G23*'Allocation - Allo%'!H25</f>
        <v>0</v>
      </c>
      <c r="K23" s="21">
        <f>$G23*'Allocation - Allo%'!I25</f>
        <v>0</v>
      </c>
      <c r="L23" s="21">
        <f>$G23*'Allocation - Allo%'!J25</f>
        <v>1.9341622870230923</v>
      </c>
      <c r="M23" s="21">
        <f>$G23*'Allocation - Allo%'!K25</f>
        <v>0.47241684091803748</v>
      </c>
      <c r="N23" s="21">
        <f>$G23*'Allocation - Allo%'!L25</f>
        <v>0</v>
      </c>
      <c r="O23" s="21">
        <f>$G23*'Allocation - Allo%'!M25</f>
        <v>0</v>
      </c>
      <c r="P23" s="21">
        <f>$G23*'Allocation - Allo%'!N25</f>
        <v>0.27625562475353505</v>
      </c>
      <c r="Q23" s="21">
        <f>$G23*'Allocation - Allo%'!O25</f>
        <v>0.70471191689710244</v>
      </c>
      <c r="R23" s="21">
        <f>$G23*'Allocation - Allo%'!P25</f>
        <v>1.7708936237122139</v>
      </c>
      <c r="S23" s="21">
        <f>$G23*'Allocation - Allo%'!Q25</f>
        <v>0</v>
      </c>
      <c r="T23" s="21">
        <f>$G23*'Allocation - Allo%'!R25</f>
        <v>0</v>
      </c>
      <c r="U23" s="21">
        <f>$G23*'Allocation - Allo%'!S25</f>
        <v>0</v>
      </c>
      <c r="V23" s="21"/>
    </row>
    <row r="24" spans="1:23" ht="18" customHeight="1">
      <c r="A24" s="24"/>
      <c r="B24" s="13" t="s">
        <v>36</v>
      </c>
      <c r="C24" s="9" t="s">
        <v>433</v>
      </c>
      <c r="E24" s="21">
        <v>474.62212282536638</v>
      </c>
      <c r="F24" s="21">
        <v>0</v>
      </c>
      <c r="G24" s="21">
        <f>F24+E24</f>
        <v>474.62212282536638</v>
      </c>
      <c r="H24" s="21">
        <f>$G24*'Allocation - Allo%'!F45</f>
        <v>253.40205821662872</v>
      </c>
      <c r="I24" s="21">
        <f>$G24*'Allocation - Allo%'!G45</f>
        <v>197.76568417408228</v>
      </c>
      <c r="J24" s="21">
        <f>$G24*'Allocation - Allo%'!H45</f>
        <v>0</v>
      </c>
      <c r="K24" s="21">
        <f>$G24*'Allocation - Allo%'!I45</f>
        <v>0</v>
      </c>
      <c r="L24" s="21">
        <f>$G24*'Allocation - Allo%'!J45</f>
        <v>11.824589260515852</v>
      </c>
      <c r="M24" s="21">
        <f>$G24*'Allocation - Allo%'!K45</f>
        <v>0.61677610404982086</v>
      </c>
      <c r="N24" s="21">
        <f>$G24*'Allocation - Allo%'!L45</f>
        <v>0</v>
      </c>
      <c r="O24" s="21">
        <f>$G24*'Allocation - Allo%'!M45</f>
        <v>1.0302779300844254</v>
      </c>
      <c r="P24" s="21">
        <f>$G24*'Allocation - Allo%'!N45</f>
        <v>0.5840111635109152</v>
      </c>
      <c r="Q24" s="21">
        <f>$G24*'Allocation - Allo%'!O45</f>
        <v>2.3184139364082945</v>
      </c>
      <c r="R24" s="21">
        <f>$G24*'Allocation - Allo%'!P45</f>
        <v>7.0803120400861186</v>
      </c>
      <c r="S24" s="21">
        <f>$G24*'Allocation - Allo%'!Q45</f>
        <v>0</v>
      </c>
      <c r="T24" s="21">
        <f>$G24*'Allocation - Allo%'!R45</f>
        <v>0</v>
      </c>
      <c r="U24" s="21">
        <f>$G24*'Allocation - Allo%'!S45</f>
        <v>0</v>
      </c>
      <c r="V24" s="21"/>
    </row>
    <row r="25" spans="1:23" ht="18" customHeight="1">
      <c r="A25" s="24"/>
      <c r="B25" s="13" t="s">
        <v>37</v>
      </c>
      <c r="C25" s="9" t="s">
        <v>434</v>
      </c>
      <c r="E25" s="21">
        <v>0</v>
      </c>
      <c r="F25" s="21">
        <v>0</v>
      </c>
      <c r="G25" s="21">
        <f>P25+Q25+R25</f>
        <v>-3.96136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-0.27472000000000002</v>
      </c>
      <c r="Q25" s="21">
        <v>-3.5097800000000001</v>
      </c>
      <c r="R25" s="21">
        <v>-0.17685999999999999</v>
      </c>
      <c r="S25" s="21">
        <v>0</v>
      </c>
      <c r="T25" s="21">
        <v>0</v>
      </c>
      <c r="U25" s="21">
        <v>0</v>
      </c>
      <c r="V25" s="21"/>
    </row>
    <row r="26" spans="1:23" ht="18" customHeight="1">
      <c r="A26" s="24"/>
      <c r="B26" s="13" t="s">
        <v>39</v>
      </c>
      <c r="C26" s="11" t="s">
        <v>435</v>
      </c>
      <c r="D26" s="11"/>
      <c r="E26" s="22">
        <v>0</v>
      </c>
      <c r="F26" s="22">
        <f>'Classification - Net Investment'!$K$39</f>
        <v>-6.1159999999999997</v>
      </c>
      <c r="G26" s="22">
        <f>F26+E26</f>
        <v>-6.1159999999999997</v>
      </c>
      <c r="H26" s="22">
        <f>$G26*'Allocation - Allo%'!F11</f>
        <v>-2.5305426325832787</v>
      </c>
      <c r="I26" s="22">
        <f>$G26*'Allocation - Allo%'!G11</f>
        <v>-2.570352592889678</v>
      </c>
      <c r="J26" s="22">
        <f>$G26*'Allocation - Allo%'!H11</f>
        <v>0</v>
      </c>
      <c r="K26" s="22">
        <f>$G26*'Allocation - Allo%'!I11</f>
        <v>0</v>
      </c>
      <c r="L26" s="22">
        <f>$G26*'Allocation - Allo%'!J11</f>
        <v>-0.4199145475459326</v>
      </c>
      <c r="M26" s="22">
        <f>$G26*'Allocation - Allo%'!K11</f>
        <v>-0.2888878013788081</v>
      </c>
      <c r="N26" s="22">
        <f>$G26*'Allocation - Allo%'!L11</f>
        <v>0</v>
      </c>
      <c r="O26" s="22">
        <f>$G26*'Allocation - Allo%'!M11</f>
        <v>-3.4326737467151563E-2</v>
      </c>
      <c r="P26" s="22">
        <f>$G26*'Allocation - Allo%'!N11</f>
        <v>-2.6681817303362002E-2</v>
      </c>
      <c r="Q26" s="22">
        <f>$G26*'Allocation - Allo%'!O11</f>
        <v>-0.15494747161643721</v>
      </c>
      <c r="R26" s="22">
        <f>$G26*'Allocation - Allo%'!P11</f>
        <v>-9.0346399215350856E-2</v>
      </c>
      <c r="S26" s="22">
        <f>$G26*'Allocation - Allo%'!Q11</f>
        <v>0</v>
      </c>
      <c r="T26" s="22">
        <f>$G26*'Allocation - Allo%'!R11</f>
        <v>0</v>
      </c>
      <c r="U26" s="22">
        <f>$G26*'Allocation - Allo%'!S11</f>
        <v>0</v>
      </c>
      <c r="V26" s="22"/>
      <c r="W26" s="11"/>
    </row>
    <row r="27" spans="1:23" ht="18" customHeight="1">
      <c r="A27" s="24"/>
      <c r="B27" s="13"/>
      <c r="C27" s="9" t="s">
        <v>436</v>
      </c>
      <c r="E27" s="21">
        <v>24.200504706444445</v>
      </c>
      <c r="F27" s="21"/>
      <c r="G27" s="21">
        <f>E27+F27</f>
        <v>24.200504706444445</v>
      </c>
      <c r="H27" s="21">
        <f>$G27*'Allocation - Allo%'!F44</f>
        <v>0.95909738511801024</v>
      </c>
      <c r="I27" s="21">
        <f>$G27*'Allocation - Allo%'!G44</f>
        <v>10.358464540531102</v>
      </c>
      <c r="J27" s="21">
        <f>$G27*'Allocation - Allo%'!H44</f>
        <v>0</v>
      </c>
      <c r="K27" s="21">
        <f>$G27*'Allocation - Allo%'!I44</f>
        <v>0</v>
      </c>
      <c r="L27" s="21">
        <f>$G27*'Allocation - Allo%'!J44</f>
        <v>5.4954320202133351</v>
      </c>
      <c r="M27" s="21">
        <f>$G27*'Allocation - Allo%'!K44</f>
        <v>4.1892038295054101</v>
      </c>
      <c r="N27" s="21">
        <f>$G27*'Allocation - Allo%'!L44</f>
        <v>0</v>
      </c>
      <c r="O27" s="21">
        <f>$G27*'Allocation - Allo%'!M44</f>
        <v>0.45872151906640735</v>
      </c>
      <c r="P27" s="21">
        <f>$G27*'Allocation - Allo%'!N44</f>
        <v>0.29123692564669679</v>
      </c>
      <c r="Q27" s="21">
        <f>$G27*'Allocation - Allo%'!O44</f>
        <v>1.9838795706598695</v>
      </c>
      <c r="R27" s="21">
        <f>$G27*'Allocation - Allo%'!P44</f>
        <v>0.4644689157036116</v>
      </c>
      <c r="S27" s="21">
        <f>$G27*'Allocation - Allo%'!Q44</f>
        <v>0</v>
      </c>
      <c r="T27" s="21">
        <f>$G27*'Allocation - Allo%'!R44</f>
        <v>0</v>
      </c>
      <c r="U27" s="21">
        <f>$G27*'Allocation - Allo%'!S44</f>
        <v>0</v>
      </c>
      <c r="V27" s="21"/>
    </row>
    <row r="28" spans="1:23" ht="18" customHeight="1">
      <c r="A28" s="24"/>
      <c r="B28" s="13" t="s">
        <v>41</v>
      </c>
      <c r="C28" s="48" t="s">
        <v>407</v>
      </c>
      <c r="E28" s="21">
        <f t="shared" ref="E28:U28" si="1">SUM(E22:E27)</f>
        <v>621.38905193821245</v>
      </c>
      <c r="F28" s="21">
        <f t="shared" si="1"/>
        <v>-4.4102149300995706</v>
      </c>
      <c r="G28" s="21">
        <f t="shared" si="1"/>
        <v>616.97883700811292</v>
      </c>
      <c r="H28" s="21">
        <f t="shared" si="1"/>
        <v>315.32813619672402</v>
      </c>
      <c r="I28" s="21">
        <f t="shared" si="1"/>
        <v>264.91310176447024</v>
      </c>
      <c r="J28" s="21">
        <f t="shared" si="1"/>
        <v>0</v>
      </c>
      <c r="K28" s="21">
        <f t="shared" si="1"/>
        <v>0</v>
      </c>
      <c r="L28" s="21">
        <f t="shared" si="1"/>
        <v>18.874645365333844</v>
      </c>
      <c r="M28" s="21">
        <f t="shared" si="1"/>
        <v>5.005521244794731</v>
      </c>
      <c r="N28" s="21">
        <f t="shared" si="1"/>
        <v>0</v>
      </c>
      <c r="O28" s="21">
        <f t="shared" si="1"/>
        <v>1.4546727116836813</v>
      </c>
      <c r="P28" s="21">
        <f t="shared" si="1"/>
        <v>0.85010189660778501</v>
      </c>
      <c r="Q28" s="21">
        <f t="shared" si="1"/>
        <v>1.3422779523488291</v>
      </c>
      <c r="R28" s="21">
        <f t="shared" si="1"/>
        <v>9.2103798761498652</v>
      </c>
      <c r="S28" s="21">
        <f t="shared" si="1"/>
        <v>0</v>
      </c>
      <c r="T28" s="21">
        <f t="shared" si="1"/>
        <v>0</v>
      </c>
      <c r="U28" s="21">
        <f t="shared" si="1"/>
        <v>0</v>
      </c>
      <c r="V28" s="21"/>
    </row>
    <row r="29" spans="1:23">
      <c r="A29" s="24"/>
      <c r="B29" s="13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1:23" ht="18" customHeight="1">
      <c r="A30" s="24"/>
      <c r="B30" s="13"/>
      <c r="C30" s="9" t="s">
        <v>408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23" ht="18" customHeight="1">
      <c r="A31" s="24"/>
      <c r="B31" s="13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23" ht="18" customHeight="1">
      <c r="A32" s="24"/>
      <c r="B32" s="13"/>
      <c r="C32" s="48" t="s">
        <v>409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3" ht="18" customHeight="1">
      <c r="A33" s="24"/>
      <c r="B33" s="13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3" ht="18" customHeight="1">
      <c r="A34" s="24"/>
      <c r="B34" s="13" t="s">
        <v>44</v>
      </c>
      <c r="C34" s="9" t="s">
        <v>283</v>
      </c>
      <c r="E34" s="21">
        <f>'Classification - O&amp;M'!$N$81</f>
        <v>128.29295840838972</v>
      </c>
      <c r="F34" s="21">
        <f>'Classification - Net Investment'!$N$39</f>
        <v>0.18603706175844414</v>
      </c>
      <c r="G34" s="21">
        <f>E34+F34-G36</f>
        <v>129.02239547014815</v>
      </c>
      <c r="H34" s="21">
        <f>$G34*'Allocation - Allo%'!F24</f>
        <v>70.908215966060908</v>
      </c>
      <c r="I34" s="21">
        <f>$G34*'Allocation - Allo%'!G24</f>
        <v>56.503435634420562</v>
      </c>
      <c r="J34" s="21">
        <f>$G34*'Allocation - Allo%'!H24</f>
        <v>0</v>
      </c>
      <c r="K34" s="21">
        <f>$G34*'Allocation - Allo%'!I24</f>
        <v>0</v>
      </c>
      <c r="L34" s="21">
        <f>$G34*'Allocation - Allo%'!J24</f>
        <v>0.29791963919771025</v>
      </c>
      <c r="M34" s="21">
        <f>$G34*'Allocation - Allo%'!K24</f>
        <v>0.11814764790168432</v>
      </c>
      <c r="N34" s="21">
        <f>$G34*'Allocation - Allo%'!L24</f>
        <v>0</v>
      </c>
      <c r="O34" s="21">
        <f>$G34*'Allocation - Allo%'!M24</f>
        <v>0</v>
      </c>
      <c r="P34" s="21">
        <f>$G34*'Allocation - Allo%'!N24</f>
        <v>0</v>
      </c>
      <c r="Q34" s="21">
        <f>$G34*'Allocation - Allo%'!O24</f>
        <v>0</v>
      </c>
      <c r="R34" s="21">
        <f>$G34*'Allocation - Allo%'!P24</f>
        <v>1.194676582567322</v>
      </c>
      <c r="S34" s="21">
        <f>$G34*'Allocation - Allo%'!Q24</f>
        <v>0</v>
      </c>
      <c r="T34" s="21">
        <f>$G34*'Allocation - Allo%'!R24</f>
        <v>0</v>
      </c>
      <c r="U34" s="21">
        <f>$G34*'Allocation - Allo%'!S24</f>
        <v>0</v>
      </c>
      <c r="V34" s="21"/>
    </row>
    <row r="35" spans="1:23" ht="18" customHeight="1">
      <c r="A35" s="24"/>
      <c r="B35" s="13" t="s">
        <v>45</v>
      </c>
      <c r="C35" s="9" t="s">
        <v>284</v>
      </c>
      <c r="E35" s="21">
        <f>'Classification - O&amp;M'!$O$81</f>
        <v>66.506695365835668</v>
      </c>
      <c r="F35" s="21">
        <f>'Classification - Net Investment'!$O$39</f>
        <v>9.644107008381908E-2</v>
      </c>
      <c r="G35" s="21">
        <f>E35+F35</f>
        <v>66.603136435919481</v>
      </c>
      <c r="H35" s="21">
        <f>$G35*'Allocation - Allo%'!F25</f>
        <v>32.40775217172807</v>
      </c>
      <c r="I35" s="21">
        <f>$G35*'Allocation - Allo%'!G25</f>
        <v>31.09311650131059</v>
      </c>
      <c r="J35" s="21">
        <f>$G35*'Allocation - Allo%'!H25</f>
        <v>0</v>
      </c>
      <c r="K35" s="21">
        <f>$G35*'Allocation - Allo%'!I25</f>
        <v>0</v>
      </c>
      <c r="L35" s="21">
        <f>$G35*'Allocation - Allo%'!J25</f>
        <v>1.1631983642420765</v>
      </c>
      <c r="M35" s="21">
        <f>$G35*'Allocation - Allo%'!K25</f>
        <v>0.28410981864507306</v>
      </c>
      <c r="N35" s="21">
        <f>$G35*'Allocation - Allo%'!L25</f>
        <v>0</v>
      </c>
      <c r="O35" s="21">
        <f>$G35*'Allocation - Allo%'!M25</f>
        <v>0</v>
      </c>
      <c r="P35" s="21">
        <f>$G35*'Allocation - Allo%'!N25</f>
        <v>0.1661391564616668</v>
      </c>
      <c r="Q35" s="21">
        <f>$G35*'Allocation - Allo%'!O25</f>
        <v>0.42381125642680928</v>
      </c>
      <c r="R35" s="21">
        <f>$G35*'Allocation - Allo%'!P25</f>
        <v>1.0650091671052093</v>
      </c>
      <c r="S35" s="21">
        <f>$G35*'Allocation - Allo%'!Q25</f>
        <v>0</v>
      </c>
      <c r="T35" s="21">
        <f>$G35*'Allocation - Allo%'!R25</f>
        <v>0</v>
      </c>
      <c r="U35" s="21">
        <f>$G35*'Allocation - Allo%'!S25</f>
        <v>0</v>
      </c>
      <c r="V35" s="21"/>
    </row>
    <row r="36" spans="1:23" ht="18" customHeight="1">
      <c r="A36" s="24"/>
      <c r="B36" s="13" t="s">
        <v>46</v>
      </c>
      <c r="C36" s="11" t="s">
        <v>437</v>
      </c>
      <c r="D36" s="11"/>
      <c r="E36" s="22">
        <f>'Classification - O&amp;M'!$P$81</f>
        <v>0</v>
      </c>
      <c r="F36" s="22">
        <v>0</v>
      </c>
      <c r="G36" s="22">
        <f>O36</f>
        <v>-0.54339999999999999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-0.54339999999999999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/>
      <c r="W36" s="11"/>
    </row>
    <row r="37" spans="1:23" ht="18" customHeight="1">
      <c r="A37" s="24"/>
      <c r="B37" s="13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23" ht="18" customHeight="1">
      <c r="A38" s="24"/>
      <c r="B38" s="13" t="s">
        <v>64</v>
      </c>
      <c r="C38" s="48" t="s">
        <v>410</v>
      </c>
      <c r="E38" s="21">
        <f t="shared" ref="E38:U38" si="2">SUM(E34:E36)</f>
        <v>194.79965377422539</v>
      </c>
      <c r="F38" s="21">
        <f t="shared" si="2"/>
        <v>0.28247813184226322</v>
      </c>
      <c r="G38" s="21">
        <f t="shared" si="2"/>
        <v>195.08213190606764</v>
      </c>
      <c r="H38" s="21">
        <f t="shared" si="2"/>
        <v>103.31596813778899</v>
      </c>
      <c r="I38" s="21">
        <f t="shared" si="2"/>
        <v>87.596552135731145</v>
      </c>
      <c r="J38" s="21">
        <f t="shared" si="2"/>
        <v>0</v>
      </c>
      <c r="K38" s="21">
        <f t="shared" si="2"/>
        <v>0</v>
      </c>
      <c r="L38" s="21">
        <f t="shared" si="2"/>
        <v>1.4611180034397866</v>
      </c>
      <c r="M38" s="21">
        <f t="shared" si="2"/>
        <v>0.40225746654675737</v>
      </c>
      <c r="N38" s="21">
        <f t="shared" si="2"/>
        <v>0</v>
      </c>
      <c r="O38" s="21">
        <f t="shared" si="2"/>
        <v>-0.54339999999999999</v>
      </c>
      <c r="P38" s="21">
        <f t="shared" si="2"/>
        <v>0.1661391564616668</v>
      </c>
      <c r="Q38" s="21">
        <f t="shared" si="2"/>
        <v>0.42381125642680928</v>
      </c>
      <c r="R38" s="21">
        <f t="shared" si="2"/>
        <v>2.2596857496725313</v>
      </c>
      <c r="S38" s="21">
        <f t="shared" si="2"/>
        <v>0</v>
      </c>
      <c r="T38" s="21">
        <f t="shared" si="2"/>
        <v>0</v>
      </c>
      <c r="U38" s="21">
        <f t="shared" si="2"/>
        <v>0</v>
      </c>
      <c r="V38" s="21"/>
    </row>
    <row r="39" spans="1:23" ht="18" customHeight="1">
      <c r="A39" s="24"/>
      <c r="B39" s="13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3" ht="18" customHeight="1">
      <c r="A40" s="24"/>
      <c r="B40" s="13"/>
      <c r="C40" s="48" t="s">
        <v>411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3" ht="18" customHeight="1">
      <c r="A41" s="24"/>
      <c r="B41" s="13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1:23" ht="18" customHeight="1">
      <c r="A42" s="24"/>
      <c r="B42" s="13" t="s">
        <v>215</v>
      </c>
      <c r="C42" s="9" t="s">
        <v>412</v>
      </c>
      <c r="E42" s="21">
        <f>'Classification - O&amp;M'!$R$81</f>
        <v>52.974669052580566</v>
      </c>
      <c r="F42" s="21">
        <f>'Classification - Net Investment'!$R$39</f>
        <v>36.331679985338582</v>
      </c>
      <c r="G42" s="21">
        <f t="shared" ref="G42:G50" si="3">F42+E42</f>
        <v>89.306349037919148</v>
      </c>
      <c r="H42" s="21">
        <f>$G42*'Allocation - Allo%'!F17</f>
        <v>41.380350011708593</v>
      </c>
      <c r="I42" s="21">
        <f>$G42*'Allocation - Allo%'!G17</f>
        <v>36.296144002755149</v>
      </c>
      <c r="J42" s="21">
        <f>$G42*'Allocation - Allo%'!H17</f>
        <v>0</v>
      </c>
      <c r="K42" s="21">
        <f>$G42*'Allocation - Allo%'!I17</f>
        <v>0</v>
      </c>
      <c r="L42" s="21">
        <f>$G42*'Allocation - Allo%'!J17</f>
        <v>2.0234622215901354</v>
      </c>
      <c r="M42" s="21">
        <f>$G42*'Allocation - Allo%'!K17</f>
        <v>1.2531761688937169</v>
      </c>
      <c r="N42" s="21">
        <f>$G42*'Allocation - Allo%'!L17</f>
        <v>7.1760008592519053</v>
      </c>
      <c r="O42" s="21">
        <f>$G42*'Allocation - Allo%'!M17</f>
        <v>4.1425528071519606E-3</v>
      </c>
      <c r="P42" s="21">
        <f>$G42*'Allocation - Allo%'!N17</f>
        <v>8.278605333887247E-2</v>
      </c>
      <c r="Q42" s="21">
        <f>$G42*'Allocation - Allo%'!O17</f>
        <v>8.1097498642740865E-2</v>
      </c>
      <c r="R42" s="21">
        <f>$G42*'Allocation - Allo%'!P17</f>
        <v>0.99710097587030599</v>
      </c>
      <c r="S42" s="21">
        <f>$G42*'Allocation - Allo%'!Q17</f>
        <v>1.208869306057312E-2</v>
      </c>
      <c r="T42" s="21">
        <f>$G42*'Allocation - Allo%'!R17</f>
        <v>0</v>
      </c>
      <c r="U42" s="21">
        <f>$G42*'Allocation - Allo%'!S17</f>
        <v>0</v>
      </c>
      <c r="V42" s="21"/>
    </row>
    <row r="43" spans="1:23" ht="18" customHeight="1">
      <c r="A43" s="24"/>
      <c r="B43" s="13" t="s">
        <v>217</v>
      </c>
      <c r="C43" s="9" t="s">
        <v>413</v>
      </c>
      <c r="E43" s="21">
        <f>'Classification - O&amp;M'!$Q$81</f>
        <v>6.0538668775541442</v>
      </c>
      <c r="F43" s="21">
        <f>'Classification - Net Investment'!$Q$39</f>
        <v>3.9873719897385929</v>
      </c>
      <c r="G43" s="21">
        <f t="shared" si="3"/>
        <v>10.041238867292737</v>
      </c>
      <c r="H43" s="21">
        <f>$G43*'Allocation - Allo%'!F18</f>
        <v>5.0591527747555745</v>
      </c>
      <c r="I43" s="21">
        <f>$G43*'Allocation - Allo%'!G18</f>
        <v>4.437558831486661</v>
      </c>
      <c r="J43" s="21">
        <f>$G43*'Allocation - Allo%'!H18</f>
        <v>0</v>
      </c>
      <c r="K43" s="21">
        <f>$G43*'Allocation - Allo%'!I18</f>
        <v>0</v>
      </c>
      <c r="L43" s="21">
        <f>$G43*'Allocation - Allo%'!J18</f>
        <v>0.24738806003511921</v>
      </c>
      <c r="M43" s="21">
        <f>$G43*'Allocation - Allo%'!K18</f>
        <v>0.15321305137153984</v>
      </c>
      <c r="N43" s="21">
        <f>$G43*'Allocation - Allo%'!L18</f>
        <v>0</v>
      </c>
      <c r="O43" s="21">
        <f>$G43*'Allocation - Allo%'!M18</f>
        <v>5.0646762347211435E-4</v>
      </c>
      <c r="P43" s="21">
        <f>$G43*'Allocation - Allo%'!N18</f>
        <v>1.0121405240456212E-2</v>
      </c>
      <c r="Q43" s="21">
        <f>$G43*'Allocation - Allo%'!O18</f>
        <v>9.9149629031187181E-3</v>
      </c>
      <c r="R43" s="21">
        <f>$G43*'Allocation - Allo%'!P18</f>
        <v>0.12190535283917149</v>
      </c>
      <c r="S43" s="21">
        <f>$G43*'Allocation - Allo%'!Q18</f>
        <v>1.4779610376244308E-3</v>
      </c>
      <c r="T43" s="21">
        <f>$G43*'Allocation - Allo%'!R18</f>
        <v>0</v>
      </c>
      <c r="U43" s="21">
        <f>$G43*'Allocation - Allo%'!S18</f>
        <v>0</v>
      </c>
      <c r="V43" s="21"/>
    </row>
    <row r="44" spans="1:23" ht="18" customHeight="1">
      <c r="A44" s="24"/>
      <c r="B44" s="13" t="s">
        <v>219</v>
      </c>
      <c r="C44" s="9" t="s">
        <v>414</v>
      </c>
      <c r="E44" s="21">
        <f>'Classification - O&amp;M'!$S$81</f>
        <v>7.912373287948582</v>
      </c>
      <c r="F44" s="21">
        <f>'Classification - Net Investment'!$S$39</f>
        <v>11.497709476429819</v>
      </c>
      <c r="G44" s="21">
        <f t="shared" si="3"/>
        <v>19.410082764378402</v>
      </c>
      <c r="H44" s="21">
        <f>$G44*'Allocation - Allo%'!F19</f>
        <v>9.899714928684892</v>
      </c>
      <c r="I44" s="21">
        <f>$G44*'Allocation - Allo%'!G19</f>
        <v>8.6833842279270606</v>
      </c>
      <c r="J44" s="21">
        <f>$G44*'Allocation - Allo%'!H19</f>
        <v>0</v>
      </c>
      <c r="K44" s="21">
        <f>$G44*'Allocation - Allo%'!I19</f>
        <v>0</v>
      </c>
      <c r="L44" s="21">
        <f>$G44*'Allocation - Allo%'!J19</f>
        <v>0.48408723360333533</v>
      </c>
      <c r="M44" s="21">
        <f>$G44*'Allocation - Allo%'!K19</f>
        <v>0.29980623228075542</v>
      </c>
      <c r="N44" s="21">
        <f>$G44*'Allocation - Allo%'!L19</f>
        <v>0</v>
      </c>
      <c r="O44" s="21">
        <f>$G44*'Allocation - Allo%'!M19</f>
        <v>9.9105231966921349E-4</v>
      </c>
      <c r="P44" s="21">
        <f>$G44*'Allocation - Allo%'!N19</f>
        <v>1.9805495311031564E-2</v>
      </c>
      <c r="Q44" s="21">
        <f>$G44*'Allocation - Allo%'!O19</f>
        <v>1.9401530382545818E-2</v>
      </c>
      <c r="R44" s="21">
        <f>$G44*'Allocation - Allo%'!P19</f>
        <v>0</v>
      </c>
      <c r="S44" s="21">
        <f>$G44*'Allocation - Allo%'!Q19</f>
        <v>2.8920638691113817E-3</v>
      </c>
      <c r="T44" s="21">
        <f>$G44*'Allocation - Allo%'!R19</f>
        <v>0</v>
      </c>
      <c r="U44" s="21">
        <f>$G44*'Allocation - Allo%'!S19</f>
        <v>0</v>
      </c>
      <c r="V44" s="21"/>
    </row>
    <row r="45" spans="1:23" ht="18" customHeight="1">
      <c r="A45" s="24"/>
      <c r="B45" s="13" t="s">
        <v>221</v>
      </c>
      <c r="C45" s="9" t="s">
        <v>415</v>
      </c>
      <c r="E45" s="21">
        <f>'Classification - O&amp;M'!$T$81</f>
        <v>49.313533006932722</v>
      </c>
      <c r="F45" s="21">
        <f>'Classification - Net Investment'!$T$39</f>
        <v>62.252262594727014</v>
      </c>
      <c r="G45" s="21">
        <f t="shared" si="3"/>
        <v>111.56579560165974</v>
      </c>
      <c r="H45" s="21">
        <f>$G45*'Allocation - Allo%'!F20</f>
        <v>57.390775235691741</v>
      </c>
      <c r="I45" s="21">
        <f>$G45*'Allocation - Allo%'!G20</f>
        <v>50.339444731497373</v>
      </c>
      <c r="J45" s="21">
        <f>$G45*'Allocation - Allo%'!H20</f>
        <v>0</v>
      </c>
      <c r="K45" s="21">
        <f>$G45*'Allocation - Allo%'!I20</f>
        <v>0</v>
      </c>
      <c r="L45" s="21">
        <f>$G45*'Allocation - Allo%'!J20</f>
        <v>2.8063577404331865</v>
      </c>
      <c r="M45" s="21">
        <f>$G45*'Allocation - Allo%'!K20</f>
        <v>0.77941507997066639</v>
      </c>
      <c r="N45" s="21">
        <f>$G45*'Allocation - Allo%'!L20</f>
        <v>0</v>
      </c>
      <c r="O45" s="21">
        <f>$G45*'Allocation - Allo%'!M20</f>
        <v>5.7453433088403578E-3</v>
      </c>
      <c r="P45" s="21">
        <f>$G45*'Allocation - Allo%'!N20</f>
        <v>0.11481671320993841</v>
      </c>
      <c r="Q45" s="21">
        <f>$G45*'Allocation - Allo%'!O20</f>
        <v>0.11247484169335047</v>
      </c>
      <c r="R45" s="21">
        <f>$G45*'Allocation - Allo%'!P20</f>
        <v>0</v>
      </c>
      <c r="S45" s="21">
        <f>$G45*'Allocation - Allo%'!Q20</f>
        <v>1.6765915854658385E-2</v>
      </c>
      <c r="T45" s="21">
        <f>$G45*'Allocation - Allo%'!R20</f>
        <v>0</v>
      </c>
      <c r="U45" s="21">
        <f>$G45*'Allocation - Allo%'!S20</f>
        <v>0</v>
      </c>
      <c r="V45" s="21"/>
    </row>
    <row r="46" spans="1:23" ht="18" customHeight="1">
      <c r="A46" s="24"/>
      <c r="B46" s="13" t="s">
        <v>223</v>
      </c>
      <c r="C46" s="9" t="s">
        <v>290</v>
      </c>
      <c r="E46" s="21">
        <f>'Classification - O&amp;M'!$U$81</f>
        <v>20.658884987301679</v>
      </c>
      <c r="F46" s="21">
        <f>'Classification - Net Investment'!$U$39</f>
        <v>-5.3663297719242463E-2</v>
      </c>
      <c r="G46" s="21">
        <f t="shared" si="3"/>
        <v>20.605221689582436</v>
      </c>
      <c r="H46" s="21">
        <f>$G46*'Allocation - Allo%'!F11</f>
        <v>8.5255709514908453</v>
      </c>
      <c r="I46" s="21">
        <f>$G46*'Allocation - Allo%'!G11</f>
        <v>8.659693426567177</v>
      </c>
      <c r="J46" s="21">
        <f>$G46*'Allocation - Allo%'!H11</f>
        <v>0</v>
      </c>
      <c r="K46" s="21">
        <f>$G46*'Allocation - Allo%'!I11</f>
        <v>0</v>
      </c>
      <c r="L46" s="21">
        <f>$G46*'Allocation - Allo%'!J11</f>
        <v>1.4147207885651809</v>
      </c>
      <c r="M46" s="21">
        <f>$G46*'Allocation - Allo%'!K11</f>
        <v>0.97328273231301499</v>
      </c>
      <c r="N46" s="21">
        <f>$G46*'Allocation - Allo%'!L11</f>
        <v>0</v>
      </c>
      <c r="O46" s="21">
        <f>$G46*'Allocation - Allo%'!M11</f>
        <v>0.11564912285656533</v>
      </c>
      <c r="P46" s="21">
        <f>$G46*'Allocation - Allo%'!N11</f>
        <v>8.9892864718232615E-2</v>
      </c>
      <c r="Q46" s="21">
        <f>$G46*'Allocation - Allo%'!O11</f>
        <v>0.52202861394652889</v>
      </c>
      <c r="R46" s="21">
        <f>$G46*'Allocation - Allo%'!P11</f>
        <v>0.30438318912488899</v>
      </c>
      <c r="S46" s="21">
        <f>$G46*'Allocation - Allo%'!Q11</f>
        <v>0</v>
      </c>
      <c r="T46" s="21">
        <f>$G46*'Allocation - Allo%'!R11</f>
        <v>0</v>
      </c>
      <c r="U46" s="21">
        <f>$G46*'Allocation - Allo%'!S11</f>
        <v>0</v>
      </c>
      <c r="V46" s="21"/>
    </row>
    <row r="47" spans="1:23" ht="18" customHeight="1">
      <c r="A47" s="24"/>
      <c r="B47" s="13" t="s">
        <v>225</v>
      </c>
      <c r="C47" s="9" t="s">
        <v>319</v>
      </c>
      <c r="E47" s="21">
        <f>'Classification - O&amp;M'!$V$81</f>
        <v>8.269799828319476</v>
      </c>
      <c r="F47" s="21">
        <v>0</v>
      </c>
      <c r="G47" s="21">
        <f t="shared" si="3"/>
        <v>8.269799828319476</v>
      </c>
      <c r="H47" s="21">
        <v>4.1648528864597898</v>
      </c>
      <c r="I47" s="21">
        <v>3.9731696108124508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8.8866552361908566E-4</v>
      </c>
      <c r="P47" s="21">
        <v>8.8866552361908566E-4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/>
    </row>
    <row r="48" spans="1:23" ht="18" customHeight="1">
      <c r="A48" s="24"/>
      <c r="B48" s="13" t="s">
        <v>227</v>
      </c>
      <c r="C48" s="9" t="s">
        <v>291</v>
      </c>
      <c r="E48" s="21">
        <f>'Classification - O&amp;M'!$AA$81</f>
        <v>35.350375806320841</v>
      </c>
      <c r="F48" s="21">
        <f>'Classification - Net Investment'!$Y$39</f>
        <v>44.032213941082247</v>
      </c>
      <c r="G48" s="21">
        <f t="shared" si="3"/>
        <v>79.382589747403088</v>
      </c>
      <c r="H48" s="21">
        <f>$G48*'Allocation - Allo%'!F21</f>
        <v>73.274796144843577</v>
      </c>
      <c r="I48" s="21">
        <f>$G48*'Allocation - Allo%'!G21</f>
        <v>6.0931755665984824</v>
      </c>
      <c r="J48" s="21">
        <f>$G48*'Allocation - Allo%'!H21</f>
        <v>0</v>
      </c>
      <c r="K48" s="21">
        <f>$G48*'Allocation - Allo%'!I21</f>
        <v>0</v>
      </c>
      <c r="L48" s="21">
        <f>$G48*'Allocation - Allo%'!J21</f>
        <v>9.6362674867429641E-3</v>
      </c>
      <c r="M48" s="21">
        <f>$G48*'Allocation - Allo%'!K21</f>
        <v>9.8180838544173585E-4</v>
      </c>
      <c r="N48" s="21">
        <f>$G48*'Allocation - Allo%'!L21</f>
        <v>1.4545309413951642E-4</v>
      </c>
      <c r="O48" s="21">
        <f>$G48*'Allocation - Allo%'!M21</f>
        <v>1.5636207619998015E-3</v>
      </c>
      <c r="P48" s="21">
        <f>$G48*'Allocation - Allo%'!N21</f>
        <v>1.3090778472556477E-3</v>
      </c>
      <c r="Q48" s="21">
        <f>$G48*'Allocation - Allo%'!O21</f>
        <v>9.0908183837197769E-4</v>
      </c>
      <c r="R48" s="21">
        <f>$G48*'Allocation - Allo%'!P21</f>
        <v>3.6363273534879105E-5</v>
      </c>
      <c r="S48" s="21">
        <f>$G48*'Allocation - Allo%'!Q21</f>
        <v>3.6363273534879105E-5</v>
      </c>
      <c r="T48" s="21">
        <f>$G48*'Allocation - Allo%'!R21</f>
        <v>0</v>
      </c>
      <c r="U48" s="21">
        <f>$G48*'Allocation - Allo%'!S21</f>
        <v>0</v>
      </c>
      <c r="V48" s="21"/>
    </row>
    <row r="49" spans="1:23" ht="18" customHeight="1">
      <c r="A49" s="24"/>
      <c r="B49" s="13" t="s">
        <v>229</v>
      </c>
      <c r="C49" s="9" t="s">
        <v>233</v>
      </c>
      <c r="E49" s="21">
        <f>'Classification - O&amp;M'!$W$60</f>
        <v>66.495437535768616</v>
      </c>
      <c r="F49" s="21">
        <f>'Classification - Net Investment'!$L$39</f>
        <v>0</v>
      </c>
      <c r="G49" s="21">
        <f t="shared" si="3"/>
        <v>66.495437535768616</v>
      </c>
      <c r="H49" s="21">
        <v>37.488000965060031</v>
      </c>
      <c r="I49" s="21">
        <v>21.506320665379427</v>
      </c>
      <c r="J49" s="21">
        <v>2.7937919965212664E-3</v>
      </c>
      <c r="K49" s="21">
        <v>0</v>
      </c>
      <c r="L49" s="21">
        <v>1.8046803095769315</v>
      </c>
      <c r="M49" s="21">
        <v>1.3611723817926611</v>
      </c>
      <c r="N49" s="21">
        <v>0.10476719986954748</v>
      </c>
      <c r="O49" s="21">
        <v>0.26388346737129709</v>
      </c>
      <c r="P49" s="21">
        <v>1.6490311208806148</v>
      </c>
      <c r="Q49" s="21">
        <v>2.2708195134561557</v>
      </c>
      <c r="R49" s="21">
        <v>3.6319295954776454E-2</v>
      </c>
      <c r="S49" s="21">
        <v>6.9844799913031655E-3</v>
      </c>
      <c r="T49" s="21">
        <v>0</v>
      </c>
      <c r="U49" s="21">
        <v>0</v>
      </c>
      <c r="V49" s="21"/>
    </row>
    <row r="50" spans="1:23" ht="18" customHeight="1">
      <c r="A50" s="24"/>
      <c r="B50" s="13" t="s">
        <v>230</v>
      </c>
      <c r="C50" s="11" t="s">
        <v>235</v>
      </c>
      <c r="D50" s="11"/>
      <c r="E50" s="22">
        <f>'Classification - O&amp;M'!$W$61</f>
        <v>20.409560744138883</v>
      </c>
      <c r="F50" s="22">
        <f>'Classification - Net Investment'!$M$39</f>
        <v>0</v>
      </c>
      <c r="G50" s="22">
        <f t="shared" si="3"/>
        <v>20.409560744138883</v>
      </c>
      <c r="H50" s="22">
        <v>11.506257590178167</v>
      </c>
      <c r="I50" s="22">
        <v>6.6009725520210729</v>
      </c>
      <c r="J50" s="22">
        <v>8.5750345516548941E-4</v>
      </c>
      <c r="K50" s="22">
        <v>0</v>
      </c>
      <c r="L50" s="22">
        <v>0.55391367842925465</v>
      </c>
      <c r="M50" s="22">
        <v>0.41778701578381389</v>
      </c>
      <c r="N50" s="22">
        <v>3.2156379568705852E-2</v>
      </c>
      <c r="O50" s="22">
        <v>8.0994213387973094E-2</v>
      </c>
      <c r="P50" s="22">
        <v>0.50614000118137592</v>
      </c>
      <c r="Q50" s="22">
        <v>0.69698659817957409</v>
      </c>
      <c r="R50" s="22">
        <v>1.1147544917151361E-2</v>
      </c>
      <c r="S50" s="22">
        <v>2.1437586379137231E-3</v>
      </c>
      <c r="T50" s="22">
        <v>0</v>
      </c>
      <c r="U50" s="22">
        <v>0</v>
      </c>
      <c r="V50" s="22"/>
      <c r="W50" s="11"/>
    </row>
    <row r="51" spans="1:23" ht="18" customHeight="1">
      <c r="A51" s="24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</row>
    <row r="52" spans="1:23" ht="18" customHeight="1">
      <c r="A52" s="24"/>
      <c r="B52" s="13" t="s">
        <v>66</v>
      </c>
      <c r="C52" s="48" t="s">
        <v>416</v>
      </c>
      <c r="E52" s="21">
        <f t="shared" ref="E52:U52" si="4">SUM(E42:E50)</f>
        <v>267.4385011268655</v>
      </c>
      <c r="F52" s="21">
        <f t="shared" si="4"/>
        <v>158.04757468959701</v>
      </c>
      <c r="G52" s="21">
        <f t="shared" si="4"/>
        <v>425.48607581646257</v>
      </c>
      <c r="H52" s="21">
        <f t="shared" si="4"/>
        <v>248.68947148887318</v>
      </c>
      <c r="I52" s="21">
        <f t="shared" si="4"/>
        <v>146.58986361504486</v>
      </c>
      <c r="J52" s="21">
        <f t="shared" si="4"/>
        <v>3.6512954516867559E-3</v>
      </c>
      <c r="K52" s="21">
        <f t="shared" si="4"/>
        <v>0</v>
      </c>
      <c r="L52" s="21">
        <f t="shared" si="4"/>
        <v>9.3442462997198881</v>
      </c>
      <c r="M52" s="21">
        <f t="shared" si="4"/>
        <v>5.2388344707916099</v>
      </c>
      <c r="N52" s="21">
        <f t="shared" si="4"/>
        <v>7.3130698917842984</v>
      </c>
      <c r="O52" s="21">
        <f t="shared" si="4"/>
        <v>0.47436450596058799</v>
      </c>
      <c r="P52" s="21">
        <f t="shared" si="4"/>
        <v>2.4747913972513969</v>
      </c>
      <c r="Q52" s="21">
        <f t="shared" si="4"/>
        <v>3.7136326410423868</v>
      </c>
      <c r="R52" s="21">
        <f t="shared" si="4"/>
        <v>1.4708927219798293</v>
      </c>
      <c r="S52" s="21">
        <f t="shared" si="4"/>
        <v>4.2389235724719088E-2</v>
      </c>
      <c r="T52" s="21">
        <f t="shared" si="4"/>
        <v>0</v>
      </c>
      <c r="U52" s="21">
        <f t="shared" si="4"/>
        <v>0</v>
      </c>
      <c r="V52" s="21"/>
    </row>
    <row r="53" spans="1:23" ht="18" customHeight="1">
      <c r="A53" s="24"/>
      <c r="B53" s="13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</row>
    <row r="54" spans="1:23" ht="18" customHeight="1">
      <c r="A54" s="24"/>
      <c r="B54" s="13"/>
      <c r="C54" s="48" t="s">
        <v>417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</row>
    <row r="55" spans="1:23" ht="13">
      <c r="A55" s="24"/>
      <c r="B55" s="13"/>
      <c r="C55" s="48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</row>
    <row r="56" spans="1:23" ht="18" customHeight="1">
      <c r="A56" s="24"/>
      <c r="B56" s="13" t="s">
        <v>96</v>
      </c>
      <c r="C56" s="9" t="s">
        <v>24</v>
      </c>
      <c r="E56" s="21">
        <f>'Classification - O&amp;M'!$X$81</f>
        <v>11.739996915311817</v>
      </c>
      <c r="F56" s="21">
        <f>'Classification - Net Investment'!$V$39</f>
        <v>46.324330654358178</v>
      </c>
      <c r="G56" s="21">
        <f t="shared" ref="G56:G68" si="5">F56+E56</f>
        <v>58.064327569669999</v>
      </c>
      <c r="H56" s="21">
        <f>$G56*'Allocation - Allo%'!F28</f>
        <v>32.592553053779312</v>
      </c>
      <c r="I56" s="21">
        <f>$G56*'Allocation - Allo%'!G28</f>
        <v>24.379904518295294</v>
      </c>
      <c r="J56" s="21">
        <f>$G56*'Allocation - Allo%'!H28</f>
        <v>0</v>
      </c>
      <c r="K56" s="21">
        <f>$G56*'Allocation - Allo%'!I28</f>
        <v>1.2421771258006979E-9</v>
      </c>
      <c r="L56" s="21">
        <f>$G56*'Allocation - Allo%'!J28</f>
        <v>0.57700236602849164</v>
      </c>
      <c r="M56" s="21">
        <f>$G56*'Allocation - Allo%'!K28</f>
        <v>5.8788920312336894E-2</v>
      </c>
      <c r="N56" s="21">
        <f>$G56*'Allocation - Allo%'!L28</f>
        <v>0.23827948944848429</v>
      </c>
      <c r="O56" s="21">
        <f>$G56*'Allocation - Allo%'!M28</f>
        <v>9.1769357334392967E-2</v>
      </c>
      <c r="P56" s="21">
        <f>$G56*'Allocation - Allo%'!N28</f>
        <v>6.9418310336151173E-2</v>
      </c>
      <c r="Q56" s="21">
        <f>$G56*'Allocation - Allo%'!O28</f>
        <v>5.4434185474386006E-2</v>
      </c>
      <c r="R56" s="21">
        <f>$G56*'Allocation - Allo%'!P28</f>
        <v>0</v>
      </c>
      <c r="S56" s="21">
        <f>$G56*'Allocation - Allo%'!Q28</f>
        <v>2.1773674189754398E-3</v>
      </c>
      <c r="T56" s="21">
        <f>$G56*'Allocation - Allo%'!R28</f>
        <v>0</v>
      </c>
      <c r="U56" s="21">
        <f>$G56*'Allocation - Allo%'!S28</f>
        <v>0</v>
      </c>
      <c r="V56" s="21"/>
    </row>
    <row r="57" spans="1:23" ht="18" customHeight="1">
      <c r="A57" s="24"/>
      <c r="B57" s="13" t="s">
        <v>239</v>
      </c>
      <c r="C57" s="9" t="s">
        <v>20</v>
      </c>
      <c r="E57" s="21">
        <f>'Classification - O&amp;M'!$Y$81</f>
        <v>4.9169598410657489</v>
      </c>
      <c r="F57" s="21">
        <f>'Classification - Net Investment'!$W$39</f>
        <v>7.1851631449540054</v>
      </c>
      <c r="G57" s="21">
        <f t="shared" si="5"/>
        <v>12.102122986019754</v>
      </c>
      <c r="H57" s="21">
        <f>$G57*'Allocation - Allo%'!F29</f>
        <v>0.90495280126754929</v>
      </c>
      <c r="I57" s="21">
        <f>$G57*'Allocation - Allo%'!G29</f>
        <v>10.24996042049189</v>
      </c>
      <c r="J57" s="21">
        <f>$G57*'Allocation - Allo%'!H29</f>
        <v>0</v>
      </c>
      <c r="K57" s="21">
        <f>$G57*'Allocation - Allo%'!I29</f>
        <v>0</v>
      </c>
      <c r="L57" s="21">
        <f>$G57*'Allocation - Allo%'!J29</f>
        <v>0.42163170116736254</v>
      </c>
      <c r="M57" s="21">
        <f>$G57*'Allocation - Allo%'!K29</f>
        <v>8.1591835615490382E-2</v>
      </c>
      <c r="N57" s="21">
        <f>$G57*'Allocation - Allo%'!L29</f>
        <v>0</v>
      </c>
      <c r="O57" s="21">
        <f>$G57*'Allocation - Allo%'!M29</f>
        <v>0.17196441355733388</v>
      </c>
      <c r="P57" s="21">
        <f>$G57*'Allocation - Allo%'!N29</f>
        <v>0.11643471455718396</v>
      </c>
      <c r="Q57" s="21">
        <f>$G57*'Allocation - Allo%'!O29</f>
        <v>0.14734072577182175</v>
      </c>
      <c r="R57" s="21">
        <f>$G57*'Allocation - Allo%'!P29</f>
        <v>0</v>
      </c>
      <c r="S57" s="21">
        <f>$G57*'Allocation - Allo%'!Q29</f>
        <v>8.2463735911190109E-3</v>
      </c>
      <c r="T57" s="21">
        <f>$G57*'Allocation - Allo%'!R29</f>
        <v>0</v>
      </c>
      <c r="U57" s="21">
        <f>$G57*'Allocation - Allo%'!S29</f>
        <v>0</v>
      </c>
      <c r="V57" s="21"/>
    </row>
    <row r="58" spans="1:23" ht="18" customHeight="1">
      <c r="A58" s="24"/>
      <c r="B58" s="13" t="s">
        <v>241</v>
      </c>
      <c r="C58" s="9" t="s">
        <v>22</v>
      </c>
      <c r="E58" s="21">
        <f>'Classification - O&amp;M'!$Z$81</f>
        <v>10.83918066402819</v>
      </c>
      <c r="F58" s="21">
        <f>'Classification - Net Investment'!$X$39</f>
        <v>89.069598073610351</v>
      </c>
      <c r="G58" s="21">
        <f t="shared" si="5"/>
        <v>99.908778737638542</v>
      </c>
      <c r="H58" s="21">
        <f>$G58*'Allocation - Allo%'!F30</f>
        <v>88.668246324210045</v>
      </c>
      <c r="I58" s="21">
        <f>$G58*'Allocation - Allo%'!G30</f>
        <v>10.918869676821062</v>
      </c>
      <c r="J58" s="21">
        <f>$G58*'Allocation - Allo%'!H30</f>
        <v>0</v>
      </c>
      <c r="K58" s="21">
        <f>$G58*'Allocation - Allo%'!I30</f>
        <v>0</v>
      </c>
      <c r="L58" s="21">
        <f>$G58*'Allocation - Allo%'!J30</f>
        <v>0.15593934627091302</v>
      </c>
      <c r="M58" s="21">
        <f>$G58*'Allocation - Allo%'!K30</f>
        <v>1.9916212621547587E-2</v>
      </c>
      <c r="N58" s="21">
        <f>$G58*'Allocation - Allo%'!L30</f>
        <v>1.3186937101809824E-2</v>
      </c>
      <c r="O58" s="21">
        <f>$G58*'Allocation - Allo%'!M30</f>
        <v>1.8395983932198101E-2</v>
      </c>
      <c r="P58" s="21">
        <f>$G58*'Allocation - Allo%'!N30</f>
        <v>4.2231868682724868E-2</v>
      </c>
      <c r="Q58" s="21">
        <f>$G58*'Allocation - Allo%'!O30</f>
        <v>7.1388174465345774E-2</v>
      </c>
      <c r="R58" s="21">
        <f>$G58*'Allocation - Allo%'!P30</f>
        <v>0</v>
      </c>
      <c r="S58" s="21">
        <f>$G58*'Allocation - Allo%'!Q30</f>
        <v>6.0421353292430715E-4</v>
      </c>
      <c r="T58" s="21">
        <f>$G58*'Allocation - Allo%'!R30</f>
        <v>0</v>
      </c>
      <c r="U58" s="21">
        <f>$G58*'Allocation - Allo%'!S30</f>
        <v>0</v>
      </c>
      <c r="V58" s="21"/>
    </row>
    <row r="59" spans="1:23" ht="18" customHeight="1">
      <c r="A59" s="24"/>
      <c r="B59" s="13" t="s">
        <v>243</v>
      </c>
      <c r="C59" s="9" t="s">
        <v>112</v>
      </c>
      <c r="E59" s="21">
        <f>'Classification - O&amp;M'!$AB$81</f>
        <v>0</v>
      </c>
      <c r="F59" s="21">
        <f>'Classification - Net Investment'!$Z$39</f>
        <v>1.530657016806664</v>
      </c>
      <c r="G59" s="21">
        <f t="shared" si="5"/>
        <v>1.530657016806664</v>
      </c>
      <c r="H59" s="21">
        <f>$G59*'Allocation - Allo%'!F31</f>
        <v>0.30613140336133282</v>
      </c>
      <c r="I59" s="21">
        <f>$G59*'Allocation - Allo%'!G31</f>
        <v>1.2245256134453313</v>
      </c>
      <c r="J59" s="21">
        <f>$G59*'Allocation - Allo%'!H31</f>
        <v>0</v>
      </c>
      <c r="K59" s="21">
        <f>$G59*'Allocation - Allo%'!I31</f>
        <v>0</v>
      </c>
      <c r="L59" s="21">
        <f>$G59*'Allocation - Allo%'!J31</f>
        <v>0</v>
      </c>
      <c r="M59" s="21">
        <f>$G59*'Allocation - Allo%'!K31</f>
        <v>0</v>
      </c>
      <c r="N59" s="21">
        <f>$G59*'Allocation - Allo%'!L31</f>
        <v>0</v>
      </c>
      <c r="O59" s="21">
        <f>$G59*'Allocation - Allo%'!M31</f>
        <v>0</v>
      </c>
      <c r="P59" s="21">
        <f>$G59*'Allocation - Allo%'!N31</f>
        <v>0</v>
      </c>
      <c r="Q59" s="21">
        <f>$G59*'Allocation - Allo%'!O31</f>
        <v>0</v>
      </c>
      <c r="R59" s="21">
        <f>$G59*'Allocation - Allo%'!P31</f>
        <v>0</v>
      </c>
      <c r="S59" s="21">
        <f>$G59*'Allocation - Allo%'!Q31</f>
        <v>0</v>
      </c>
      <c r="T59" s="21">
        <f>$G59*'Allocation - Allo%'!R31</f>
        <v>0</v>
      </c>
      <c r="U59" s="21">
        <f>$G59*'Allocation - Allo%'!S31</f>
        <v>0</v>
      </c>
      <c r="V59" s="21"/>
    </row>
    <row r="60" spans="1:23" ht="18" customHeight="1">
      <c r="A60" s="24"/>
      <c r="B60" s="13" t="s">
        <v>245</v>
      </c>
      <c r="C60" s="9" t="s">
        <v>418</v>
      </c>
      <c r="E60" s="21">
        <f>'Classification - O&amp;M'!$AC$63</f>
        <v>6.2996216149880642</v>
      </c>
      <c r="F60" s="21">
        <f>'Classification - Net Investment'!$AA$39</f>
        <v>0</v>
      </c>
      <c r="G60" s="21">
        <f t="shared" si="5"/>
        <v>6.2996216149880642</v>
      </c>
      <c r="H60" s="21">
        <f>$G60*'Allocation - Allo%'!F33</f>
        <v>0</v>
      </c>
      <c r="I60" s="21">
        <f>$G60*'Allocation - Allo%'!G33</f>
        <v>6.2845444690821948</v>
      </c>
      <c r="J60" s="21">
        <f>$G60*'Allocation - Allo%'!H33</f>
        <v>0</v>
      </c>
      <c r="K60" s="21">
        <f>$G60*'Allocation - Allo%'!I33</f>
        <v>0</v>
      </c>
      <c r="L60" s="21">
        <f>$G60*'Allocation - Allo%'!J33</f>
        <v>9.9389145896898005E-3</v>
      </c>
      <c r="M60" s="21">
        <f>$G60*'Allocation - Allo%'!K33</f>
        <v>1.0126441280061305E-3</v>
      </c>
      <c r="N60" s="21">
        <f>$G60*'Allocation - Allo%'!L33</f>
        <v>1.5002135229720453E-4</v>
      </c>
      <c r="O60" s="21">
        <f>$G60*'Allocation - Allo%'!M33</f>
        <v>1.6127295371949487E-3</v>
      </c>
      <c r="P60" s="21">
        <f>$G60*'Allocation - Allo%'!N33</f>
        <v>1.3501921706748409E-3</v>
      </c>
      <c r="Q60" s="21">
        <f>$G60*'Allocation - Allo%'!O33</f>
        <v>9.3763345185752839E-4</v>
      </c>
      <c r="R60" s="21">
        <f>$G60*'Allocation - Allo%'!P33</f>
        <v>3.7505338074301133E-5</v>
      </c>
      <c r="S60" s="21">
        <f>$G60*'Allocation - Allo%'!Q33</f>
        <v>3.7505338074301133E-5</v>
      </c>
      <c r="T60" s="21">
        <f>$G60*'Allocation - Allo%'!R33</f>
        <v>0</v>
      </c>
      <c r="U60" s="21">
        <f>$G60*'Allocation - Allo%'!S33</f>
        <v>0</v>
      </c>
      <c r="V60" s="21"/>
    </row>
    <row r="61" spans="1:23" ht="18" customHeight="1">
      <c r="A61" s="24"/>
      <c r="B61" s="13" t="s">
        <v>246</v>
      </c>
      <c r="C61" s="9" t="s">
        <v>293</v>
      </c>
      <c r="E61" s="21">
        <f>'Classification - O&amp;M'!$AD$59</f>
        <v>6.1686578599152577</v>
      </c>
      <c r="F61" s="21">
        <f>'Classification - Net Investment'!$AB$39</f>
        <v>0</v>
      </c>
      <c r="G61" s="21">
        <f t="shared" si="5"/>
        <v>6.1686578599152577</v>
      </c>
      <c r="H61" s="21">
        <f>$G61*'Allocation - Allo%'!F34</f>
        <v>0</v>
      </c>
      <c r="I61" s="21">
        <f>$G61*'Allocation - Allo%'!G34</f>
        <v>0</v>
      </c>
      <c r="J61" s="21">
        <f>$G61*'Allocation - Allo%'!H34</f>
        <v>0</v>
      </c>
      <c r="K61" s="21">
        <f>$G61*'Allocation - Allo%'!I34</f>
        <v>0</v>
      </c>
      <c r="L61" s="21">
        <f>$G61*'Allocation - Allo%'!J34</f>
        <v>4.0664038131282174</v>
      </c>
      <c r="M61" s="21">
        <f>$G61*'Allocation - Allo%'!K34</f>
        <v>0.41431284133759194</v>
      </c>
      <c r="N61" s="21">
        <f>$G61*'Allocation - Allo%'!L34</f>
        <v>6.1379680198161771E-2</v>
      </c>
      <c r="O61" s="21">
        <f>$G61*'Allocation - Allo%'!M34</f>
        <v>0.65983156213023897</v>
      </c>
      <c r="P61" s="21">
        <f>$G61*'Allocation - Allo%'!N34</f>
        <v>0.55241712178345592</v>
      </c>
      <c r="Q61" s="21">
        <f>$G61*'Allocation - Allo%'!O34</f>
        <v>0.38362300123851106</v>
      </c>
      <c r="R61" s="21">
        <f>$G61*'Allocation - Allo%'!P34</f>
        <v>1.5344920049540443E-2</v>
      </c>
      <c r="S61" s="21">
        <f>$G61*'Allocation - Allo%'!Q34</f>
        <v>1.5344920049540443E-2</v>
      </c>
      <c r="T61" s="21">
        <f>$G61*'Allocation - Allo%'!R34</f>
        <v>0</v>
      </c>
      <c r="U61" s="21">
        <f>$G61*'Allocation - Allo%'!S34</f>
        <v>0</v>
      </c>
      <c r="V61" s="21"/>
    </row>
    <row r="62" spans="1:23" ht="18" customHeight="1">
      <c r="A62" s="24"/>
      <c r="B62" s="13" t="s">
        <v>247</v>
      </c>
      <c r="C62" s="9" t="s">
        <v>294</v>
      </c>
      <c r="E62" s="21">
        <f>'Classification - O&amp;M'!$AE$81</f>
        <v>1.4234759722603749</v>
      </c>
      <c r="F62" s="21">
        <f>'Classification - Net Investment'!$AC$39</f>
        <v>0</v>
      </c>
      <c r="G62" s="21">
        <f t="shared" si="5"/>
        <v>1.4234759722603749</v>
      </c>
      <c r="H62" s="21">
        <f>$G62*'Allocation - Allo%'!F39</f>
        <v>0</v>
      </c>
      <c r="I62" s="21">
        <f>$G62*'Allocation - Allo%'!G39</f>
        <v>0</v>
      </c>
      <c r="J62" s="21">
        <f>$G62*'Allocation - Allo%'!H39</f>
        <v>0</v>
      </c>
      <c r="K62" s="21">
        <f>$G62*'Allocation - Allo%'!I39</f>
        <v>0</v>
      </c>
      <c r="L62" s="21">
        <f>$G62*'Allocation - Allo%'!J39</f>
        <v>0</v>
      </c>
      <c r="M62" s="21">
        <f>$G62*'Allocation - Allo%'!K39</f>
        <v>0</v>
      </c>
      <c r="N62" s="21">
        <f>$G62*'Allocation - Allo%'!L39</f>
        <v>0</v>
      </c>
      <c r="O62" s="21">
        <f>$G62*'Allocation - Allo%'!M39</f>
        <v>0</v>
      </c>
      <c r="P62" s="21">
        <f>$G62*'Allocation - Allo%'!N39</f>
        <v>0</v>
      </c>
      <c r="Q62" s="21">
        <f>$G62*'Allocation - Allo%'!O39</f>
        <v>0</v>
      </c>
      <c r="R62" s="21">
        <f>$G62*'Allocation - Allo%'!P39</f>
        <v>0</v>
      </c>
      <c r="S62" s="21">
        <f>$G62*'Allocation - Allo%'!Q39</f>
        <v>0</v>
      </c>
      <c r="T62" s="21">
        <f>$G62*'Allocation - Allo%'!R39</f>
        <v>0</v>
      </c>
      <c r="U62" s="21">
        <f>$G62*'Allocation - Allo%'!S39</f>
        <v>1.4234759722603749</v>
      </c>
      <c r="V62" s="21"/>
    </row>
    <row r="63" spans="1:23" ht="18" customHeight="1">
      <c r="A63" s="24"/>
      <c r="B63" s="13" t="s">
        <v>249</v>
      </c>
      <c r="C63" s="9" t="s">
        <v>419</v>
      </c>
      <c r="E63" s="21">
        <f>'Classification - O&amp;M'!$AF$81</f>
        <v>137.16550877724836</v>
      </c>
      <c r="F63" s="21">
        <f>'Classification - Net Investment'!$AD$39</f>
        <v>-7.2305323930785113</v>
      </c>
      <c r="G63" s="21">
        <f t="shared" si="5"/>
        <v>129.93497638416986</v>
      </c>
      <c r="H63" s="21">
        <f>$G63*'Allocation - Allo%'!F32</f>
        <v>119.93762028841569</v>
      </c>
      <c r="I63" s="21">
        <f>$G63*'Allocation - Allo%'!G32</f>
        <v>9.9734290084240378</v>
      </c>
      <c r="J63" s="21">
        <f>$G63*'Allocation - Allo%'!H32</f>
        <v>0</v>
      </c>
      <c r="K63" s="21">
        <f>$G63*'Allocation - Allo%'!I32</f>
        <v>0</v>
      </c>
      <c r="L63" s="21">
        <f>$G63*'Allocation - Allo%'!J32</f>
        <v>1.5772831200212278E-2</v>
      </c>
      <c r="M63" s="21">
        <f>$G63*'Allocation - Allo%'!K32</f>
        <v>1.607043178889553E-3</v>
      </c>
      <c r="N63" s="21">
        <f>$G63*'Allocation - Allo%'!L32</f>
        <v>2.3808047094660043E-4</v>
      </c>
      <c r="O63" s="21">
        <f>$G63*'Allocation - Allo%'!M32</f>
        <v>2.5593650626759548E-3</v>
      </c>
      <c r="P63" s="21">
        <f>$G63*'Allocation - Allo%'!N32</f>
        <v>2.1427242385194038E-3</v>
      </c>
      <c r="Q63" s="21">
        <f>$G63*'Allocation - Allo%'!O32</f>
        <v>1.4880029434162527E-3</v>
      </c>
      <c r="R63" s="21">
        <f>$G63*'Allocation - Allo%'!P32</f>
        <v>5.9520117736650107E-5</v>
      </c>
      <c r="S63" s="21">
        <f>$G63*'Allocation - Allo%'!Q32</f>
        <v>5.9520117736650107E-5</v>
      </c>
      <c r="T63" s="21">
        <f>$G63*'Allocation - Allo%'!R32</f>
        <v>0</v>
      </c>
      <c r="U63" s="21">
        <f>$G63*'Allocation - Allo%'!S32</f>
        <v>0</v>
      </c>
      <c r="V63" s="21"/>
    </row>
    <row r="64" spans="1:23" ht="18" customHeight="1">
      <c r="A64" s="24"/>
      <c r="B64" s="13" t="s">
        <v>420</v>
      </c>
      <c r="C64" s="9" t="s">
        <v>277</v>
      </c>
      <c r="E64" s="21">
        <f>'Classification - O&amp;M'!$F$81</f>
        <v>7.4015530579062094</v>
      </c>
      <c r="F64" s="21">
        <f>'Classification - Net Investment'!$F$39</f>
        <v>-0.32164772645138751</v>
      </c>
      <c r="G64" s="21">
        <f t="shared" si="5"/>
        <v>7.0799053314548219</v>
      </c>
      <c r="H64" s="21">
        <f>'Classification - O&amp;M'!$F$53+('Classification - O&amp;M'!$F$58+'Classification - Net Investment'!$F$29+'Classification - Net Investment'!$F$34)*'Allocation - Allo%'!F51+'Allocation - Allo%'!F52</f>
        <v>5.5457881580421837</v>
      </c>
      <c r="I64" s="21">
        <f>+('Classification - O&amp;M'!$F$58+'Classification - Net Investment'!$F$29+'Classification - Net Investment'!$F$34)*'Allocation - Allo%'!G51+'Allocation - Allo%'!G52+'Classification - O&amp;M'!$F$28</f>
        <v>1.5341171734126389</v>
      </c>
      <c r="J64" s="21">
        <f>+('Classification - O&amp;M'!$F$58+'Classification - Net Investment'!$F$29+'Classification - Net Investment'!$F$34)*'Allocation - Allo%'!H51+'Allocation - Allo%'!H52</f>
        <v>0</v>
      </c>
      <c r="K64" s="21">
        <v>0</v>
      </c>
      <c r="L64" s="21">
        <f>+('Classification - O&amp;M'!$F$58+'Classification - Net Investment'!$F$29+'Classification - Net Investment'!$F$34)*'Allocation - Allo%'!I51+'Allocation - Allo%'!I52</f>
        <v>0</v>
      </c>
      <c r="M64" s="21">
        <f>+('Classification - O&amp;M'!$F$58+'Classification - Net Investment'!$F$29+'Classification - Net Investment'!$F$34)*'Allocation - Allo%'!J51+'Allocation - Allo%'!J52</f>
        <v>0</v>
      </c>
      <c r="N64" s="21">
        <f>'Classification - O&amp;M'!$F$28*0</f>
        <v>0</v>
      </c>
      <c r="O64" s="21"/>
      <c r="P64" s="21"/>
      <c r="Q64" s="21"/>
      <c r="R64" s="21"/>
      <c r="S64" s="21"/>
      <c r="T64" s="21"/>
      <c r="U64" s="21"/>
      <c r="V64" s="21"/>
    </row>
    <row r="65" spans="1:23" ht="18" customHeight="1">
      <c r="A65" s="24"/>
      <c r="B65" s="13" t="s">
        <v>421</v>
      </c>
      <c r="C65" s="9" t="s">
        <v>295</v>
      </c>
      <c r="E65" s="21">
        <f>'Classification - O&amp;M'!$AG$81</f>
        <v>17.135286310528777</v>
      </c>
      <c r="F65" s="21">
        <f>'Classification - Net Investment'!$AE$39</f>
        <v>0</v>
      </c>
      <c r="G65" s="21">
        <f t="shared" si="5"/>
        <v>17.135286310528777</v>
      </c>
      <c r="H65" s="21">
        <f>'Classification - O&amp;M'!$AG$25*('Allocation - Allo%'!F35*0+'Allocation - Allo%'!F36)+('Classification - O&amp;M'!$AG$69*'Allocation - Allo%'!F37)</f>
        <v>15.789466777717728</v>
      </c>
      <c r="I65" s="21">
        <f>'Classification - O&amp;M'!$AG$25*('Allocation - Allo%'!G35*0+'Allocation - Allo%'!G36)+('Classification - O&amp;M'!$AG$69*'Allocation - Allo%'!G37)</f>
        <v>1.3334282066078151</v>
      </c>
      <c r="J65" s="21">
        <f>'Classification - O&amp;M'!$AG$25*('Allocation - Allo%'!H35*0+'Allocation - Allo%'!H36)+('Classification - O&amp;M'!$AG$69*'Allocation - Allo%'!H37)</f>
        <v>0</v>
      </c>
      <c r="K65" s="21">
        <f>'Classification - O&amp;M'!$AG$25*('Allocation - Allo%'!I35*0+'Allocation - Allo%'!I36)+('Classification - O&amp;M'!$AG$69*'Allocation - Allo%'!I37)</f>
        <v>0</v>
      </c>
      <c r="L65" s="21">
        <f>'Classification - O&amp;M'!$AG$25*('Allocation - Allo%'!J35*0+'Allocation - Allo%'!J36)+('Classification - O&amp;M'!$AG$69*'Allocation - Allo%'!J37)</f>
        <v>7.6840067517267227E-3</v>
      </c>
      <c r="M65" s="21">
        <f>'Classification - O&amp;M'!$AG$25*('Allocation - Allo%'!K35*0+'Allocation - Allo%'!K36)+('Classification - O&amp;M'!$AG$69*'Allocation - Allo%'!K37)</f>
        <v>1.0037666477480853E-3</v>
      </c>
      <c r="N65" s="21">
        <f>'Classification - O&amp;M'!$AG$25*('Allocation - Allo%'!L35*0+'Allocation - Allo%'!L36)+('Classification - O&amp;M'!$AG$69*'Allocation - Allo%'!L37)</f>
        <v>1.3845057210318419E-4</v>
      </c>
      <c r="O65" s="21">
        <f>'Classification - O&amp;M'!$AG$25*('Allocation - Allo%'!M35*0+'Allocation - Allo%'!M36)+('Classification - O&amp;M'!$AG$69*'Allocation - Allo%'!M37)</f>
        <v>1.2460551489286576E-3</v>
      </c>
      <c r="P65" s="21">
        <f>'Classification - O&amp;M'!$AG$25*('Allocation - Allo%'!N35*0+'Allocation - Allo%'!N36)+('Classification - O&amp;M'!$AG$69*'Allocation - Allo%'!N37)</f>
        <v>1.2806677919544537E-3</v>
      </c>
      <c r="Q65" s="21">
        <f>'Classification - O&amp;M'!$AG$25*('Allocation - Allo%'!O35*0+'Allocation - Allo%'!O36)+('Classification - O&amp;M'!$AG$69*'Allocation - Allo%'!O37)</f>
        <v>1.0383792907738814E-3</v>
      </c>
      <c r="R65" s="21">
        <f>'Classification - O&amp;M'!$AG$25*('Allocation - Allo%'!P35*0+'Allocation - Allo%'!P36)+('Classification - O&amp;M'!$AG$69*'Allocation - Allo%'!P37)</f>
        <v>0</v>
      </c>
      <c r="S65" s="21">
        <f>'Classification - O&amp;M'!$AG$25*('Allocation - Allo%'!Q35*0+'Allocation - Allo%'!Q36)+('Classification - O&amp;M'!$AG$69*'Allocation - Allo%'!Q37)</f>
        <v>0</v>
      </c>
      <c r="T65" s="21">
        <f>'Classification - O&amp;M'!$AG$25*('Allocation - Allo%'!R35*0+'Allocation - Allo%'!R36)+('Classification - O&amp;M'!$AG$69*'Allocation - Allo%'!R37)</f>
        <v>0</v>
      </c>
      <c r="U65" s="21">
        <f>'Classification - O&amp;M'!$AG$25*('Allocation - Allo%'!S35*0+'Allocation - Allo%'!S36)+('Classification - O&amp;M'!$AG$69*'Allocation - Allo%'!S37)</f>
        <v>0</v>
      </c>
      <c r="V65" s="21"/>
    </row>
    <row r="66" spans="1:23" ht="18" customHeight="1">
      <c r="A66" s="24"/>
      <c r="B66" s="13" t="s">
        <v>422</v>
      </c>
      <c r="C66" s="9" t="s">
        <v>248</v>
      </c>
      <c r="E66" s="21">
        <f>'Classification - O&amp;M'!$AC$71</f>
        <v>3.1224574009068986</v>
      </c>
      <c r="F66" s="21">
        <v>0</v>
      </c>
      <c r="G66" s="21">
        <f t="shared" si="5"/>
        <v>3.1224574009068986</v>
      </c>
      <c r="H66" s="21">
        <f>$G66*'Allocation - Allo%'!F33</f>
        <v>0</v>
      </c>
      <c r="I66" s="21">
        <f>$G66*'Allocation - Allo%'!G33</f>
        <v>3.1149842939973778</v>
      </c>
      <c r="J66" s="21">
        <f>$G66*'Allocation - Allo%'!H33</f>
        <v>0</v>
      </c>
      <c r="K66" s="21">
        <f>$G66*'Allocation - Allo%'!I33</f>
        <v>0</v>
      </c>
      <c r="L66" s="21">
        <f>$G66*'Allocation - Allo%'!J33</f>
        <v>4.9263018184652141E-3</v>
      </c>
      <c r="M66" s="21">
        <f>$G66*'Allocation - Allo%'!K33</f>
        <v>5.0192509093796513E-4</v>
      </c>
      <c r="N66" s="21">
        <f>$G66*'Allocation - Allo%'!L33</f>
        <v>7.4359272731550394E-5</v>
      </c>
      <c r="O66" s="21">
        <f>$G66*'Allocation - Allo%'!M33</f>
        <v>7.9936218186416681E-4</v>
      </c>
      <c r="P66" s="21">
        <f>$G66*'Allocation - Allo%'!N33</f>
        <v>6.6923345458395358E-4</v>
      </c>
      <c r="Q66" s="21">
        <f>$G66*'Allocation - Allo%'!O33</f>
        <v>4.6474545457219003E-4</v>
      </c>
      <c r="R66" s="21">
        <f>$G66*'Allocation - Allo%'!P33</f>
        <v>1.8589818182887599E-5</v>
      </c>
      <c r="S66" s="21">
        <f>$G66*'Allocation - Allo%'!Q33</f>
        <v>1.8589818182887599E-5</v>
      </c>
      <c r="T66" s="21">
        <f>$G66*'Allocation - Allo%'!R33</f>
        <v>0</v>
      </c>
      <c r="U66" s="21">
        <f>$G66*'Allocation - Allo%'!S33</f>
        <v>0</v>
      </c>
      <c r="V66" s="21"/>
    </row>
    <row r="67" spans="1:23" ht="18" customHeight="1">
      <c r="A67" s="24"/>
      <c r="B67" s="13" t="s">
        <v>438</v>
      </c>
      <c r="C67" s="9" t="s">
        <v>439</v>
      </c>
      <c r="E67" s="21">
        <f>'Classification - O&amp;M'!$AI$81</f>
        <v>1.9</v>
      </c>
      <c r="F67" s="21">
        <v>0</v>
      </c>
      <c r="G67" s="21">
        <f t="shared" si="5"/>
        <v>1.9</v>
      </c>
      <c r="H67" s="21">
        <f>$G67*'Allocation - Allo%'!F41</f>
        <v>1.2883845561468448</v>
      </c>
      <c r="I67" s="21">
        <f>$G67*'Allocation - Allo%'!G41</f>
        <v>0.54967661203004192</v>
      </c>
      <c r="J67" s="21">
        <f>$G67*'Allocation - Allo%'!H41</f>
        <v>0</v>
      </c>
      <c r="K67" s="21">
        <f>$G67*'Allocation - Allo%'!I41</f>
        <v>1.6303058398096997E-12</v>
      </c>
      <c r="L67" s="21">
        <f>$G67*'Allocation - Allo%'!J41</f>
        <v>2.3560882845151867E-2</v>
      </c>
      <c r="M67" s="21">
        <f>$G67*'Allocation - Allo%'!K41</f>
        <v>8.6450046883253737E-3</v>
      </c>
      <c r="N67" s="21">
        <f>$G67*'Allocation - Allo%'!L41</f>
        <v>1.8929630145650619E-2</v>
      </c>
      <c r="O67" s="21">
        <f>$G67*'Allocation - Allo%'!M41</f>
        <v>1.0824703276371742E-3</v>
      </c>
      <c r="P67" s="21">
        <f>$G67*'Allocation - Allo%'!N41</f>
        <v>1.9376941598229476E-3</v>
      </c>
      <c r="Q67" s="21">
        <f>$G67*'Allocation - Allo%'!O41</f>
        <v>2.7159233542801767E-3</v>
      </c>
      <c r="R67" s="21">
        <f>$G67*'Allocation - Allo%'!P41</f>
        <v>4.9165952121842027E-3</v>
      </c>
      <c r="S67" s="21">
        <f>$G67*'Allocation - Allo%'!Q41</f>
        <v>1.5063108843044049E-4</v>
      </c>
      <c r="T67" s="21">
        <f>$G67*'Allocation - Allo%'!R41</f>
        <v>0</v>
      </c>
      <c r="U67" s="21">
        <f>$G67*'Allocation - Allo%'!S41</f>
        <v>0</v>
      </c>
      <c r="V67" s="21"/>
    </row>
    <row r="68" spans="1:23" ht="18" customHeight="1">
      <c r="A68" s="24"/>
      <c r="B68" s="13" t="s">
        <v>440</v>
      </c>
      <c r="C68" s="9" t="s">
        <v>441</v>
      </c>
      <c r="E68" s="21">
        <v>0</v>
      </c>
      <c r="F68" s="21">
        <f>'Classification - Net Investment'!$AF$39</f>
        <v>12.71</v>
      </c>
      <c r="G68" s="21">
        <f t="shared" si="5"/>
        <v>12.71</v>
      </c>
      <c r="H68" s="21">
        <f>$G68*'Allocation - Allo%'!F32</f>
        <v>11.732077045665157</v>
      </c>
      <c r="I68" s="21">
        <f>$G68*'Allocation - Allo%'!G32</f>
        <v>0.97558245073505201</v>
      </c>
      <c r="J68" s="21">
        <f>$G68*'Allocation - Allo%'!H32</f>
        <v>0</v>
      </c>
      <c r="K68" s="21">
        <f>$G68*'Allocation - Allo%'!I32</f>
        <v>0</v>
      </c>
      <c r="L68" s="21">
        <f>$G68*'Allocation - Allo%'!J32</f>
        <v>1.5428692884198801E-3</v>
      </c>
      <c r="M68" s="21">
        <f>$G68*'Allocation - Allo%'!K32</f>
        <v>1.5719800297108212E-4</v>
      </c>
      <c r="N68" s="21">
        <f>$G68*'Allocation - Allo%'!L32</f>
        <v>2.3288593032752907E-5</v>
      </c>
      <c r="O68" s="21">
        <f>$G68*'Allocation - Allo%'!M32</f>
        <v>2.5035237510209377E-4</v>
      </c>
      <c r="P68" s="21">
        <f>$G68*'Allocation - Allo%'!N32</f>
        <v>2.0959733729477615E-4</v>
      </c>
      <c r="Q68" s="21">
        <f>$G68*'Allocation - Allo%'!O32</f>
        <v>1.4555370645470567E-4</v>
      </c>
      <c r="R68" s="21">
        <f>$G68*'Allocation - Allo%'!P32</f>
        <v>5.8221482581882269E-6</v>
      </c>
      <c r="S68" s="21">
        <f>$G68*'Allocation - Allo%'!Q32</f>
        <v>5.8221482581882269E-6</v>
      </c>
      <c r="T68" s="21">
        <f>$G68*'Allocation - Allo%'!R32</f>
        <v>0</v>
      </c>
      <c r="U68" s="21">
        <f>$G68*'Allocation - Allo%'!S32</f>
        <v>0</v>
      </c>
      <c r="V68" s="21"/>
    </row>
    <row r="69" spans="1:23" ht="18" customHeight="1">
      <c r="A69" s="24"/>
      <c r="B69" s="13"/>
      <c r="C69" s="11"/>
      <c r="D69" s="11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11"/>
    </row>
    <row r="70" spans="1:23">
      <c r="A70" s="24"/>
      <c r="B70" s="13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</row>
    <row r="71" spans="1:23" ht="18" customHeight="1">
      <c r="A71" s="24"/>
      <c r="B71" s="13" t="s">
        <v>68</v>
      </c>
      <c r="C71" s="48" t="s">
        <v>423</v>
      </c>
      <c r="E71" s="21">
        <f t="shared" ref="E71:U71" si="6">SUM(E56:E68)</f>
        <v>208.11269841415972</v>
      </c>
      <c r="F71" s="21">
        <f t="shared" si="6"/>
        <v>149.26756877019932</v>
      </c>
      <c r="G71" s="21">
        <f t="shared" si="6"/>
        <v>357.38026718435901</v>
      </c>
      <c r="H71" s="21">
        <f t="shared" si="6"/>
        <v>276.76522040860584</v>
      </c>
      <c r="I71" s="21">
        <f t="shared" si="6"/>
        <v>70.539022443342731</v>
      </c>
      <c r="J71" s="21">
        <f t="shared" si="6"/>
        <v>0</v>
      </c>
      <c r="K71" s="21">
        <f t="shared" si="6"/>
        <v>1.2438074316405076E-9</v>
      </c>
      <c r="L71" s="21">
        <f t="shared" si="6"/>
        <v>5.2844030330886493</v>
      </c>
      <c r="M71" s="21">
        <f t="shared" si="6"/>
        <v>0.587537391623845</v>
      </c>
      <c r="N71" s="21">
        <f t="shared" si="6"/>
        <v>0.33239993715521776</v>
      </c>
      <c r="O71" s="21">
        <f t="shared" si="6"/>
        <v>0.9495116515875669</v>
      </c>
      <c r="P71" s="21">
        <f t="shared" si="6"/>
        <v>0.78809212451236621</v>
      </c>
      <c r="Q71" s="21">
        <f t="shared" si="6"/>
        <v>0.6635763251514194</v>
      </c>
      <c r="R71" s="21">
        <f t="shared" si="6"/>
        <v>2.0382952683976673E-2</v>
      </c>
      <c r="S71" s="21">
        <f t="shared" si="6"/>
        <v>2.6644943103241669E-2</v>
      </c>
      <c r="T71" s="21">
        <f t="shared" si="6"/>
        <v>0</v>
      </c>
      <c r="U71" s="21">
        <f t="shared" si="6"/>
        <v>1.4234759722603749</v>
      </c>
      <c r="V71" s="21"/>
      <c r="W71" s="21"/>
    </row>
    <row r="72" spans="1:23">
      <c r="A72" s="24"/>
      <c r="B72" s="13"/>
      <c r="C72" s="11"/>
      <c r="D72" s="11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  <row r="73" spans="1:23" ht="18" customHeight="1">
      <c r="A73" s="24"/>
      <c r="B73" s="13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3" ht="18" customHeight="1">
      <c r="A74" s="24"/>
      <c r="B74" s="13" t="s">
        <v>71</v>
      </c>
      <c r="C74" s="9" t="s">
        <v>442</v>
      </c>
      <c r="E74" s="21">
        <v>349.7672639896453</v>
      </c>
      <c r="F74" s="21">
        <v>0</v>
      </c>
      <c r="G74" s="21">
        <f>F74+E74</f>
        <v>349.7672639896453</v>
      </c>
      <c r="H74" s="21">
        <f>$G74*'Allocation - Allo%'!F41</f>
        <v>237.1761795631555</v>
      </c>
      <c r="I74" s="21">
        <f>$G74*'Allocation - Allo%'!G41</f>
        <v>101.18888666781343</v>
      </c>
      <c r="J74" s="21">
        <f>$G74*'Allocation - Allo%'!H41</f>
        <v>0</v>
      </c>
      <c r="K74" s="21">
        <f>$G74*'Allocation - Allo%'!I41</f>
        <v>3.0011979634556825E-10</v>
      </c>
      <c r="L74" s="21">
        <f>$G74*'Allocation - Allo%'!J41</f>
        <v>4.3372765946996523</v>
      </c>
      <c r="M74" s="21">
        <f>$G74*'Allocation - Allo%'!K41</f>
        <v>1.5914419142174854</v>
      </c>
      <c r="N74" s="21">
        <f>$G74*'Allocation - Allo%'!L41</f>
        <v>3.484718391779015</v>
      </c>
      <c r="O74" s="21">
        <f>$G74*'Allocation - Allo%'!M41</f>
        <v>0.19926983413033125</v>
      </c>
      <c r="P74" s="21">
        <f>$G74*'Allocation - Allo%'!N41</f>
        <v>0.35670630775262469</v>
      </c>
      <c r="Q74" s="21">
        <f>$G74*'Allocation - Allo%'!O41</f>
        <v>0.49996898991166189</v>
      </c>
      <c r="R74" s="21">
        <f>$G74*'Allocation - Allo%'!P41</f>
        <v>0.90508634500539908</v>
      </c>
      <c r="S74" s="21">
        <f>$G74*'Allocation - Allo%'!Q41</f>
        <v>2.7729380880051308E-2</v>
      </c>
      <c r="T74" s="21">
        <f>$G74*'Allocation - Allo%'!R41</f>
        <v>0</v>
      </c>
      <c r="U74" s="21">
        <f>$G74*'Allocation - Allo%'!S41</f>
        <v>0</v>
      </c>
      <c r="V74" s="21"/>
      <c r="W74" s="21"/>
    </row>
    <row r="75" spans="1:23" ht="18" customHeight="1">
      <c r="A75" s="24"/>
      <c r="B75" s="13" t="s">
        <v>73</v>
      </c>
      <c r="C75" s="9" t="s">
        <v>443</v>
      </c>
      <c r="E75" s="21">
        <v>48.19169482498269</v>
      </c>
      <c r="F75" s="21">
        <v>0</v>
      </c>
      <c r="G75" s="21">
        <f>F75+E75</f>
        <v>48.19169482498269</v>
      </c>
      <c r="H75" s="21">
        <f>$G75*'Allocation - Allo%'!F41</f>
        <v>32.678650182657641</v>
      </c>
      <c r="I75" s="21">
        <f>$G75*'Allocation - Allo%'!G41</f>
        <v>13.942025020727471</v>
      </c>
      <c r="J75" s="21">
        <f>$G75*'Allocation - Allo%'!H41</f>
        <v>0</v>
      </c>
      <c r="K75" s="21">
        <f>$G75*'Allocation - Allo%'!I41</f>
        <v>4.1351158686050612E-11</v>
      </c>
      <c r="L75" s="21">
        <f>$G75*'Allocation - Allo%'!J41</f>
        <v>0.59759940835827829</v>
      </c>
      <c r="M75" s="21">
        <f>$G75*'Allocation - Allo%'!K41</f>
        <v>0.21927233036859001</v>
      </c>
      <c r="N75" s="21">
        <f>$G75*'Allocation - Allo%'!L41</f>
        <v>0.48013208375209865</v>
      </c>
      <c r="O75" s="21">
        <f>$G75*'Allocation - Allo%'!M41</f>
        <v>2.7455831413994596E-2</v>
      </c>
      <c r="P75" s="21">
        <f>$G75*'Allocation - Allo%'!N41</f>
        <v>4.914777137596775E-2</v>
      </c>
      <c r="Q75" s="21">
        <f>$G75*'Allocation - Allo%'!O41</f>
        <v>6.8886815503954535E-2</v>
      </c>
      <c r="R75" s="21">
        <f>$G75*'Allocation - Allo%'!P41</f>
        <v>0.12470476633871165</v>
      </c>
      <c r="S75" s="21">
        <f>$G75*'Allocation - Allo%'!Q41</f>
        <v>3.8206144446288259E-3</v>
      </c>
      <c r="T75" s="21">
        <f>$G75*'Allocation - Allo%'!R41</f>
        <v>0</v>
      </c>
      <c r="U75" s="21">
        <f>$G75*'Allocation - Allo%'!S41</f>
        <v>0</v>
      </c>
      <c r="V75" s="21"/>
      <c r="W75" s="21"/>
    </row>
    <row r="76" spans="1:23" ht="18" customHeight="1">
      <c r="A76" s="24"/>
      <c r="B76" s="13" t="s">
        <v>75</v>
      </c>
      <c r="C76" s="9" t="s">
        <v>444</v>
      </c>
      <c r="E76" s="21">
        <v>0.5</v>
      </c>
      <c r="F76" s="21">
        <v>0</v>
      </c>
      <c r="G76" s="21">
        <f>F76+E76</f>
        <v>0.5</v>
      </c>
      <c r="H76" s="21">
        <f>$G76*('Allocation - Rate Base'!F70/'Allocation - Rate Base'!$E70)</f>
        <v>0.46152938810641836</v>
      </c>
      <c r="I76" s="21">
        <f>$G76*('Allocation - Rate Base'!G70/'Allocation - Rate Base'!$E70)</f>
        <v>3.8378538581237291E-2</v>
      </c>
      <c r="J76" s="21">
        <f>$G76*('Allocation - Rate Base'!H70/'Allocation - Rate Base'!$E70)</f>
        <v>0</v>
      </c>
      <c r="K76" s="21">
        <f>$G76*('Allocation - Rate Base'!I70/'Allocation - Rate Base'!$E70)</f>
        <v>0</v>
      </c>
      <c r="L76" s="21">
        <f>$G76*('Allocation - Rate Base'!J70/'Allocation - Rate Base'!$E70)</f>
        <v>6.0695093958295829E-5</v>
      </c>
      <c r="M76" s="21">
        <f>$G76*('Allocation - Rate Base'!K70/'Allocation - Rate Base'!$E70)</f>
        <v>6.1840284410339141E-6</v>
      </c>
      <c r="N76" s="21">
        <f>$G76*('Allocation - Rate Base'!L70/'Allocation - Rate Base'!$E70)</f>
        <v>9.1615236163465404E-7</v>
      </c>
      <c r="O76" s="21">
        <f>$G76*('Allocation - Rate Base'!M70/'Allocation - Rate Base'!$E70)</f>
        <v>9.8486378875725307E-6</v>
      </c>
      <c r="P76" s="21">
        <f>$G76*('Allocation - Rate Base'!N70/'Allocation - Rate Base'!$E70)</f>
        <v>8.2453712547118854E-6</v>
      </c>
      <c r="Q76" s="21">
        <f>$G76*('Allocation - Rate Base'!O70/'Allocation - Rate Base'!$E70)</f>
        <v>5.725952260216588E-6</v>
      </c>
      <c r="R76" s="21">
        <f>$G76*('Allocation - Rate Base'!P70/'Allocation - Rate Base'!$E70)</f>
        <v>2.2903809040866351E-7</v>
      </c>
      <c r="S76" s="21">
        <f>$G76*('Allocation - Rate Base'!Q70/'Allocation - Rate Base'!$E70)</f>
        <v>2.2903809040866351E-7</v>
      </c>
      <c r="T76" s="21">
        <f>$G76*('Allocation - Rate Base'!R70/'Allocation - Rate Base'!$E70)</f>
        <v>0</v>
      </c>
      <c r="U76" s="21">
        <f>$G76*('Allocation - Rate Base'!S70/'Allocation - Rate Base'!$E70)</f>
        <v>0</v>
      </c>
      <c r="V76" s="21"/>
      <c r="W76" s="21"/>
    </row>
    <row r="77" spans="1:23" ht="18" customHeight="1">
      <c r="A77" s="24"/>
      <c r="B77" s="13" t="s">
        <v>445</v>
      </c>
      <c r="C77" s="11" t="s">
        <v>446</v>
      </c>
      <c r="D77" s="11"/>
      <c r="E77" s="22">
        <v>7.1</v>
      </c>
      <c r="F77" s="22">
        <v>0</v>
      </c>
      <c r="G77" s="22">
        <f>F77+E77</f>
        <v>7.1</v>
      </c>
      <c r="H77" s="22">
        <f>$G77*('Allocation - Rate Base'!F70/'Allocation - Rate Base'!$E70)</f>
        <v>6.5537173111111402</v>
      </c>
      <c r="I77" s="22">
        <f>$G77*('Allocation - Rate Base'!G70/'Allocation - Rate Base'!$E70)</f>
        <v>0.54497524785356954</v>
      </c>
      <c r="J77" s="22">
        <f>$G77*('Allocation - Rate Base'!H70/'Allocation - Rate Base'!$E70)</f>
        <v>0</v>
      </c>
      <c r="K77" s="22">
        <f>$G77*('Allocation - Rate Base'!I70/'Allocation - Rate Base'!$E70)</f>
        <v>0</v>
      </c>
      <c r="L77" s="22">
        <f>$G77*('Allocation - Rate Base'!J70/'Allocation - Rate Base'!$E70)</f>
        <v>8.6187033420780069E-4</v>
      </c>
      <c r="M77" s="22">
        <f>$G77*('Allocation - Rate Base'!K70/'Allocation - Rate Base'!$E70)</f>
        <v>8.7813203862681572E-5</v>
      </c>
      <c r="N77" s="22">
        <f>$G77*('Allocation - Rate Base'!L70/'Allocation - Rate Base'!$E70)</f>
        <v>1.3009363535212088E-5</v>
      </c>
      <c r="O77" s="22">
        <f>$G77*('Allocation - Rate Base'!M70/'Allocation - Rate Base'!$E70)</f>
        <v>1.3985065800352993E-4</v>
      </c>
      <c r="P77" s="22">
        <f>$G77*('Allocation - Rate Base'!N70/'Allocation - Rate Base'!$E70)</f>
        <v>1.1708427181690876E-4</v>
      </c>
      <c r="Q77" s="22">
        <f>$G77*('Allocation - Rate Base'!O70/'Allocation - Rate Base'!$E70)</f>
        <v>8.1308522095075548E-5</v>
      </c>
      <c r="R77" s="22">
        <f>$G77*('Allocation - Rate Base'!P70/'Allocation - Rate Base'!$E70)</f>
        <v>3.2523408838030219E-6</v>
      </c>
      <c r="S77" s="22">
        <f>$G77*('Allocation - Rate Base'!Q70/'Allocation - Rate Base'!$E70)</f>
        <v>3.2523408838030219E-6</v>
      </c>
      <c r="T77" s="22">
        <f>$G77*('Allocation - Rate Base'!R70/'Allocation - Rate Base'!$E70)</f>
        <v>0</v>
      </c>
      <c r="U77" s="22">
        <f>$G77*('Allocation - Rate Base'!S70/'Allocation - Rate Base'!$E70)</f>
        <v>0</v>
      </c>
      <c r="V77" s="22"/>
      <c r="W77" s="22"/>
    </row>
    <row r="78" spans="1:23" ht="18" customHeight="1">
      <c r="A78" s="24"/>
      <c r="B78" s="13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3" ht="18" customHeight="1">
      <c r="A79" s="24"/>
      <c r="B79" s="13" t="s">
        <v>99</v>
      </c>
      <c r="C79" s="48" t="s">
        <v>447</v>
      </c>
      <c r="E79" s="21">
        <f t="shared" ref="E79:U79" si="7">SUM(E74:E77)</f>
        <v>405.558958814628</v>
      </c>
      <c r="F79" s="21">
        <f t="shared" si="7"/>
        <v>0</v>
      </c>
      <c r="G79" s="21">
        <f t="shared" si="7"/>
        <v>405.558958814628</v>
      </c>
      <c r="H79" s="21">
        <f t="shared" si="7"/>
        <v>276.87007644503075</v>
      </c>
      <c r="I79" s="21">
        <f t="shared" si="7"/>
        <v>115.71426547497572</v>
      </c>
      <c r="J79" s="21">
        <f t="shared" si="7"/>
        <v>0</v>
      </c>
      <c r="K79" s="21">
        <f t="shared" si="7"/>
        <v>3.4147095503161885E-10</v>
      </c>
      <c r="L79" s="21">
        <f t="shared" si="7"/>
        <v>4.9357985684860965</v>
      </c>
      <c r="M79" s="21">
        <f t="shared" si="7"/>
        <v>1.8108082418183791</v>
      </c>
      <c r="N79" s="21">
        <f t="shared" si="7"/>
        <v>3.9648644010470107</v>
      </c>
      <c r="O79" s="21">
        <f t="shared" si="7"/>
        <v>0.22687536484021698</v>
      </c>
      <c r="P79" s="21">
        <f t="shared" si="7"/>
        <v>0.40597940877166405</v>
      </c>
      <c r="Q79" s="21">
        <f t="shared" si="7"/>
        <v>0.56894283988997174</v>
      </c>
      <c r="R79" s="21">
        <f t="shared" si="7"/>
        <v>1.0297945927230849</v>
      </c>
      <c r="S79" s="21">
        <f t="shared" si="7"/>
        <v>3.1553476703654347E-2</v>
      </c>
      <c r="T79" s="21">
        <f t="shared" si="7"/>
        <v>0</v>
      </c>
      <c r="U79" s="21">
        <f t="shared" si="7"/>
        <v>0</v>
      </c>
      <c r="V79" s="21"/>
      <c r="W79" s="21"/>
    </row>
    <row r="80" spans="1:23" ht="18" customHeight="1">
      <c r="A80" s="24"/>
      <c r="B80" s="13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8" customHeight="1">
      <c r="A81" s="24"/>
      <c r="B81" s="13" t="s">
        <v>78</v>
      </c>
      <c r="C81" s="9" t="s">
        <v>448</v>
      </c>
      <c r="E81" s="21">
        <f t="shared" ref="E81:U81" si="8">E79+E71+E52+E38</f>
        <v>1075.9098121298787</v>
      </c>
      <c r="F81" s="21">
        <f t="shared" si="8"/>
        <v>307.59762159163859</v>
      </c>
      <c r="G81" s="21">
        <f t="shared" si="8"/>
        <v>1383.5074337215171</v>
      </c>
      <c r="H81" s="21">
        <f>H79+H71+H52+H38</f>
        <v>905.64073648029887</v>
      </c>
      <c r="I81" s="21">
        <f t="shared" si="8"/>
        <v>420.43970366909446</v>
      </c>
      <c r="J81" s="21">
        <f t="shared" si="8"/>
        <v>3.6512954516867559E-3</v>
      </c>
      <c r="K81" s="21">
        <f t="shared" si="8"/>
        <v>1.5852783866721265E-9</v>
      </c>
      <c r="L81" s="21">
        <f t="shared" si="8"/>
        <v>21.025565904734421</v>
      </c>
      <c r="M81" s="21">
        <f t="shared" si="8"/>
        <v>8.0394375707805921</v>
      </c>
      <c r="N81" s="21">
        <f t="shared" si="8"/>
        <v>11.610334229986528</v>
      </c>
      <c r="O81" s="21">
        <f t="shared" si="8"/>
        <v>1.1073515223883716</v>
      </c>
      <c r="P81" s="21">
        <f t="shared" si="8"/>
        <v>3.8350020869970942</v>
      </c>
      <c r="Q81" s="21">
        <f t="shared" si="8"/>
        <v>5.3699630625105872</v>
      </c>
      <c r="R81" s="21">
        <f t="shared" si="8"/>
        <v>4.7807560170594225</v>
      </c>
      <c r="S81" s="21">
        <f t="shared" si="8"/>
        <v>0.10058765553161511</v>
      </c>
      <c r="T81" s="21">
        <f t="shared" si="8"/>
        <v>0</v>
      </c>
      <c r="U81" s="21">
        <f t="shared" si="8"/>
        <v>1.4234759722603749</v>
      </c>
      <c r="V81" s="21"/>
      <c r="W81" s="21"/>
    </row>
    <row r="82" spans="1:23" ht="18" customHeight="1">
      <c r="A82" s="24"/>
      <c r="B82" s="13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8" customHeight="1">
      <c r="A83" s="24"/>
      <c r="B83" s="13" t="s">
        <v>80</v>
      </c>
      <c r="C83" s="9" t="s">
        <v>449</v>
      </c>
      <c r="E83" s="25">
        <f t="shared" ref="E83:U83" si="9">E81+E18+E28</f>
        <v>2652.9463042475268</v>
      </c>
      <c r="F83" s="25">
        <f t="shared" si="9"/>
        <v>303.31289999999996</v>
      </c>
      <c r="G83" s="25">
        <f t="shared" si="9"/>
        <v>2956.2592042475267</v>
      </c>
      <c r="H83" s="25">
        <f t="shared" si="9"/>
        <v>1772.7306941856641</v>
      </c>
      <c r="I83" s="25">
        <f t="shared" si="9"/>
        <v>1061.3688391724581</v>
      </c>
      <c r="J83" s="25">
        <f t="shared" si="9"/>
        <v>3.6512954516867559E-3</v>
      </c>
      <c r="K83" s="25">
        <f t="shared" si="9"/>
        <v>1.5852783866721265E-9</v>
      </c>
      <c r="L83" s="25">
        <f t="shared" si="9"/>
        <v>46.653463091797718</v>
      </c>
      <c r="M83" s="25">
        <f t="shared" si="9"/>
        <v>13.044958815575324</v>
      </c>
      <c r="N83" s="25">
        <f t="shared" si="9"/>
        <v>11.610334229986528</v>
      </c>
      <c r="O83" s="25">
        <f t="shared" si="9"/>
        <v>3.0987194362409753</v>
      </c>
      <c r="P83" s="25">
        <f t="shared" si="9"/>
        <v>5.7136058691897373</v>
      </c>
      <c r="Q83" s="25">
        <f t="shared" si="9"/>
        <v>10.845951298381495</v>
      </c>
      <c r="R83" s="25">
        <f t="shared" si="9"/>
        <v>29.534054970566075</v>
      </c>
      <c r="S83" s="25">
        <f t="shared" si="9"/>
        <v>0.10058765553161511</v>
      </c>
      <c r="T83" s="25">
        <f t="shared" si="9"/>
        <v>0</v>
      </c>
      <c r="U83" s="25">
        <f t="shared" si="9"/>
        <v>1.4234759722603749</v>
      </c>
      <c r="V83" s="25"/>
      <c r="W83" s="21"/>
    </row>
    <row r="84" spans="1:23" ht="13" thickBot="1">
      <c r="B84" s="26"/>
      <c r="C84" s="26"/>
      <c r="D84" s="26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</row>
    <row r="85" spans="1:23" ht="13" thickTop="1">
      <c r="W85" s="10"/>
    </row>
    <row r="86" spans="1:23" ht="18" customHeight="1">
      <c r="B86" s="13" t="s">
        <v>82</v>
      </c>
      <c r="C86" s="9" t="s">
        <v>450</v>
      </c>
      <c r="E86" s="9"/>
      <c r="G86" s="70">
        <f>SUM(H86:V86)</f>
        <v>28.976751400000001</v>
      </c>
      <c r="H86" s="70">
        <f>'Allocation - GTA COS'!D30</f>
        <v>5.7237416215839954</v>
      </c>
      <c r="I86" s="70">
        <f>'Allocation - GTA COS'!E30</f>
        <v>5.2671057816610967</v>
      </c>
      <c r="J86" s="70">
        <f>'Allocation - GTA COS'!F30</f>
        <v>0</v>
      </c>
      <c r="K86" s="70">
        <f>'Allocation - GTA COS'!G30</f>
        <v>0</v>
      </c>
      <c r="L86" s="70">
        <f>'Allocation - GTA COS'!H30</f>
        <v>0.23602084103400281</v>
      </c>
      <c r="M86" s="70">
        <f>'Allocation - GTA COS'!I30</f>
        <v>6.7506657530443034E-2</v>
      </c>
      <c r="N86" s="70">
        <f>'Allocation - GTA COS'!J30</f>
        <v>0</v>
      </c>
      <c r="O86" s="70">
        <f>'Allocation - GTA COS'!K30</f>
        <v>7.5412193587661054E-3</v>
      </c>
      <c r="P86" s="70">
        <f>'Allocation - GTA COS'!L30</f>
        <v>2.5268229366564129E-2</v>
      </c>
      <c r="Q86" s="70">
        <f>'Allocation - GTA COS'!M30</f>
        <v>7.6426020778547016E-2</v>
      </c>
      <c r="R86" s="70">
        <f>'Allocation - GTA COS'!N30</f>
        <v>0.17649322868658801</v>
      </c>
      <c r="S86" s="70">
        <f>'Allocation - GTA COS'!O30</f>
        <v>0</v>
      </c>
      <c r="T86" s="70">
        <f>'Allocation - GTA COS'!P30</f>
        <v>0</v>
      </c>
      <c r="U86" s="70">
        <f>'Allocation - GTA COS'!Q30</f>
        <v>0</v>
      </c>
      <c r="V86" s="70">
        <v>17.3966478</v>
      </c>
      <c r="W86" s="10"/>
    </row>
    <row r="87" spans="1:23" ht="18" customHeight="1">
      <c r="B87" s="13"/>
      <c r="W87" s="10"/>
    </row>
    <row r="88" spans="1:23" ht="18" customHeight="1">
      <c r="B88" s="13" t="s">
        <v>85</v>
      </c>
      <c r="C88" s="9" t="s">
        <v>451</v>
      </c>
      <c r="G88" s="21">
        <f>G83+G86</f>
        <v>2985.2359556475267</v>
      </c>
      <c r="H88" s="70">
        <f t="shared" ref="H88:V88" si="10">H86+H83</f>
        <v>1778.454435807248</v>
      </c>
      <c r="I88" s="70">
        <f t="shared" si="10"/>
        <v>1066.6359449541192</v>
      </c>
      <c r="J88" s="70">
        <f t="shared" si="10"/>
        <v>3.6512954516867559E-3</v>
      </c>
      <c r="K88" s="70">
        <f t="shared" si="10"/>
        <v>1.5852783866721265E-9</v>
      </c>
      <c r="L88" s="70">
        <f t="shared" si="10"/>
        <v>46.889483932831723</v>
      </c>
      <c r="M88" s="70">
        <f t="shared" si="10"/>
        <v>13.112465473105766</v>
      </c>
      <c r="N88" s="70">
        <f t="shared" si="10"/>
        <v>11.610334229986528</v>
      </c>
      <c r="O88" s="70">
        <f t="shared" si="10"/>
        <v>3.1062606555997414</v>
      </c>
      <c r="P88" s="70">
        <f t="shared" si="10"/>
        <v>5.7388740985563018</v>
      </c>
      <c r="Q88" s="70">
        <f t="shared" si="10"/>
        <v>10.922377319160042</v>
      </c>
      <c r="R88" s="70">
        <f t="shared" si="10"/>
        <v>29.710548199252663</v>
      </c>
      <c r="S88" s="70">
        <f t="shared" si="10"/>
        <v>0.10058765553161511</v>
      </c>
      <c r="T88" s="70">
        <f t="shared" si="10"/>
        <v>0</v>
      </c>
      <c r="U88" s="70">
        <f t="shared" si="10"/>
        <v>1.4234759722603749</v>
      </c>
      <c r="V88" s="70">
        <f t="shared" si="10"/>
        <v>17.3966478</v>
      </c>
    </row>
    <row r="89" spans="1:23" ht="18" customHeight="1">
      <c r="F89" s="21"/>
    </row>
    <row r="90" spans="1:23" ht="18" customHeight="1">
      <c r="C90" s="47"/>
      <c r="D90" s="47"/>
      <c r="E90" s="47"/>
      <c r="F90" s="47"/>
      <c r="G90" s="47"/>
      <c r="H90" s="47"/>
      <c r="I90" s="47"/>
      <c r="J90" s="21"/>
    </row>
    <row r="91" spans="1:23">
      <c r="C91" s="47"/>
      <c r="D91" s="47"/>
      <c r="E91" s="47"/>
      <c r="F91" s="47"/>
      <c r="G91" s="47"/>
      <c r="H91" s="47"/>
      <c r="I91" s="47"/>
    </row>
    <row r="92" spans="1:23" ht="18" customHeight="1">
      <c r="C92" s="47"/>
      <c r="D92" s="47"/>
      <c r="E92" s="47"/>
      <c r="F92" s="47"/>
      <c r="G92" s="47"/>
      <c r="H92" s="47"/>
      <c r="I92" s="47"/>
    </row>
    <row r="93" spans="1:23" ht="18" customHeight="1">
      <c r="C93" s="47"/>
      <c r="D93" s="47"/>
      <c r="E93" s="47"/>
      <c r="F93" s="47"/>
      <c r="G93" s="47"/>
      <c r="H93" s="47"/>
      <c r="I93" s="47"/>
    </row>
    <row r="94" spans="1:23" ht="18" customHeight="1">
      <c r="C94" s="47"/>
      <c r="D94" s="47"/>
      <c r="E94" s="47"/>
      <c r="F94" s="47"/>
      <c r="G94" s="47"/>
      <c r="H94" s="47"/>
      <c r="I94" s="47"/>
    </row>
    <row r="95" spans="1:23" ht="18" customHeight="1">
      <c r="C95" s="47"/>
      <c r="D95" s="47"/>
      <c r="E95" s="47"/>
      <c r="F95" s="47"/>
      <c r="G95" s="47"/>
      <c r="H95" s="47"/>
      <c r="I95" s="47"/>
    </row>
    <row r="96" spans="1:23" ht="18" customHeight="1">
      <c r="C96" s="47"/>
      <c r="D96" s="47"/>
      <c r="E96" s="47"/>
      <c r="F96" s="47"/>
      <c r="G96" s="47"/>
      <c r="H96" s="47"/>
      <c r="I96" s="47"/>
    </row>
    <row r="97" spans="3:22" ht="18" customHeight="1">
      <c r="C97" s="47"/>
      <c r="D97" s="47"/>
      <c r="E97" s="47"/>
      <c r="F97" s="47"/>
      <c r="G97" s="47"/>
      <c r="H97" s="47"/>
      <c r="I97" s="47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3:22" ht="18" customHeight="1">
      <c r="C98" s="47"/>
      <c r="D98" s="47"/>
      <c r="E98" s="47"/>
      <c r="F98" s="47"/>
      <c r="G98" s="47"/>
      <c r="H98" s="47"/>
      <c r="I98" s="47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3:22"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</sheetData>
  <mergeCells count="4">
    <mergeCell ref="B1:W1"/>
    <mergeCell ref="B2:W2"/>
    <mergeCell ref="B3:W3"/>
    <mergeCell ref="B4:W4"/>
  </mergeCells>
  <pageMargins left="0.7" right="0.7" top="0.75" bottom="0.75" header="0.3" footer="0.3"/>
  <pageSetup scale="61" orientation="portrait" r:id="rId1"/>
  <headerFooter>
    <oddHeader>&amp;R&amp;"Arial,Regular"&amp;10Filed: 2023-03-08
EB-2022-0200
Exhibit I.7.1-VECC-62
Attachment 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1449C-8FCA-4D2D-ABAB-C1C50DFB0D30}">
  <sheetPr>
    <tabColor theme="5" tint="0.59999389629810485"/>
  </sheetPr>
  <dimension ref="A1:AK45"/>
  <sheetViews>
    <sheetView zoomScale="107" zoomScaleNormal="107" workbookViewId="0"/>
  </sheetViews>
  <sheetFormatPr defaultColWidth="9.1796875" defaultRowHeight="13"/>
  <cols>
    <col min="1" max="1" width="5.81640625" style="10" customWidth="1"/>
    <col min="2" max="2" width="33.7265625" style="88" customWidth="1"/>
    <col min="3" max="3" width="16" style="75" customWidth="1"/>
    <col min="4" max="4" width="11.453125" style="75" customWidth="1"/>
    <col min="5" max="5" width="10.54296875" style="75" bestFit="1" customWidth="1"/>
    <col min="6" max="16" width="9.26953125" style="75" bestFit="1" customWidth="1"/>
    <col min="17" max="17" width="9.1796875" style="46"/>
    <col min="18" max="18" width="9.26953125" style="46" bestFit="1" customWidth="1"/>
    <col min="19" max="19" width="16.54296875" style="46" bestFit="1" customWidth="1"/>
    <col min="20" max="37" width="9.1796875" style="46"/>
    <col min="38" max="16384" width="9.1796875" style="71"/>
  </cols>
  <sheetData>
    <row r="1" spans="1:37" ht="15" customHeight="1">
      <c r="A1" s="96" t="s">
        <v>452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37">
      <c r="A2" s="98" t="s">
        <v>453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37">
      <c r="A3" s="100" t="s">
        <v>454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37">
      <c r="A4" s="100" t="s">
        <v>455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37" s="10" customFormat="1">
      <c r="B5" s="72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</row>
    <row r="6" spans="1:37" s="10" customFormat="1">
      <c r="B6" s="73"/>
      <c r="C6" s="74" t="s">
        <v>4</v>
      </c>
      <c r="D6" s="74" t="s">
        <v>5</v>
      </c>
      <c r="E6" s="74" t="s">
        <v>6</v>
      </c>
      <c r="F6" s="74" t="s">
        <v>7</v>
      </c>
      <c r="G6" s="74" t="s">
        <v>8</v>
      </c>
      <c r="H6" s="74" t="s">
        <v>9</v>
      </c>
      <c r="I6" s="74" t="s">
        <v>10</v>
      </c>
      <c r="J6" s="74" t="s">
        <v>11</v>
      </c>
      <c r="K6" s="74" t="s">
        <v>12</v>
      </c>
      <c r="L6" s="74" t="s">
        <v>13</v>
      </c>
      <c r="M6" s="74" t="s">
        <v>14</v>
      </c>
      <c r="N6" s="74" t="s">
        <v>15</v>
      </c>
      <c r="O6" s="74" t="s">
        <v>16</v>
      </c>
      <c r="P6" s="74" t="s">
        <v>89</v>
      </c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</row>
    <row r="7" spans="1:37" s="10" customFormat="1">
      <c r="B7" s="89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</row>
    <row r="8" spans="1:37" s="10" customFormat="1">
      <c r="A8" s="10" t="s">
        <v>456</v>
      </c>
      <c r="B8" s="89"/>
      <c r="C8" s="75" t="s">
        <v>457</v>
      </c>
      <c r="D8" s="75" t="s">
        <v>458</v>
      </c>
      <c r="E8" s="75" t="s">
        <v>458</v>
      </c>
      <c r="F8" s="75" t="s">
        <v>458</v>
      </c>
      <c r="G8" s="75" t="s">
        <v>458</v>
      </c>
      <c r="H8" s="75" t="s">
        <v>458</v>
      </c>
      <c r="I8" s="75" t="s">
        <v>458</v>
      </c>
      <c r="J8" s="75" t="s">
        <v>458</v>
      </c>
      <c r="K8" s="75" t="s">
        <v>458</v>
      </c>
      <c r="L8" s="75" t="s">
        <v>458</v>
      </c>
      <c r="M8" s="75" t="s">
        <v>458</v>
      </c>
      <c r="N8" s="75" t="s">
        <v>458</v>
      </c>
      <c r="O8" s="75" t="s">
        <v>458</v>
      </c>
      <c r="P8" s="75" t="s">
        <v>458</v>
      </c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</row>
    <row r="9" spans="1:37" s="10" customFormat="1" ht="12" customHeight="1">
      <c r="A9" s="30" t="s">
        <v>459</v>
      </c>
      <c r="B9" s="12" t="s">
        <v>460</v>
      </c>
      <c r="C9" s="76" t="s">
        <v>461</v>
      </c>
      <c r="D9" s="76" t="s">
        <v>462</v>
      </c>
      <c r="E9" s="76" t="s">
        <v>463</v>
      </c>
      <c r="F9" s="76" t="s">
        <v>464</v>
      </c>
      <c r="G9" s="76" t="s">
        <v>465</v>
      </c>
      <c r="H9" s="76" t="s">
        <v>466</v>
      </c>
      <c r="I9" s="76" t="s">
        <v>467</v>
      </c>
      <c r="J9" s="76">
        <v>125</v>
      </c>
      <c r="K9" s="76" t="s">
        <v>468</v>
      </c>
      <c r="L9" s="76" t="s">
        <v>469</v>
      </c>
      <c r="M9" s="76" t="s">
        <v>470</v>
      </c>
      <c r="N9" s="76" t="s">
        <v>471</v>
      </c>
      <c r="O9" s="76" t="s">
        <v>472</v>
      </c>
      <c r="P9" s="76" t="s">
        <v>473</v>
      </c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</row>
    <row r="10" spans="1:37" ht="27" customHeight="1">
      <c r="A10" s="77"/>
      <c r="B10" s="78" t="s">
        <v>474</v>
      </c>
      <c r="C10" s="21"/>
    </row>
    <row r="11" spans="1:37" ht="6" customHeight="1">
      <c r="A11" s="77"/>
      <c r="B11" s="79"/>
      <c r="C11" s="21"/>
    </row>
    <row r="12" spans="1:37">
      <c r="A12" s="77">
        <v>1.1000000000000001</v>
      </c>
      <c r="B12" s="79" t="s">
        <v>475</v>
      </c>
      <c r="C12" s="70">
        <v>2.0435284897025294</v>
      </c>
      <c r="D12" s="70">
        <f>$C$12*'Allocation - Allo%'!$F$45</f>
        <v>1.0910454873707456</v>
      </c>
      <c r="E12" s="70">
        <f>$C$12*'Allocation - Allo%'!G45</f>
        <v>0.85149804541232887</v>
      </c>
      <c r="F12" s="70">
        <f>$C$12*'Allocation - Allo%'!H45</f>
        <v>0</v>
      </c>
      <c r="G12" s="70">
        <f>$C$12*'Allocation - Allo%'!I45</f>
        <v>0</v>
      </c>
      <c r="H12" s="70">
        <f>$C$12*'Allocation - Allo%'!J45</f>
        <v>5.0911838852032668E-2</v>
      </c>
      <c r="I12" s="70">
        <f>$C$12*'Allocation - Allo%'!K45</f>
        <v>2.6555853167790394E-3</v>
      </c>
      <c r="J12" s="70">
        <f>$C$12*'Allocation - Allo%'!L45</f>
        <v>0</v>
      </c>
      <c r="K12" s="70">
        <f>$C$12*'Allocation - Allo%'!M45</f>
        <v>4.4359548389908089E-3</v>
      </c>
      <c r="L12" s="70">
        <f>$C$12*'Allocation - Allo%'!N45</f>
        <v>2.5145129009883846E-3</v>
      </c>
      <c r="M12" s="70">
        <f>$C$12*'Allocation - Allo%'!O45</f>
        <v>9.9821409540931903E-3</v>
      </c>
      <c r="N12" s="70">
        <f>$C$12*'Allocation - Allo%'!P45</f>
        <v>3.0484924056571026E-2</v>
      </c>
      <c r="O12" s="70">
        <f>$C$12*'Allocation - Allo%'!Q45</f>
        <v>0</v>
      </c>
      <c r="P12" s="70">
        <f>$C$12*'Allocation - Allo%'!R45</f>
        <v>0</v>
      </c>
    </row>
    <row r="13" spans="1:37">
      <c r="A13" s="77"/>
      <c r="B13" s="79" t="s">
        <v>476</v>
      </c>
      <c r="C13" s="70">
        <v>0.16382263639717759</v>
      </c>
      <c r="D13" s="70">
        <f>$C$13*'Allocation - Allo%'!F44</f>
        <v>6.4925035282355501E-3</v>
      </c>
      <c r="E13" s="70">
        <f>$C$13*'Allocation - Allo%'!G44</f>
        <v>7.0120478504094863E-2</v>
      </c>
      <c r="F13" s="70">
        <f>$C$13*'Allocation - Allo%'!H44</f>
        <v>0</v>
      </c>
      <c r="G13" s="70">
        <f>$C$13*'Allocation - Allo%'!I44</f>
        <v>0</v>
      </c>
      <c r="H13" s="70">
        <f>$C$13*'Allocation - Allo%'!J44</f>
        <v>3.7200718440102545E-2</v>
      </c>
      <c r="I13" s="70">
        <f>$C$13*'Allocation - Allo%'!K44</f>
        <v>2.8358351368266088E-2</v>
      </c>
      <c r="J13" s="70">
        <f>$C$13*'Allocation - Allo%'!L44</f>
        <v>0</v>
      </c>
      <c r="K13" s="70">
        <f>$C$13*'Allocation - Allo%'!M44</f>
        <v>3.1052645197752965E-3</v>
      </c>
      <c r="L13" s="70">
        <f>$C$13*'Allocation - Allo%'!N44</f>
        <v>1.9714961135891291E-3</v>
      </c>
      <c r="M13" s="70">
        <f>$C$13*'Allocation - Allo%'!O44</f>
        <v>1.3429653038329152E-2</v>
      </c>
      <c r="N13" s="70">
        <f>$C$13*'Allocation - Allo%'!P44</f>
        <v>3.1441708847849631E-3</v>
      </c>
      <c r="O13" s="70">
        <f>$C$13*'Allocation - Allo%'!Q44</f>
        <v>0</v>
      </c>
      <c r="P13" s="70">
        <f>$C$13*'Allocation - Allo%'!R44</f>
        <v>0</v>
      </c>
    </row>
    <row r="14" spans="1:37">
      <c r="A14" s="10">
        <v>1.2</v>
      </c>
      <c r="B14" s="79" t="s">
        <v>477</v>
      </c>
      <c r="C14" s="70">
        <v>8.3313355323558174</v>
      </c>
      <c r="D14" s="70">
        <f>$C$14*'Allocation - Allo%'!F25</f>
        <v>4.0538609987515075</v>
      </c>
      <c r="E14" s="70">
        <f>$C$14*'Allocation - Allo%'!G25</f>
        <v>3.8894142255340118</v>
      </c>
      <c r="F14" s="70">
        <f>$C$14*'Allocation - Allo%'!H25</f>
        <v>0</v>
      </c>
      <c r="G14" s="70">
        <f>$C$14*'Allocation - Allo%'!I25</f>
        <v>0</v>
      </c>
      <c r="H14" s="70">
        <f>$C$14*'Allocation - Allo%'!J25</f>
        <v>0.14550359610334751</v>
      </c>
      <c r="I14" s="70">
        <f>$C$14*'Allocation - Allo%'!K25</f>
        <v>3.5539080497301014E-2</v>
      </c>
      <c r="J14" s="70">
        <f>$C$14*'Allocation - Allo%'!L25</f>
        <v>0</v>
      </c>
      <c r="K14" s="70">
        <f>$C$14*'Allocation - Allo%'!M25</f>
        <v>0</v>
      </c>
      <c r="L14" s="70">
        <f>$C$14*'Allocation - Allo%'!N25</f>
        <v>2.0782220351986617E-2</v>
      </c>
      <c r="M14" s="70">
        <f>$C$14*'Allocation - Allo%'!O25</f>
        <v>5.3014226786124677E-2</v>
      </c>
      <c r="N14" s="70">
        <f>$C$14*'Allocation - Allo%'!P25</f>
        <v>0.13322118433153951</v>
      </c>
      <c r="O14" s="70">
        <f>$C$14*'Allocation - Allo%'!Q25</f>
        <v>0</v>
      </c>
      <c r="P14" s="70">
        <f>$C$14*'Allocation - Allo%'!R25</f>
        <v>0</v>
      </c>
    </row>
    <row r="15" spans="1:37">
      <c r="A15" s="10">
        <v>1.3</v>
      </c>
      <c r="B15" s="80" t="s">
        <v>478</v>
      </c>
      <c r="C15" s="81">
        <v>1.0414169415444772</v>
      </c>
      <c r="D15" s="81">
        <f>$C$15*'Allocation - Allo%'!F24</f>
        <v>0.57234263193350721</v>
      </c>
      <c r="E15" s="81">
        <f>$C$15*'Allocation - Allo%'!G24</f>
        <v>0.4560730322106607</v>
      </c>
      <c r="F15" s="81">
        <f>$C$15*'Allocation - Allo%'!H24</f>
        <v>0</v>
      </c>
      <c r="G15" s="81">
        <f>$C$15*'Allocation - Allo%'!I24</f>
        <v>0</v>
      </c>
      <c r="H15" s="81">
        <f>$C$15*'Allocation - Allo%'!J24</f>
        <v>2.4046876385200732E-3</v>
      </c>
      <c r="I15" s="81">
        <f>$C$15*'Allocation - Allo%'!K24</f>
        <v>9.5364034809688352E-4</v>
      </c>
      <c r="J15" s="81">
        <f>$C$15*'Allocation - Allo%'!L24</f>
        <v>0</v>
      </c>
      <c r="K15" s="81">
        <f>$C$15*'Allocation - Allo%'!M24</f>
        <v>0</v>
      </c>
      <c r="L15" s="81">
        <f>$C$15*'Allocation - Allo%'!N24</f>
        <v>0</v>
      </c>
      <c r="M15" s="81">
        <f>$C$15*'Allocation - Allo%'!O24</f>
        <v>0</v>
      </c>
      <c r="N15" s="81">
        <f>$C$15*'Allocation - Allo%'!P24</f>
        <v>9.6429494136925122E-3</v>
      </c>
      <c r="O15" s="81">
        <f>$C$15*'Allocation - Allo%'!Q24</f>
        <v>0</v>
      </c>
      <c r="P15" s="81">
        <f>$C$15*'Allocation - Allo%'!R24</f>
        <v>0</v>
      </c>
    </row>
    <row r="16" spans="1:37" ht="7.5" customHeight="1">
      <c r="B16" s="79"/>
      <c r="C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</row>
    <row r="17" spans="1:16" ht="39" customHeight="1">
      <c r="A17" s="77" t="s">
        <v>30</v>
      </c>
      <c r="B17" s="78" t="s">
        <v>479</v>
      </c>
      <c r="C17" s="83">
        <v>11.580103600000001</v>
      </c>
      <c r="D17" s="70">
        <f t="shared" ref="D17:P17" si="0">SUM(D12:D15)</f>
        <v>5.7237416215839954</v>
      </c>
      <c r="E17" s="70">
        <f t="shared" si="0"/>
        <v>5.2671057816610967</v>
      </c>
      <c r="F17" s="70">
        <f t="shared" si="0"/>
        <v>0</v>
      </c>
      <c r="G17" s="70">
        <f t="shared" si="0"/>
        <v>0</v>
      </c>
      <c r="H17" s="70">
        <f t="shared" si="0"/>
        <v>0.23602084103400281</v>
      </c>
      <c r="I17" s="70">
        <f t="shared" si="0"/>
        <v>6.7506657530443034E-2</v>
      </c>
      <c r="J17" s="70">
        <f t="shared" si="0"/>
        <v>0</v>
      </c>
      <c r="K17" s="70">
        <f t="shared" si="0"/>
        <v>7.5412193587661054E-3</v>
      </c>
      <c r="L17" s="70">
        <f t="shared" si="0"/>
        <v>2.5268229366564129E-2</v>
      </c>
      <c r="M17" s="70">
        <f t="shared" si="0"/>
        <v>7.6426020778547016E-2</v>
      </c>
      <c r="N17" s="70">
        <f t="shared" si="0"/>
        <v>0.17649322868658801</v>
      </c>
      <c r="O17" s="70">
        <f t="shared" si="0"/>
        <v>0</v>
      </c>
      <c r="P17" s="70">
        <f t="shared" si="0"/>
        <v>0</v>
      </c>
    </row>
    <row r="18" spans="1:16">
      <c r="B18" s="79"/>
    </row>
    <row r="19" spans="1:16" ht="33.75" customHeight="1">
      <c r="B19" s="84" t="s">
        <v>480</v>
      </c>
      <c r="C19" s="70"/>
    </row>
    <row r="20" spans="1:16" ht="6" customHeight="1">
      <c r="B20" s="84"/>
      <c r="C20" s="70"/>
    </row>
    <row r="21" spans="1:16">
      <c r="A21" s="10">
        <v>2.1</v>
      </c>
      <c r="B21" s="79" t="s">
        <v>481</v>
      </c>
      <c r="C21" s="70">
        <v>0</v>
      </c>
      <c r="D21" s="70">
        <f>$C$21*'Allocation - Allo%'!F45</f>
        <v>0</v>
      </c>
      <c r="E21" s="70">
        <f>$C$21*'Allocation - Allo%'!G45</f>
        <v>0</v>
      </c>
      <c r="F21" s="70">
        <f>$C$21*'Allocation - Allo%'!H45</f>
        <v>0</v>
      </c>
      <c r="G21" s="70">
        <f>$C$21*'Allocation - Allo%'!I45</f>
        <v>0</v>
      </c>
      <c r="H21" s="70">
        <f>$C$21*'Allocation - Allo%'!J45</f>
        <v>0</v>
      </c>
      <c r="I21" s="70">
        <f>$C$21*'Allocation - Allo%'!K45</f>
        <v>0</v>
      </c>
      <c r="J21" s="70">
        <f>$C$21*'Allocation - Allo%'!L45</f>
        <v>0</v>
      </c>
      <c r="K21" s="70">
        <f>$C$21*'Allocation - Allo%'!M45</f>
        <v>0</v>
      </c>
      <c r="L21" s="70">
        <f>$C$21*'Allocation - Allo%'!N45</f>
        <v>0</v>
      </c>
      <c r="M21" s="70">
        <f>$C$21*'Allocation - Allo%'!O45</f>
        <v>0</v>
      </c>
      <c r="N21" s="70">
        <f>$C$21*'Allocation - Allo%'!P45</f>
        <v>0</v>
      </c>
      <c r="O21" s="70">
        <f>$C$21*'Allocation - Allo%'!Q45</f>
        <v>0</v>
      </c>
      <c r="P21" s="70">
        <f>$C$21*'Allocation - Allo%'!R45</f>
        <v>0</v>
      </c>
    </row>
    <row r="22" spans="1:16">
      <c r="A22" s="10">
        <v>2.2000000000000002</v>
      </c>
      <c r="B22" s="79" t="s">
        <v>477</v>
      </c>
      <c r="C22" s="70">
        <v>0</v>
      </c>
      <c r="D22" s="70">
        <f>$C$22*'Allocation - Allo%'!F25</f>
        <v>0</v>
      </c>
      <c r="E22" s="70">
        <f>$C$22*'Allocation - Allo%'!G25</f>
        <v>0</v>
      </c>
      <c r="F22" s="70">
        <f>$C$22*'Allocation - Allo%'!H25</f>
        <v>0</v>
      </c>
      <c r="G22" s="70">
        <f>$C$22*'Allocation - Allo%'!I25</f>
        <v>0</v>
      </c>
      <c r="H22" s="70">
        <f>$C$22*'Allocation - Allo%'!J25</f>
        <v>0</v>
      </c>
      <c r="I22" s="70">
        <f>$C$22*'Allocation - Allo%'!K25</f>
        <v>0</v>
      </c>
      <c r="J22" s="70">
        <f>$C$22*'Allocation - Allo%'!L25</f>
        <v>0</v>
      </c>
      <c r="K22" s="70">
        <f>$C$22*'Allocation - Allo%'!M25</f>
        <v>0</v>
      </c>
      <c r="L22" s="70">
        <f>$C$22*'Allocation - Allo%'!N25</f>
        <v>0</v>
      </c>
      <c r="M22" s="70">
        <f>$C$22*'Allocation - Allo%'!O25</f>
        <v>0</v>
      </c>
      <c r="N22" s="70">
        <f>$C$22*'Allocation - Allo%'!P25</f>
        <v>0</v>
      </c>
      <c r="O22" s="70">
        <f>$C$22*'Allocation - Allo%'!Q25</f>
        <v>0</v>
      </c>
      <c r="P22" s="70">
        <f>$C$22*'Allocation - Allo%'!R25</f>
        <v>0</v>
      </c>
    </row>
    <row r="23" spans="1:16">
      <c r="A23" s="10">
        <v>2.2999999999999998</v>
      </c>
      <c r="B23" s="79" t="s">
        <v>478</v>
      </c>
      <c r="C23" s="70">
        <v>0</v>
      </c>
      <c r="D23" s="70">
        <f>$C$23*'Allocation - Allo%'!F24</f>
        <v>0</v>
      </c>
      <c r="E23" s="70">
        <f>$C$23*'Allocation - Allo%'!G24</f>
        <v>0</v>
      </c>
      <c r="F23" s="70">
        <f>$C$23*'Allocation - Allo%'!H24</f>
        <v>0</v>
      </c>
      <c r="G23" s="70">
        <f>$C$23*'Allocation - Allo%'!I24</f>
        <v>0</v>
      </c>
      <c r="H23" s="70">
        <f>$C$23*'Allocation - Allo%'!J24</f>
        <v>0</v>
      </c>
      <c r="I23" s="70">
        <f>$C$23*'Allocation - Allo%'!K24</f>
        <v>0</v>
      </c>
      <c r="J23" s="70">
        <f>$C$23*'Allocation - Allo%'!L24</f>
        <v>0</v>
      </c>
      <c r="K23" s="70">
        <f>$C$23*'Allocation - Allo%'!M24</f>
        <v>0</v>
      </c>
      <c r="L23" s="70">
        <f>$C$23*'Allocation - Allo%'!N24</f>
        <v>0</v>
      </c>
      <c r="M23" s="70">
        <f>$C$23*'Allocation - Allo%'!O24</f>
        <v>0</v>
      </c>
      <c r="N23" s="70">
        <f>$C$23*'Allocation - Allo%'!P24</f>
        <v>0</v>
      </c>
      <c r="O23" s="70">
        <f>$C$23*'Allocation - Allo%'!Q24</f>
        <v>0</v>
      </c>
      <c r="P23" s="70">
        <f>$C$23*'Allocation - Allo%'!R24</f>
        <v>0</v>
      </c>
    </row>
    <row r="24" spans="1:16" ht="5.25" customHeight="1">
      <c r="B24" s="79"/>
      <c r="C24" s="70"/>
    </row>
    <row r="25" spans="1:16" ht="28.5" customHeight="1">
      <c r="A25" s="77" t="s">
        <v>41</v>
      </c>
      <c r="B25" s="84" t="s">
        <v>480</v>
      </c>
      <c r="C25" s="70">
        <v>0</v>
      </c>
      <c r="D25" s="70">
        <f t="shared" ref="D25:P25" si="1">SUM(D21:D23)</f>
        <v>0</v>
      </c>
      <c r="E25" s="70">
        <f t="shared" si="1"/>
        <v>0</v>
      </c>
      <c r="F25" s="70">
        <f t="shared" si="1"/>
        <v>0</v>
      </c>
      <c r="G25" s="70">
        <f t="shared" si="1"/>
        <v>0</v>
      </c>
      <c r="H25" s="70">
        <f t="shared" si="1"/>
        <v>0</v>
      </c>
      <c r="I25" s="70">
        <f t="shared" si="1"/>
        <v>0</v>
      </c>
      <c r="J25" s="70">
        <f t="shared" si="1"/>
        <v>0</v>
      </c>
      <c r="K25" s="70">
        <f t="shared" si="1"/>
        <v>0</v>
      </c>
      <c r="L25" s="70">
        <f t="shared" si="1"/>
        <v>0</v>
      </c>
      <c r="M25" s="70">
        <f t="shared" si="1"/>
        <v>0</v>
      </c>
      <c r="N25" s="70">
        <f t="shared" si="1"/>
        <v>0</v>
      </c>
      <c r="O25" s="70">
        <f t="shared" si="1"/>
        <v>0</v>
      </c>
      <c r="P25" s="70">
        <f t="shared" si="1"/>
        <v>0</v>
      </c>
    </row>
    <row r="26" spans="1:16"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</row>
    <row r="27" spans="1:16" ht="16.5" customHeight="1">
      <c r="A27" s="77" t="s">
        <v>64</v>
      </c>
      <c r="B27" s="84" t="s">
        <v>482</v>
      </c>
      <c r="C27" s="70">
        <v>0</v>
      </c>
      <c r="D27" s="70">
        <f>$C$27*'Allocation - Allo%'!F17</f>
        <v>0</v>
      </c>
      <c r="E27" s="70">
        <f>$C$27*'Allocation - Allo%'!G17</f>
        <v>0</v>
      </c>
      <c r="F27" s="70">
        <f>$C$27*'Allocation - Allo%'!H17</f>
        <v>0</v>
      </c>
      <c r="G27" s="70">
        <f>$C$27*'Allocation - Allo%'!I17</f>
        <v>0</v>
      </c>
      <c r="H27" s="70">
        <f>$C$27*'Allocation - Allo%'!J17</f>
        <v>0</v>
      </c>
      <c r="I27" s="70">
        <f>$C$27*'Allocation - Allo%'!K17</f>
        <v>0</v>
      </c>
      <c r="J27" s="70">
        <f>$C$27*'Allocation - Allo%'!L17</f>
        <v>0</v>
      </c>
      <c r="K27" s="70">
        <f>$C$27*'Allocation - Allo%'!M17</f>
        <v>0</v>
      </c>
      <c r="L27" s="70">
        <f>$C$27*'Allocation - Allo%'!N17</f>
        <v>0</v>
      </c>
      <c r="M27" s="70">
        <f>$C$27*'Allocation - Allo%'!O17</f>
        <v>0</v>
      </c>
      <c r="N27" s="70">
        <f>$C$27*'Allocation - Allo%'!P17</f>
        <v>0</v>
      </c>
      <c r="O27" s="70">
        <f>$C$27*'Allocation - Allo%'!Q17</f>
        <v>0</v>
      </c>
      <c r="P27" s="70">
        <f>$C$27*'Allocation - Allo%'!R17</f>
        <v>0</v>
      </c>
    </row>
    <row r="28" spans="1:16">
      <c r="B28" s="87"/>
      <c r="C28" s="81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</row>
    <row r="29" spans="1:16">
      <c r="B29" s="79"/>
      <c r="C29" s="70"/>
    </row>
    <row r="30" spans="1:16" ht="25.5">
      <c r="A30" s="77" t="s">
        <v>66</v>
      </c>
      <c r="B30" s="79" t="s">
        <v>483</v>
      </c>
      <c r="C30" s="70">
        <f t="shared" ref="C30:P30" si="2">C17+C25+C27</f>
        <v>11.580103600000001</v>
      </c>
      <c r="D30" s="70">
        <f t="shared" si="2"/>
        <v>5.7237416215839954</v>
      </c>
      <c r="E30" s="70">
        <f t="shared" si="2"/>
        <v>5.2671057816610967</v>
      </c>
      <c r="F30" s="70">
        <f t="shared" si="2"/>
        <v>0</v>
      </c>
      <c r="G30" s="70">
        <f t="shared" si="2"/>
        <v>0</v>
      </c>
      <c r="H30" s="70">
        <f t="shared" si="2"/>
        <v>0.23602084103400281</v>
      </c>
      <c r="I30" s="70">
        <f t="shared" si="2"/>
        <v>6.7506657530443034E-2</v>
      </c>
      <c r="J30" s="70">
        <f t="shared" si="2"/>
        <v>0</v>
      </c>
      <c r="K30" s="70">
        <f t="shared" si="2"/>
        <v>7.5412193587661054E-3</v>
      </c>
      <c r="L30" s="70">
        <f t="shared" si="2"/>
        <v>2.5268229366564129E-2</v>
      </c>
      <c r="M30" s="70">
        <f t="shared" si="2"/>
        <v>7.6426020778547016E-2</v>
      </c>
      <c r="N30" s="70">
        <f t="shared" si="2"/>
        <v>0.17649322868658801</v>
      </c>
      <c r="O30" s="70">
        <f t="shared" si="2"/>
        <v>0</v>
      </c>
      <c r="P30" s="70">
        <f t="shared" si="2"/>
        <v>0</v>
      </c>
    </row>
    <row r="31" spans="1:16">
      <c r="A31" s="77"/>
      <c r="B31" s="79"/>
      <c r="C31" s="70"/>
    </row>
    <row r="32" spans="1:16" ht="30.75" customHeight="1">
      <c r="A32" s="77" t="s">
        <v>68</v>
      </c>
      <c r="B32" s="79" t="s">
        <v>484</v>
      </c>
      <c r="C32" s="70">
        <v>17.370179999999998</v>
      </c>
    </row>
    <row r="33" spans="1:16">
      <c r="B33" s="80"/>
      <c r="C33" s="81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  <row r="34" spans="1:16">
      <c r="B34" s="79"/>
      <c r="C34" s="70"/>
    </row>
    <row r="35" spans="1:16" ht="25.5">
      <c r="A35" s="77" t="s">
        <v>99</v>
      </c>
      <c r="B35" s="79" t="s">
        <v>485</v>
      </c>
      <c r="C35" s="70">
        <f>C32+C30</f>
        <v>28.950283599999999</v>
      </c>
    </row>
    <row r="37" spans="1:16">
      <c r="B37" s="46"/>
      <c r="C37" s="46"/>
      <c r="D37" s="46"/>
      <c r="E37" s="46"/>
      <c r="F37" s="46"/>
      <c r="G37" s="46"/>
      <c r="H37" s="46"/>
      <c r="I37" s="46"/>
      <c r="J37" s="70"/>
      <c r="K37" s="70"/>
      <c r="L37" s="70"/>
      <c r="M37" s="70"/>
      <c r="N37" s="70"/>
      <c r="O37" s="70"/>
      <c r="P37" s="70"/>
    </row>
    <row r="38" spans="1:16">
      <c r="B38" s="46"/>
      <c r="C38" s="46"/>
      <c r="D38" s="46"/>
      <c r="E38" s="46"/>
      <c r="F38" s="46"/>
      <c r="G38" s="46"/>
      <c r="H38" s="46"/>
      <c r="I38" s="46"/>
      <c r="J38" s="70"/>
      <c r="K38" s="70"/>
      <c r="L38" s="70"/>
      <c r="M38" s="70"/>
      <c r="N38" s="70"/>
      <c r="O38" s="70"/>
      <c r="P38" s="70"/>
    </row>
    <row r="39" spans="1:16">
      <c r="B39" s="46"/>
      <c r="C39" s="46"/>
      <c r="D39" s="46"/>
      <c r="E39" s="46"/>
      <c r="F39" s="46"/>
      <c r="G39" s="46"/>
      <c r="H39" s="46"/>
      <c r="I39" s="46"/>
      <c r="J39" s="70"/>
      <c r="K39" s="70"/>
      <c r="L39" s="70"/>
      <c r="M39" s="70"/>
      <c r="N39" s="70"/>
      <c r="O39" s="70"/>
      <c r="P39" s="70"/>
    </row>
    <row r="40" spans="1:16">
      <c r="B40" s="46"/>
      <c r="C40" s="46"/>
      <c r="D40" s="46"/>
      <c r="E40" s="46"/>
      <c r="F40" s="46"/>
      <c r="G40" s="46"/>
      <c r="H40" s="46"/>
      <c r="I40" s="46"/>
      <c r="J40" s="70"/>
      <c r="K40" s="70"/>
      <c r="L40" s="70"/>
      <c r="M40" s="70"/>
      <c r="N40" s="70"/>
      <c r="O40" s="70"/>
      <c r="P40" s="70"/>
    </row>
    <row r="41" spans="1:16">
      <c r="B41" s="46"/>
      <c r="C41" s="46"/>
      <c r="D41" s="46"/>
      <c r="E41" s="46"/>
      <c r="F41" s="46"/>
      <c r="G41" s="46"/>
      <c r="H41" s="46"/>
      <c r="I41" s="46"/>
      <c r="J41" s="70"/>
      <c r="K41" s="70"/>
      <c r="L41" s="70"/>
      <c r="M41" s="70"/>
      <c r="N41" s="70"/>
      <c r="O41" s="70"/>
      <c r="P41" s="70"/>
    </row>
    <row r="42" spans="1:16">
      <c r="B42" s="46"/>
      <c r="C42" s="46"/>
      <c r="D42" s="46"/>
      <c r="E42" s="46"/>
      <c r="F42" s="46"/>
      <c r="G42" s="46"/>
      <c r="H42" s="46"/>
      <c r="I42" s="46"/>
      <c r="J42" s="70"/>
      <c r="K42" s="70"/>
      <c r="L42" s="70"/>
      <c r="M42" s="70"/>
      <c r="N42" s="70"/>
      <c r="O42" s="70"/>
      <c r="P42" s="70"/>
    </row>
    <row r="43" spans="1:16">
      <c r="B43" s="46"/>
      <c r="C43" s="46"/>
      <c r="D43" s="46"/>
      <c r="E43" s="46"/>
      <c r="F43" s="46"/>
      <c r="G43" s="46"/>
      <c r="H43" s="46"/>
      <c r="I43" s="46"/>
      <c r="J43" s="70"/>
      <c r="K43" s="70"/>
      <c r="L43" s="70"/>
      <c r="M43" s="70"/>
      <c r="N43" s="70"/>
      <c r="O43" s="70"/>
      <c r="P43" s="70"/>
    </row>
    <row r="44" spans="1:16">
      <c r="B44" s="46"/>
      <c r="C44" s="46"/>
      <c r="D44" s="46"/>
      <c r="E44" s="46"/>
      <c r="F44" s="46"/>
      <c r="G44" s="46"/>
      <c r="H44" s="46"/>
      <c r="I44" s="46"/>
    </row>
    <row r="45" spans="1:16">
      <c r="B45" s="46"/>
      <c r="C45" s="46"/>
      <c r="D45" s="46"/>
      <c r="E45" s="46"/>
      <c r="F45" s="46"/>
      <c r="G45" s="46"/>
      <c r="H45" s="46"/>
      <c r="I45" s="46"/>
    </row>
  </sheetData>
  <mergeCells count="4">
    <mergeCell ref="A1:P1"/>
    <mergeCell ref="A2:P2"/>
    <mergeCell ref="A3:P3"/>
    <mergeCell ref="A4:P4"/>
  </mergeCells>
  <pageMargins left="0.7" right="0.7" top="0.75" bottom="0.75" header="0.3" footer="0.3"/>
  <pageSetup scale="61" orientation="portrait" r:id="rId1"/>
  <headerFooter>
    <oddHeader>&amp;R&amp;"Arial,Regular"&amp;10Filed: 2023-03-08
EB-2022-0200
Exhibit I.7.1-VECC-62
Attachment 1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8527-884A-41EA-B760-78BF6024988E}">
  <sheetPr>
    <tabColor theme="5" tint="0.59999389629810485"/>
  </sheetPr>
  <dimension ref="A1:AA102"/>
  <sheetViews>
    <sheetView topLeftCell="B1" zoomScale="102" zoomScaleNormal="102" workbookViewId="0"/>
  </sheetViews>
  <sheetFormatPr defaultColWidth="9.1796875" defaultRowHeight="12.5"/>
  <cols>
    <col min="1" max="1" width="2.453125" style="9" hidden="1" customWidth="1"/>
    <col min="2" max="2" width="4.453125" style="9" bestFit="1" customWidth="1"/>
    <col min="3" max="3" width="24.81640625" style="9" bestFit="1" customWidth="1"/>
    <col min="4" max="4" width="5.1796875" style="9" hidden="1" customWidth="1"/>
    <col min="5" max="5" width="10.1796875" style="10" bestFit="1" customWidth="1"/>
    <col min="6" max="6" width="8.81640625" style="10" customWidth="1"/>
    <col min="7" max="7" width="12.26953125" style="10" customWidth="1"/>
    <col min="8" max="10" width="10.1796875" style="10" customWidth="1"/>
    <col min="11" max="11" width="6.1796875" style="10" bestFit="1" customWidth="1"/>
    <col min="12" max="20" width="8.1796875" style="10" bestFit="1" customWidth="1"/>
    <col min="21" max="21" width="8.7265625" style="10" customWidth="1"/>
    <col min="22" max="22" width="9.81640625" style="10" customWidth="1"/>
    <col min="23" max="23" width="8.1796875" style="10" bestFit="1" customWidth="1"/>
    <col min="24" max="24" width="7.1796875" style="9" bestFit="1" customWidth="1"/>
    <col min="25" max="16384" width="9.1796875" style="9"/>
  </cols>
  <sheetData>
    <row r="1" spans="1:27">
      <c r="B1" s="90" t="s">
        <v>427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27">
      <c r="B2" s="90" t="str">
        <f>'Allocation - Factors'!B2</f>
        <v>Year Ended December 31, 2018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spans="1:27">
      <c r="B3" s="91" t="s">
        <v>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13"/>
      <c r="Z3" s="13"/>
      <c r="AA3" s="13"/>
    </row>
    <row r="4" spans="1:27">
      <c r="B4" s="90" t="s">
        <v>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</row>
    <row r="6" spans="1:27"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0" t="s">
        <v>16</v>
      </c>
      <c r="R6" s="10" t="s">
        <v>89</v>
      </c>
      <c r="S6" s="10" t="s">
        <v>102</v>
      </c>
      <c r="T6" s="10" t="s">
        <v>261</v>
      </c>
      <c r="U6" s="10" t="s">
        <v>262</v>
      </c>
      <c r="V6" s="10" t="s">
        <v>263</v>
      </c>
      <c r="W6" s="10" t="s">
        <v>264</v>
      </c>
    </row>
    <row r="8" spans="1:27" ht="37.5">
      <c r="D8" s="11"/>
      <c r="E8" s="12" t="s">
        <v>428</v>
      </c>
      <c r="F8" s="12" t="s">
        <v>486</v>
      </c>
      <c r="G8" s="12" t="s">
        <v>429</v>
      </c>
      <c r="H8" s="12" t="s">
        <v>17</v>
      </c>
      <c r="I8" s="12" t="s">
        <v>351</v>
      </c>
      <c r="J8" s="12" t="s">
        <v>352</v>
      </c>
      <c r="K8" s="12" t="s">
        <v>353</v>
      </c>
      <c r="L8" s="12" t="s">
        <v>354</v>
      </c>
      <c r="M8" s="12" t="s">
        <v>355</v>
      </c>
      <c r="N8" s="12" t="s">
        <v>356</v>
      </c>
      <c r="O8" s="12" t="s">
        <v>357</v>
      </c>
      <c r="P8" s="12" t="s">
        <v>358</v>
      </c>
      <c r="Q8" s="12" t="s">
        <v>359</v>
      </c>
      <c r="R8" s="12" t="s">
        <v>360</v>
      </c>
      <c r="S8" s="12" t="s">
        <v>361</v>
      </c>
      <c r="T8" s="12" t="s">
        <v>362</v>
      </c>
      <c r="U8" s="12" t="s">
        <v>400</v>
      </c>
      <c r="V8" s="12" t="s">
        <v>294</v>
      </c>
      <c r="W8" s="12" t="s">
        <v>430</v>
      </c>
    </row>
    <row r="10" spans="1:27">
      <c r="C10" s="9" t="s">
        <v>487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7"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7" ht="18" customHeight="1">
      <c r="C12" s="48" t="s">
        <v>488</v>
      </c>
      <c r="I12" s="21"/>
      <c r="J12" s="21"/>
      <c r="K12" s="21"/>
      <c r="L12" s="21"/>
      <c r="M12" s="21"/>
      <c r="N12" s="21"/>
      <c r="O12" s="21"/>
      <c r="P12" s="21"/>
      <c r="R12" s="21"/>
      <c r="S12" s="21"/>
      <c r="T12" s="21"/>
      <c r="U12" s="21"/>
      <c r="V12" s="21"/>
      <c r="W12" s="21"/>
    </row>
    <row r="13" spans="1:27"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R13" s="21"/>
      <c r="S13" s="21"/>
      <c r="T13" s="21"/>
      <c r="U13" s="21"/>
      <c r="V13" s="21"/>
      <c r="W13" s="21"/>
    </row>
    <row r="14" spans="1:27" ht="18" customHeight="1">
      <c r="A14" s="24">
        <f t="shared" ref="A14:A42" si="0">H14-SUM(I14:V14)</f>
        <v>0</v>
      </c>
      <c r="B14" s="13" t="s">
        <v>108</v>
      </c>
      <c r="C14" s="9" t="s">
        <v>279</v>
      </c>
      <c r="E14" s="21">
        <f>'Classification - O&amp;M'!$H$81</f>
        <v>950.75359846702293</v>
      </c>
      <c r="F14" s="21"/>
      <c r="G14" s="21">
        <f>'Classification - Net Investment'!$H$39</f>
        <v>0.12549333846098187</v>
      </c>
      <c r="H14" s="21">
        <f>G14+E14</f>
        <v>950.87909180548388</v>
      </c>
      <c r="I14" s="21">
        <f>$H14*'Allocation - Allo%'!F10</f>
        <v>549.27339546344422</v>
      </c>
      <c r="J14" s="21">
        <f>$H14*'Allocation - Allo%'!G10</f>
        <v>373.65673818558508</v>
      </c>
      <c r="K14" s="21">
        <f>$H14*'Allocation - Allo%'!H10</f>
        <v>0</v>
      </c>
      <c r="L14" s="21">
        <f>$H14*'Allocation - Allo%'!I10</f>
        <v>0</v>
      </c>
      <c r="M14" s="21">
        <f>$H14*'Allocation - Allo%'!J10</f>
        <v>6.742276824530764</v>
      </c>
      <c r="N14" s="21">
        <f>$H14*'Allocation - Allo%'!K10</f>
        <v>0</v>
      </c>
      <c r="O14" s="21">
        <f>$H14*'Allocation - Allo%'!L10</f>
        <v>0</v>
      </c>
      <c r="P14" s="21">
        <f>$H14*'Allocation - Allo%'!M10</f>
        <v>0.53551093607219069</v>
      </c>
      <c r="Q14" s="21">
        <f>$H14*'Allocation - Allo%'!N10</f>
        <v>1.0265183634977872</v>
      </c>
      <c r="R14" s="21">
        <f>$H14*'Allocation - Allo%'!O10</f>
        <v>4.1269924148597754</v>
      </c>
      <c r="S14" s="21">
        <f>$H14*'Allocation - Allo%'!P10</f>
        <v>15.517659617494131</v>
      </c>
      <c r="T14" s="21">
        <f>$H14*'Allocation - Allo%'!Q10</f>
        <v>0</v>
      </c>
      <c r="U14" s="21">
        <f>$H14*'Allocation - Allo%'!R10</f>
        <v>0</v>
      </c>
      <c r="V14" s="21">
        <f>$H14*'Allocation - Allo%'!S10</f>
        <v>0</v>
      </c>
      <c r="W14" s="21"/>
    </row>
    <row r="15" spans="1:27" ht="18" customHeight="1">
      <c r="A15" s="24">
        <f t="shared" si="0"/>
        <v>0</v>
      </c>
      <c r="B15" s="13" t="s">
        <v>109</v>
      </c>
      <c r="C15" s="9" t="s">
        <v>317</v>
      </c>
      <c r="E15" s="21">
        <f>'Classification - O&amp;M'!$J$81</f>
        <v>3.3460121526882003</v>
      </c>
      <c r="F15" s="21"/>
      <c r="G15" s="21">
        <v>0</v>
      </c>
      <c r="H15" s="21">
        <f>G15+E15</f>
        <v>3.3460121526882003</v>
      </c>
      <c r="I15" s="21">
        <v>1.5943254122192385</v>
      </c>
      <c r="J15" s="21">
        <v>1.7510616048094039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3.125678297789827E-4</v>
      </c>
      <c r="Q15" s="21">
        <v>3.125678297789827E-4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/>
    </row>
    <row r="16" spans="1:27" ht="18" customHeight="1">
      <c r="A16" s="24">
        <f t="shared" si="0"/>
        <v>0</v>
      </c>
      <c r="B16" s="13" t="s">
        <v>110</v>
      </c>
      <c r="C16" s="11" t="s">
        <v>432</v>
      </c>
      <c r="D16" s="11"/>
      <c r="E16" s="22">
        <f>'Classification - O&amp;M'!$I$81</f>
        <v>1.5478295597245726</v>
      </c>
      <c r="F16" s="22"/>
      <c r="G16" s="22">
        <v>0</v>
      </c>
      <c r="H16" s="22">
        <f>G16+E16</f>
        <v>1.5478295597245726</v>
      </c>
      <c r="I16" s="22">
        <f>$H16*'Allocation - Allo%'!F14</f>
        <v>0.89410063297776332</v>
      </c>
      <c r="J16" s="22">
        <f>$H16*'Allocation - Allo%'!G14</f>
        <v>0.60823394849891743</v>
      </c>
      <c r="K16" s="22">
        <f>$H16*'Allocation - Allo%'!H14</f>
        <v>0</v>
      </c>
      <c r="L16" s="22">
        <f>$H16*'Allocation - Allo%'!I14</f>
        <v>0</v>
      </c>
      <c r="M16" s="22">
        <f>$H16*'Allocation - Allo%'!J14</f>
        <v>1.0974997198686389E-2</v>
      </c>
      <c r="N16" s="22">
        <f>$H16*'Allocation - Allo%'!K14</f>
        <v>0</v>
      </c>
      <c r="O16" s="22">
        <f>$H16*'Allocation - Allo%'!L14</f>
        <v>0</v>
      </c>
      <c r="P16" s="22">
        <f>$H16*'Allocation - Allo%'!M14</f>
        <v>8.7169826695261059E-4</v>
      </c>
      <c r="Q16" s="22">
        <f>$H16*'Allocation - Allo%'!N14</f>
        <v>1.6709542572916267E-3</v>
      </c>
      <c r="R16" s="22">
        <f>$H16*'Allocation - Allo%'!O14</f>
        <v>6.7178686623028516E-3</v>
      </c>
      <c r="S16" s="22">
        <f>$H16*'Allocation - Allo%'!P14</f>
        <v>2.5259459862658429E-2</v>
      </c>
      <c r="T16" s="22">
        <f>$H16*'Allocation - Allo%'!Q14</f>
        <v>0</v>
      </c>
      <c r="U16" s="22">
        <f>$H16*'Allocation - Allo%'!R14</f>
        <v>0</v>
      </c>
      <c r="V16" s="22">
        <f>$H16*'Allocation - Allo%'!S14</f>
        <v>0</v>
      </c>
      <c r="W16" s="22"/>
    </row>
    <row r="17" spans="1:25" ht="18" customHeight="1">
      <c r="A17" s="24">
        <f t="shared" si="0"/>
        <v>0</v>
      </c>
      <c r="B17" s="13"/>
      <c r="E17" s="21"/>
      <c r="F17" s="21"/>
      <c r="G17" s="21"/>
      <c r="H17" s="21"/>
      <c r="I17" s="21"/>
      <c r="J17" s="21"/>
      <c r="K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5" ht="18" customHeight="1">
      <c r="A18" s="24">
        <f t="shared" si="0"/>
        <v>0</v>
      </c>
      <c r="B18" s="13" t="s">
        <v>30</v>
      </c>
      <c r="C18" s="48" t="s">
        <v>403</v>
      </c>
      <c r="E18" s="21">
        <f t="shared" ref="E18:V18" si="1">SUM(E14:E16)</f>
        <v>955.64744017943576</v>
      </c>
      <c r="F18" s="21">
        <f t="shared" si="1"/>
        <v>0</v>
      </c>
      <c r="G18" s="21">
        <f t="shared" si="1"/>
        <v>0.12549333846098187</v>
      </c>
      <c r="H18" s="21">
        <f t="shared" si="1"/>
        <v>955.77293351789672</v>
      </c>
      <c r="I18" s="21">
        <f t="shared" si="1"/>
        <v>551.76182150864122</v>
      </c>
      <c r="J18" s="21">
        <f t="shared" si="1"/>
        <v>376.01603373889344</v>
      </c>
      <c r="K18" s="21">
        <f t="shared" si="1"/>
        <v>0</v>
      </c>
      <c r="L18" s="21">
        <f t="shared" si="1"/>
        <v>0</v>
      </c>
      <c r="M18" s="21">
        <f t="shared" si="1"/>
        <v>6.7532518217294504</v>
      </c>
      <c r="N18" s="21">
        <f t="shared" si="1"/>
        <v>0</v>
      </c>
      <c r="O18" s="21">
        <f t="shared" si="1"/>
        <v>0</v>
      </c>
      <c r="P18" s="21">
        <f t="shared" si="1"/>
        <v>0.5366952021689223</v>
      </c>
      <c r="Q18" s="21">
        <f t="shared" si="1"/>
        <v>1.028501885584858</v>
      </c>
      <c r="R18" s="21">
        <f t="shared" si="1"/>
        <v>4.1337102835220785</v>
      </c>
      <c r="S18" s="21">
        <f t="shared" si="1"/>
        <v>15.542919077356789</v>
      </c>
      <c r="T18" s="21">
        <f t="shared" si="1"/>
        <v>0</v>
      </c>
      <c r="U18" s="21">
        <f t="shared" si="1"/>
        <v>0</v>
      </c>
      <c r="V18" s="21">
        <f t="shared" si="1"/>
        <v>0</v>
      </c>
      <c r="W18" s="21"/>
    </row>
    <row r="19" spans="1:25">
      <c r="A19" s="24">
        <f t="shared" si="0"/>
        <v>0</v>
      </c>
      <c r="B19" s="13"/>
      <c r="E19" s="21"/>
      <c r="F19" s="21"/>
      <c r="G19" s="21"/>
      <c r="H19" s="21"/>
      <c r="I19" s="21"/>
      <c r="J19" s="21"/>
      <c r="K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5" ht="18" customHeight="1">
      <c r="A20" s="24">
        <f t="shared" si="0"/>
        <v>0</v>
      </c>
      <c r="B20" s="13"/>
      <c r="C20" s="48" t="s">
        <v>489</v>
      </c>
      <c r="E20" s="21"/>
      <c r="F20" s="21"/>
      <c r="G20" s="21"/>
      <c r="H20" s="21"/>
      <c r="I20" s="21"/>
      <c r="J20" s="21"/>
      <c r="K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5" ht="13">
      <c r="A21" s="24">
        <f t="shared" si="0"/>
        <v>0</v>
      </c>
      <c r="B21" s="13"/>
      <c r="C21" s="48"/>
      <c r="E21" s="21"/>
      <c r="F21" s="21"/>
      <c r="G21" s="21"/>
      <c r="H21" s="21"/>
      <c r="I21" s="21"/>
      <c r="J21" s="21"/>
      <c r="K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5" ht="18" customHeight="1">
      <c r="A22" s="24">
        <f t="shared" si="0"/>
        <v>0</v>
      </c>
      <c r="B22" s="13" t="s">
        <v>32</v>
      </c>
      <c r="C22" s="9" t="s">
        <v>280</v>
      </c>
      <c r="E22" s="21">
        <f>'Classification - O&amp;M'!$K$81</f>
        <v>13.524740556203296</v>
      </c>
      <c r="F22" s="21">
        <f>'Allocation - GTA COS'!C15+'Allocation - GTA COS'!C23</f>
        <v>1.0414169415444772</v>
      </c>
      <c r="G22" s="21">
        <f>'Classification - Net Investment'!$I$39</f>
        <v>0</v>
      </c>
      <c r="H22" s="21">
        <f>G22+E22+F22-H25</f>
        <v>18.527517497747773</v>
      </c>
      <c r="I22" s="21">
        <f>$H22*'Allocation - Allo%'!F24</f>
        <v>10.182365683554789</v>
      </c>
      <c r="J22" s="21">
        <f>$H22*'Allocation - Allo%'!G24</f>
        <v>8.1138502241016397</v>
      </c>
      <c r="K22" s="21">
        <f>$H22*'Allocation - Allo%'!H24</f>
        <v>0</v>
      </c>
      <c r="L22" s="21">
        <f>$H22*'Allocation - Allo%'!I24</f>
        <v>0</v>
      </c>
      <c r="M22" s="21">
        <f>$H22*'Allocation - Allo%'!J24</f>
        <v>4.2781032766015983E-2</v>
      </c>
      <c r="N22" s="21">
        <f>$H22*'Allocation - Allo%'!K24</f>
        <v>1.6965912048367317E-2</v>
      </c>
      <c r="O22" s="21">
        <f>$H22*'Allocation - Allo%'!L24</f>
        <v>0</v>
      </c>
      <c r="P22" s="21">
        <f>$H22*'Allocation - Allo%'!M24</f>
        <v>0</v>
      </c>
      <c r="Q22" s="21">
        <f>$H22*'Allocation - Allo%'!N24</f>
        <v>0</v>
      </c>
      <c r="R22" s="21">
        <f>$H22*'Allocation - Allo%'!O24</f>
        <v>0</v>
      </c>
      <c r="S22" s="21">
        <f>$H22*'Allocation - Allo%'!P24</f>
        <v>0.17155464527696507</v>
      </c>
      <c r="T22" s="21">
        <f>$H22*'Allocation - Allo%'!Q24</f>
        <v>0</v>
      </c>
      <c r="U22" s="21">
        <f>$H22*'Allocation - Allo%'!R24</f>
        <v>0</v>
      </c>
      <c r="V22" s="21">
        <f>$H22*'Allocation - Allo%'!S24</f>
        <v>0</v>
      </c>
      <c r="W22" s="21"/>
      <c r="Y22" s="24"/>
    </row>
    <row r="23" spans="1:25" ht="18" customHeight="1">
      <c r="A23" s="24">
        <f t="shared" si="0"/>
        <v>0</v>
      </c>
      <c r="B23" s="13" t="s">
        <v>34</v>
      </c>
      <c r="C23" s="9" t="s">
        <v>281</v>
      </c>
      <c r="E23" s="21">
        <f>'Classification - O&amp;M'!$L$81</f>
        <v>109.04168385019832</v>
      </c>
      <c r="F23" s="21">
        <f>'Allocation - GTA COS'!C14+'Allocation - GTA COS'!C22</f>
        <v>8.3313355323558174</v>
      </c>
      <c r="G23" s="21">
        <f>'Classification - Net Investment'!$J$39</f>
        <v>1.7057850699004296</v>
      </c>
      <c r="H23" s="21">
        <f>G23+E23+F23</f>
        <v>119.07880445245458</v>
      </c>
      <c r="I23" s="21">
        <f>$H23*'Allocation - Allo%'!F25</f>
        <v>57.941361174690769</v>
      </c>
      <c r="J23" s="21">
        <f>$H23*'Allocation - Allo%'!G25</f>
        <v>55.590942676389552</v>
      </c>
      <c r="K23" s="21">
        <f>$H23*'Allocation - Allo%'!H25</f>
        <v>0</v>
      </c>
      <c r="L23" s="21">
        <f>$H23*'Allocation - Allo%'!I25</f>
        <v>0</v>
      </c>
      <c r="M23" s="21">
        <f>$H23*'Allocation - Allo%'!J25</f>
        <v>2.0796658831264399</v>
      </c>
      <c r="N23" s="21">
        <f>$H23*'Allocation - Allo%'!K25</f>
        <v>0.50795592141533852</v>
      </c>
      <c r="O23" s="21">
        <f>$H23*'Allocation - Allo%'!L25</f>
        <v>0</v>
      </c>
      <c r="P23" s="21">
        <f>$H23*'Allocation - Allo%'!M25</f>
        <v>0</v>
      </c>
      <c r="Q23" s="21">
        <f>$H23*'Allocation - Allo%'!N25</f>
        <v>0.29703784510552167</v>
      </c>
      <c r="R23" s="21">
        <f>$H23*'Allocation - Allo%'!O25</f>
        <v>0.75772614368322722</v>
      </c>
      <c r="S23" s="21">
        <f>$H23*'Allocation - Allo%'!P25</f>
        <v>1.9041148080437535</v>
      </c>
      <c r="T23" s="21">
        <f>$H23*'Allocation - Allo%'!Q25</f>
        <v>0</v>
      </c>
      <c r="U23" s="21">
        <f>$H23*'Allocation - Allo%'!R25</f>
        <v>0</v>
      </c>
      <c r="V23" s="21">
        <f>$H23*'Allocation - Allo%'!S25</f>
        <v>0</v>
      </c>
      <c r="W23" s="21"/>
      <c r="Y23" s="24"/>
    </row>
    <row r="24" spans="1:25" ht="18" customHeight="1">
      <c r="A24" s="24">
        <f t="shared" si="0"/>
        <v>0</v>
      </c>
      <c r="B24" s="13" t="s">
        <v>36</v>
      </c>
      <c r="C24" s="9" t="s">
        <v>433</v>
      </c>
      <c r="E24" s="21">
        <f>'Allocation - COS wout GTA'!E24</f>
        <v>474.62212282536638</v>
      </c>
      <c r="F24" s="21">
        <f>'Allocation - GTA COS'!C12+'Allocation - GTA COS'!C21</f>
        <v>2.0435284897025294</v>
      </c>
      <c r="G24" s="21">
        <v>0</v>
      </c>
      <c r="H24" s="21">
        <f>G24+E24+F24</f>
        <v>476.66565131506889</v>
      </c>
      <c r="I24" s="21">
        <f>$H24*'Allocation - Allo%'!F45</f>
        <v>254.49310370399945</v>
      </c>
      <c r="J24" s="21">
        <f>$H24*'Allocation - Allo%'!G45</f>
        <v>198.61718221949459</v>
      </c>
      <c r="K24" s="21">
        <f>$H24*'Allocation - Allo%'!H45</f>
        <v>0</v>
      </c>
      <c r="L24" s="21">
        <f>$H24*'Allocation - Allo%'!I45</f>
        <v>0</v>
      </c>
      <c r="M24" s="21">
        <f>$H24*'Allocation - Allo%'!J45</f>
        <v>11.875501099367884</v>
      </c>
      <c r="N24" s="21">
        <f>$H24*'Allocation - Allo%'!K45</f>
        <v>0.61943168936659987</v>
      </c>
      <c r="O24" s="21">
        <f>$H24*'Allocation - Allo%'!L45</f>
        <v>0</v>
      </c>
      <c r="P24" s="21">
        <f>$H24*'Allocation - Allo%'!M45</f>
        <v>1.0347138849234161</v>
      </c>
      <c r="Q24" s="21">
        <f>$H24*'Allocation - Allo%'!N45</f>
        <v>0.58652567641190356</v>
      </c>
      <c r="R24" s="21">
        <f>$H24*'Allocation - Allo%'!O45</f>
        <v>2.3283960773623877</v>
      </c>
      <c r="S24" s="21">
        <f>$H24*'Allocation - Allo%'!P45</f>
        <v>7.1107969641426889</v>
      </c>
      <c r="T24" s="21">
        <f>$H24*'Allocation - Allo%'!Q45</f>
        <v>0</v>
      </c>
      <c r="U24" s="21">
        <f>$H24*'Allocation - Allo%'!R45</f>
        <v>0</v>
      </c>
      <c r="V24" s="21">
        <f>$H24*'Allocation - Allo%'!S45</f>
        <v>0</v>
      </c>
      <c r="W24" s="21"/>
      <c r="Y24" s="24"/>
    </row>
    <row r="25" spans="1:25" ht="18" customHeight="1">
      <c r="A25" s="24">
        <f t="shared" si="0"/>
        <v>0</v>
      </c>
      <c r="B25" s="13" t="s">
        <v>37</v>
      </c>
      <c r="C25" s="9" t="s">
        <v>434</v>
      </c>
      <c r="E25" s="21">
        <v>0</v>
      </c>
      <c r="F25" s="21"/>
      <c r="G25" s="21">
        <v>0</v>
      </c>
      <c r="H25" s="21">
        <f>Q25+R25+S25</f>
        <v>-3.96136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f>'Allocation - COS wout GTA'!P25</f>
        <v>-0.27472000000000002</v>
      </c>
      <c r="R25" s="21">
        <f>'Allocation - COS wout GTA'!Q25</f>
        <v>-3.5097800000000001</v>
      </c>
      <c r="S25" s="21">
        <f>'Allocation - COS wout GTA'!R25</f>
        <v>-0.17685999999999999</v>
      </c>
      <c r="T25" s="21">
        <v>0</v>
      </c>
      <c r="U25" s="21">
        <v>0</v>
      </c>
      <c r="V25" s="21">
        <v>0</v>
      </c>
      <c r="W25" s="21"/>
      <c r="Y25" s="24"/>
    </row>
    <row r="26" spans="1:25" ht="18" customHeight="1">
      <c r="A26" s="24">
        <f t="shared" si="0"/>
        <v>0</v>
      </c>
      <c r="B26" s="13" t="s">
        <v>39</v>
      </c>
      <c r="C26" s="11" t="s">
        <v>435</v>
      </c>
      <c r="D26" s="11"/>
      <c r="E26" s="22">
        <v>0</v>
      </c>
      <c r="F26" s="22"/>
      <c r="G26" s="22">
        <f>'Classification - Net Investment'!$K$39</f>
        <v>-6.1159999999999997</v>
      </c>
      <c r="H26" s="22">
        <f>G26+E26</f>
        <v>-6.1159999999999997</v>
      </c>
      <c r="I26" s="22">
        <f>$H26*'Allocation - Allo%'!F11</f>
        <v>-2.5305426325832787</v>
      </c>
      <c r="J26" s="22">
        <f>$H26*'Allocation - Allo%'!G11</f>
        <v>-2.570352592889678</v>
      </c>
      <c r="K26" s="22">
        <f>$H26*'Allocation - Allo%'!H11</f>
        <v>0</v>
      </c>
      <c r="L26" s="22">
        <f>$H26*'Allocation - Allo%'!I11</f>
        <v>0</v>
      </c>
      <c r="M26" s="22">
        <f>$H26*'Allocation - Allo%'!J11</f>
        <v>-0.4199145475459326</v>
      </c>
      <c r="N26" s="22">
        <f>$H26*'Allocation - Allo%'!K11</f>
        <v>-0.2888878013788081</v>
      </c>
      <c r="O26" s="22">
        <f>$H26*'Allocation - Allo%'!L11</f>
        <v>0</v>
      </c>
      <c r="P26" s="22">
        <f>$H26*'Allocation - Allo%'!M11</f>
        <v>-3.4326737467151563E-2</v>
      </c>
      <c r="Q26" s="22">
        <f>$H26*'Allocation - Allo%'!N11</f>
        <v>-2.6681817303362002E-2</v>
      </c>
      <c r="R26" s="22">
        <f>$H26*'Allocation - Allo%'!O11</f>
        <v>-0.15494747161643721</v>
      </c>
      <c r="S26" s="22">
        <f>$H26*'Allocation - Allo%'!P11</f>
        <v>-9.0346399215350856E-2</v>
      </c>
      <c r="T26" s="22">
        <f>$H26*'Allocation - Allo%'!Q11</f>
        <v>0</v>
      </c>
      <c r="U26" s="22">
        <f>$H26*'Allocation - Allo%'!R11</f>
        <v>0</v>
      </c>
      <c r="V26" s="22">
        <f>$H26*'Allocation - Allo%'!S11</f>
        <v>0</v>
      </c>
      <c r="W26" s="22"/>
      <c r="Y26" s="24"/>
    </row>
    <row r="27" spans="1:25" ht="18" customHeight="1">
      <c r="A27" s="24">
        <f t="shared" si="0"/>
        <v>0</v>
      </c>
      <c r="B27" s="13"/>
      <c r="C27" s="9" t="s">
        <v>490</v>
      </c>
      <c r="E27" s="21">
        <f>'Allocation - COS wout GTA'!E27</f>
        <v>24.200504706444445</v>
      </c>
      <c r="F27" s="21">
        <v>0.16382263639717759</v>
      </c>
      <c r="G27" s="21"/>
      <c r="H27" s="21">
        <f>G27+E27+F27</f>
        <v>24.364327342841623</v>
      </c>
      <c r="I27" s="21">
        <f>$H27*'Allocation - Allo%'!F44</f>
        <v>0.96558988864624573</v>
      </c>
      <c r="J27" s="21">
        <f>$H27*'Allocation - Allo%'!G44</f>
        <v>10.428585019035198</v>
      </c>
      <c r="K27" s="21">
        <f>$H27*'Allocation - Allo%'!H44</f>
        <v>0</v>
      </c>
      <c r="L27" s="21">
        <f>$H27*'Allocation - Allo%'!I44</f>
        <v>0</v>
      </c>
      <c r="M27" s="21">
        <f>$H27*'Allocation - Allo%'!J44</f>
        <v>5.5326327386534384</v>
      </c>
      <c r="N27" s="21">
        <f>$H27*'Allocation - Allo%'!K44</f>
        <v>4.2175621808736761</v>
      </c>
      <c r="O27" s="21">
        <f>$H27*'Allocation - Allo%'!L44</f>
        <v>0</v>
      </c>
      <c r="P27" s="21">
        <f>$H27*'Allocation - Allo%'!M44</f>
        <v>0.46182678358618262</v>
      </c>
      <c r="Q27" s="21">
        <f>$H27*'Allocation - Allo%'!N44</f>
        <v>0.29320842176028589</v>
      </c>
      <c r="R27" s="21">
        <f>$H27*'Allocation - Allo%'!O44</f>
        <v>1.9973092236981986</v>
      </c>
      <c r="S27" s="21">
        <f>$H27*'Allocation - Allo%'!P44</f>
        <v>0.46761308658839662</v>
      </c>
      <c r="T27" s="21">
        <f>$H27*'Allocation - Allo%'!Q44</f>
        <v>0</v>
      </c>
      <c r="U27" s="21">
        <f>$H27*'Allocation - Allo%'!R44</f>
        <v>0</v>
      </c>
      <c r="V27" s="21">
        <f>$H27*'Allocation - Allo%'!S44</f>
        <v>0</v>
      </c>
      <c r="W27" s="21"/>
      <c r="Y27" s="24"/>
    </row>
    <row r="28" spans="1:25" ht="18" customHeight="1">
      <c r="A28" s="24">
        <f t="shared" si="0"/>
        <v>0</v>
      </c>
      <c r="B28" s="13" t="s">
        <v>41</v>
      </c>
      <c r="C28" s="48" t="s">
        <v>407</v>
      </c>
      <c r="E28" s="21">
        <f t="shared" ref="E28:V28" si="2">SUM(E22:E27)</f>
        <v>621.38905193821245</v>
      </c>
      <c r="F28" s="21">
        <f t="shared" si="2"/>
        <v>11.580103600000003</v>
      </c>
      <c r="G28" s="21">
        <f t="shared" si="2"/>
        <v>-4.4102149300995706</v>
      </c>
      <c r="H28" s="21">
        <f t="shared" si="2"/>
        <v>628.55894060811295</v>
      </c>
      <c r="I28" s="21">
        <f t="shared" si="2"/>
        <v>321.05187781830801</v>
      </c>
      <c r="J28" s="21">
        <f t="shared" si="2"/>
        <v>270.18020754613133</v>
      </c>
      <c r="K28" s="21">
        <f t="shared" si="2"/>
        <v>0</v>
      </c>
      <c r="L28" s="21">
        <f t="shared" si="2"/>
        <v>0</v>
      </c>
      <c r="M28" s="21">
        <f t="shared" si="2"/>
        <v>19.110666206367846</v>
      </c>
      <c r="N28" s="21">
        <f t="shared" si="2"/>
        <v>5.0730279023251734</v>
      </c>
      <c r="O28" s="21">
        <f t="shared" si="2"/>
        <v>0</v>
      </c>
      <c r="P28" s="21">
        <f t="shared" si="2"/>
        <v>1.4622139310424471</v>
      </c>
      <c r="Q28" s="21">
        <f t="shared" si="2"/>
        <v>0.87537012597434916</v>
      </c>
      <c r="R28" s="21">
        <f t="shared" si="2"/>
        <v>1.4187039731273765</v>
      </c>
      <c r="S28" s="21">
        <f t="shared" si="2"/>
        <v>9.3868731048364538</v>
      </c>
      <c r="T28" s="21">
        <f t="shared" si="2"/>
        <v>0</v>
      </c>
      <c r="U28" s="21">
        <f t="shared" si="2"/>
        <v>0</v>
      </c>
      <c r="V28" s="21">
        <f t="shared" si="2"/>
        <v>0</v>
      </c>
      <c r="W28" s="21"/>
      <c r="Y28" s="24"/>
    </row>
    <row r="29" spans="1:25">
      <c r="A29" s="24">
        <f t="shared" si="0"/>
        <v>0</v>
      </c>
      <c r="B29" s="13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5" ht="18" customHeight="1">
      <c r="A30" s="24">
        <f t="shared" si="0"/>
        <v>0</v>
      </c>
      <c r="B30" s="13"/>
      <c r="C30" s="9" t="s">
        <v>491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5">
      <c r="A31" s="24">
        <f t="shared" si="0"/>
        <v>0</v>
      </c>
      <c r="B31" s="13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5" ht="18" customHeight="1">
      <c r="A32" s="24">
        <f t="shared" si="0"/>
        <v>0</v>
      </c>
      <c r="B32" s="13"/>
      <c r="C32" s="48" t="s">
        <v>492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5">
      <c r="A33" s="24">
        <f t="shared" si="0"/>
        <v>0</v>
      </c>
      <c r="B33" s="13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5" ht="18" customHeight="1">
      <c r="A34" s="24">
        <f t="shared" si="0"/>
        <v>0</v>
      </c>
      <c r="B34" s="13" t="s">
        <v>44</v>
      </c>
      <c r="C34" s="9" t="s">
        <v>283</v>
      </c>
      <c r="E34" s="21">
        <f>'Classification - O&amp;M'!$N$81</f>
        <v>128.29295840838972</v>
      </c>
      <c r="F34" s="21"/>
      <c r="G34" s="21">
        <f>'Classification - Net Investment'!$N$39</f>
        <v>0.18603706175844414</v>
      </c>
      <c r="H34" s="21">
        <f>E34+G34-H36</f>
        <v>129.02239547014815</v>
      </c>
      <c r="I34" s="21">
        <f>$H34*'Allocation - Allo%'!F24</f>
        <v>70.908215966060908</v>
      </c>
      <c r="J34" s="21">
        <f>$H34*'Allocation - Allo%'!G24</f>
        <v>56.503435634420562</v>
      </c>
      <c r="K34" s="21">
        <f>$H34*'Allocation - Allo%'!H24</f>
        <v>0</v>
      </c>
      <c r="L34" s="21">
        <f>$H34*'Allocation - Allo%'!I24</f>
        <v>0</v>
      </c>
      <c r="M34" s="21">
        <f>$H34*'Allocation - Allo%'!J24</f>
        <v>0.29791963919771025</v>
      </c>
      <c r="N34" s="21">
        <f>$H34*'Allocation - Allo%'!K24</f>
        <v>0.11814764790168432</v>
      </c>
      <c r="O34" s="21">
        <f>$H34*'Allocation - Allo%'!L24</f>
        <v>0</v>
      </c>
      <c r="P34" s="21">
        <f>$H34*'Allocation - Allo%'!M24</f>
        <v>0</v>
      </c>
      <c r="Q34" s="21">
        <f>$H34*'Allocation - Allo%'!N24</f>
        <v>0</v>
      </c>
      <c r="R34" s="21">
        <f>$H34*'Allocation - Allo%'!O24</f>
        <v>0</v>
      </c>
      <c r="S34" s="21">
        <f>$H34*'Allocation - Allo%'!P24</f>
        <v>1.194676582567322</v>
      </c>
      <c r="T34" s="21">
        <f>$H34*'Allocation - Allo%'!Q24</f>
        <v>0</v>
      </c>
      <c r="U34" s="21">
        <f>$H34*'Allocation - Allo%'!R24</f>
        <v>0</v>
      </c>
      <c r="V34" s="21">
        <f>$H34*'Allocation - Allo%'!S24</f>
        <v>0</v>
      </c>
      <c r="W34" s="21"/>
    </row>
    <row r="35" spans="1:25" ht="18" customHeight="1">
      <c r="A35" s="24">
        <f t="shared" si="0"/>
        <v>0</v>
      </c>
      <c r="B35" s="13" t="s">
        <v>45</v>
      </c>
      <c r="C35" s="9" t="s">
        <v>284</v>
      </c>
      <c r="E35" s="21">
        <f>'Classification - O&amp;M'!$O$81</f>
        <v>66.506695365835668</v>
      </c>
      <c r="F35" s="21"/>
      <c r="G35" s="21">
        <f>'Classification - Net Investment'!$O$39</f>
        <v>9.644107008381908E-2</v>
      </c>
      <c r="H35" s="21">
        <f>E35+G35</f>
        <v>66.603136435919481</v>
      </c>
      <c r="I35" s="21">
        <f>$H35*'Allocation - Allo%'!F25</f>
        <v>32.40775217172807</v>
      </c>
      <c r="J35" s="21">
        <f>$H35*'Allocation - Allo%'!G25</f>
        <v>31.09311650131059</v>
      </c>
      <c r="K35" s="21">
        <f>$H35*'Allocation - Allo%'!H25</f>
        <v>0</v>
      </c>
      <c r="L35" s="21">
        <f>$H35*'Allocation - Allo%'!I25</f>
        <v>0</v>
      </c>
      <c r="M35" s="21">
        <f>$H35*'Allocation - Allo%'!J25</f>
        <v>1.1631983642420765</v>
      </c>
      <c r="N35" s="21">
        <f>$H35*'Allocation - Allo%'!K25</f>
        <v>0.28410981864507306</v>
      </c>
      <c r="O35" s="21">
        <f>$H35*'Allocation - Allo%'!L25</f>
        <v>0</v>
      </c>
      <c r="P35" s="21">
        <f>$H35*'Allocation - Allo%'!M25</f>
        <v>0</v>
      </c>
      <c r="Q35" s="21">
        <f>$H35*'Allocation - Allo%'!N25</f>
        <v>0.1661391564616668</v>
      </c>
      <c r="R35" s="21">
        <f>$H35*'Allocation - Allo%'!O25</f>
        <v>0.42381125642680928</v>
      </c>
      <c r="S35" s="21">
        <f>$H35*'Allocation - Allo%'!P25</f>
        <v>1.0650091671052093</v>
      </c>
      <c r="T35" s="21">
        <f>$H35*'Allocation - Allo%'!Q25</f>
        <v>0</v>
      </c>
      <c r="U35" s="21">
        <f>$H35*'Allocation - Allo%'!R25</f>
        <v>0</v>
      </c>
      <c r="V35" s="21">
        <f>$H35*'Allocation - Allo%'!S25</f>
        <v>0</v>
      </c>
      <c r="W35" s="21"/>
    </row>
    <row r="36" spans="1:25" ht="18" customHeight="1">
      <c r="A36" s="24">
        <f t="shared" si="0"/>
        <v>0</v>
      </c>
      <c r="B36" s="13" t="s">
        <v>46</v>
      </c>
      <c r="C36" s="11" t="s">
        <v>437</v>
      </c>
      <c r="D36" s="11"/>
      <c r="E36" s="22">
        <f>'Classification - O&amp;M'!$P$81</f>
        <v>0</v>
      </c>
      <c r="F36" s="22"/>
      <c r="G36" s="22">
        <v>0</v>
      </c>
      <c r="H36" s="22">
        <f>P36</f>
        <v>-0.54339999999999999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f>'Allocation - COS wout GTA'!O36</f>
        <v>-0.54339999999999999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/>
    </row>
    <row r="37" spans="1:25" ht="18" customHeight="1">
      <c r="A37" s="24">
        <f t="shared" si="0"/>
        <v>0</v>
      </c>
      <c r="B37" s="13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5" ht="18" customHeight="1">
      <c r="A38" s="24">
        <f t="shared" si="0"/>
        <v>0</v>
      </c>
      <c r="B38" s="13" t="s">
        <v>64</v>
      </c>
      <c r="C38" s="48" t="s">
        <v>410</v>
      </c>
      <c r="E38" s="21">
        <f t="shared" ref="E38:V38" si="3">SUM(E34:E36)</f>
        <v>194.79965377422539</v>
      </c>
      <c r="F38" s="21">
        <f t="shared" si="3"/>
        <v>0</v>
      </c>
      <c r="G38" s="21">
        <f t="shared" si="3"/>
        <v>0.28247813184226322</v>
      </c>
      <c r="H38" s="21">
        <f t="shared" si="3"/>
        <v>195.08213190606764</v>
      </c>
      <c r="I38" s="21">
        <f t="shared" si="3"/>
        <v>103.31596813778899</v>
      </c>
      <c r="J38" s="21">
        <f t="shared" si="3"/>
        <v>87.596552135731145</v>
      </c>
      <c r="K38" s="21">
        <f t="shared" si="3"/>
        <v>0</v>
      </c>
      <c r="L38" s="21">
        <f t="shared" si="3"/>
        <v>0</v>
      </c>
      <c r="M38" s="21">
        <f t="shared" si="3"/>
        <v>1.4611180034397866</v>
      </c>
      <c r="N38" s="21">
        <f t="shared" si="3"/>
        <v>0.40225746654675737</v>
      </c>
      <c r="O38" s="21">
        <f t="shared" si="3"/>
        <v>0</v>
      </c>
      <c r="P38" s="21">
        <f t="shared" si="3"/>
        <v>-0.54339999999999999</v>
      </c>
      <c r="Q38" s="21">
        <f t="shared" si="3"/>
        <v>0.1661391564616668</v>
      </c>
      <c r="R38" s="21">
        <f t="shared" si="3"/>
        <v>0.42381125642680928</v>
      </c>
      <c r="S38" s="21">
        <f t="shared" si="3"/>
        <v>2.2596857496725313</v>
      </c>
      <c r="T38" s="21">
        <f t="shared" si="3"/>
        <v>0</v>
      </c>
      <c r="U38" s="21">
        <f t="shared" si="3"/>
        <v>0</v>
      </c>
      <c r="V38" s="21">
        <f t="shared" si="3"/>
        <v>0</v>
      </c>
      <c r="W38" s="21"/>
    </row>
    <row r="39" spans="1:25">
      <c r="A39" s="24">
        <f t="shared" si="0"/>
        <v>0</v>
      </c>
      <c r="B39" s="13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5" ht="18" customHeight="1">
      <c r="A40" s="24">
        <f t="shared" si="0"/>
        <v>0</v>
      </c>
      <c r="B40" s="13"/>
      <c r="C40" s="48" t="s">
        <v>493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5">
      <c r="A41" s="24">
        <f t="shared" si="0"/>
        <v>0</v>
      </c>
      <c r="B41" s="13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5" ht="18" customHeight="1">
      <c r="A42" s="24">
        <f t="shared" si="0"/>
        <v>0</v>
      </c>
      <c r="B42" s="13" t="s">
        <v>215</v>
      </c>
      <c r="C42" s="9" t="s">
        <v>412</v>
      </c>
      <c r="E42" s="21">
        <f>'Classification - O&amp;M'!$R$81</f>
        <v>52.974669052580566</v>
      </c>
      <c r="F42" s="21">
        <f>'Allocation - GTA COS'!C27</f>
        <v>0</v>
      </c>
      <c r="G42" s="21">
        <f>'Classification - Net Investment'!$R$39</f>
        <v>36.331679985338582</v>
      </c>
      <c r="H42" s="21">
        <f>G42+E42+F42</f>
        <v>89.306349037919148</v>
      </c>
      <c r="I42" s="21">
        <f>$H42*'Allocation - Allo%'!F17</f>
        <v>41.380350011708593</v>
      </c>
      <c r="J42" s="21">
        <f>$H42*'Allocation - Allo%'!G17</f>
        <v>36.296144002755149</v>
      </c>
      <c r="K42" s="21">
        <f>$H42*'Allocation - Allo%'!H17</f>
        <v>0</v>
      </c>
      <c r="L42" s="21">
        <f>$H42*'Allocation - Allo%'!I17</f>
        <v>0</v>
      </c>
      <c r="M42" s="21">
        <f>$H42*'Allocation - Allo%'!J17</f>
        <v>2.0234622215901354</v>
      </c>
      <c r="N42" s="21">
        <f>$H42*'Allocation - Allo%'!K17</f>
        <v>1.2531761688937169</v>
      </c>
      <c r="O42" s="21">
        <f>$H42*'Allocation - Allo%'!L17</f>
        <v>7.1760008592519053</v>
      </c>
      <c r="P42" s="21">
        <f>$H42*'Allocation - Allo%'!M17</f>
        <v>4.1425528071519606E-3</v>
      </c>
      <c r="Q42" s="21">
        <f>$H42*'Allocation - Allo%'!N17</f>
        <v>8.278605333887247E-2</v>
      </c>
      <c r="R42" s="21">
        <f>$H42*'Allocation - Allo%'!O17</f>
        <v>8.1097498642740865E-2</v>
      </c>
      <c r="S42" s="21">
        <f>$H42*'Allocation - Allo%'!P17</f>
        <v>0.99710097587030599</v>
      </c>
      <c r="T42" s="21">
        <f>$H42*'Allocation - Allo%'!Q17</f>
        <v>1.208869306057312E-2</v>
      </c>
      <c r="U42" s="21">
        <f>$H42*'Allocation - Allo%'!R17</f>
        <v>0</v>
      </c>
      <c r="V42" s="21">
        <f>$H42*'Allocation - Allo%'!S17</f>
        <v>0</v>
      </c>
      <c r="W42" s="21"/>
      <c r="Y42" s="24"/>
    </row>
    <row r="43" spans="1:25" ht="18" customHeight="1">
      <c r="A43" s="24"/>
      <c r="B43" s="13" t="s">
        <v>217</v>
      </c>
      <c r="C43" s="9" t="s">
        <v>413</v>
      </c>
      <c r="E43" s="21">
        <f>'Classification - O&amp;M'!$Q$81</f>
        <v>6.0538668775541442</v>
      </c>
      <c r="F43" s="21"/>
      <c r="G43" s="21">
        <f>'Classification - Net Investment'!$Q$39</f>
        <v>3.9873719897385929</v>
      </c>
      <c r="H43" s="21">
        <f t="shared" ref="H43:H50" si="4">G43+E43</f>
        <v>10.041238867292737</v>
      </c>
      <c r="I43" s="21">
        <f>$H43*'Allocation - Allo%'!F18</f>
        <v>5.0591527747555745</v>
      </c>
      <c r="J43" s="21">
        <f>$H43*'Allocation - Allo%'!G18</f>
        <v>4.437558831486661</v>
      </c>
      <c r="K43" s="21">
        <f>$H43*'Allocation - Allo%'!H18</f>
        <v>0</v>
      </c>
      <c r="L43" s="21">
        <f>$H43*'Allocation - Allo%'!I18</f>
        <v>0</v>
      </c>
      <c r="M43" s="21">
        <f>$H43*'Allocation - Allo%'!J18</f>
        <v>0.24738806003511921</v>
      </c>
      <c r="N43" s="21">
        <f>$H43*'Allocation - Allo%'!K18</f>
        <v>0.15321305137153984</v>
      </c>
      <c r="O43" s="21">
        <f>$H43*'Allocation - Allo%'!L18</f>
        <v>0</v>
      </c>
      <c r="P43" s="21">
        <f>$H43*'Allocation - Allo%'!M18</f>
        <v>5.0646762347211435E-4</v>
      </c>
      <c r="Q43" s="21">
        <f>$H43*'Allocation - Allo%'!N18</f>
        <v>1.0121405240456212E-2</v>
      </c>
      <c r="R43" s="21">
        <f>$H43*'Allocation - Allo%'!O18</f>
        <v>9.9149629031187181E-3</v>
      </c>
      <c r="S43" s="21">
        <f>$H43*'Allocation - Allo%'!P18</f>
        <v>0.12190535283917149</v>
      </c>
      <c r="T43" s="21">
        <f>$H43*'Allocation - Allo%'!Q18</f>
        <v>1.4779610376244308E-3</v>
      </c>
      <c r="U43" s="21">
        <f>$H43*'Allocation - Allo%'!R18</f>
        <v>0</v>
      </c>
      <c r="V43" s="21">
        <f>$H43*'Allocation - Allo%'!S18</f>
        <v>0</v>
      </c>
      <c r="W43" s="21"/>
      <c r="Y43" s="24"/>
    </row>
    <row r="44" spans="1:25" ht="18" customHeight="1">
      <c r="A44" s="24">
        <f t="shared" ref="A44:A83" si="5">H44-SUM(I44:V44)</f>
        <v>0</v>
      </c>
      <c r="B44" s="13" t="s">
        <v>219</v>
      </c>
      <c r="C44" s="9" t="s">
        <v>414</v>
      </c>
      <c r="E44" s="21">
        <f>'Classification - O&amp;M'!$S$81</f>
        <v>7.912373287948582</v>
      </c>
      <c r="F44" s="21"/>
      <c r="G44" s="21">
        <f>'Classification - Net Investment'!$S$39</f>
        <v>11.497709476429819</v>
      </c>
      <c r="H44" s="21">
        <f t="shared" si="4"/>
        <v>19.410082764378402</v>
      </c>
      <c r="I44" s="21">
        <f>$H44*'Allocation - Allo%'!F19</f>
        <v>9.899714928684892</v>
      </c>
      <c r="J44" s="21">
        <f>$H44*'Allocation - Allo%'!G19</f>
        <v>8.6833842279270606</v>
      </c>
      <c r="K44" s="21">
        <f>$H44*'Allocation - Allo%'!H19</f>
        <v>0</v>
      </c>
      <c r="L44" s="21">
        <f>$H44*'Allocation - Allo%'!I19</f>
        <v>0</v>
      </c>
      <c r="M44" s="21">
        <f>$H44*'Allocation - Allo%'!J19</f>
        <v>0.48408723360333533</v>
      </c>
      <c r="N44" s="21">
        <f>$H44*'Allocation - Allo%'!K19</f>
        <v>0.29980623228075542</v>
      </c>
      <c r="O44" s="21">
        <f>$H44*'Allocation - Allo%'!L19</f>
        <v>0</v>
      </c>
      <c r="P44" s="21">
        <f>$H44*'Allocation - Allo%'!M19</f>
        <v>9.9105231966921349E-4</v>
      </c>
      <c r="Q44" s="21">
        <f>$H44*'Allocation - Allo%'!N19</f>
        <v>1.9805495311031564E-2</v>
      </c>
      <c r="R44" s="21">
        <f>$H44*'Allocation - Allo%'!O19</f>
        <v>1.9401530382545818E-2</v>
      </c>
      <c r="S44" s="21">
        <f>$H44*'Allocation - Allo%'!P19</f>
        <v>0</v>
      </c>
      <c r="T44" s="21">
        <f>$H44*'Allocation - Allo%'!Q19</f>
        <v>2.8920638691113817E-3</v>
      </c>
      <c r="U44" s="21">
        <f>$H44*'Allocation - Allo%'!R19</f>
        <v>0</v>
      </c>
      <c r="V44" s="21">
        <f>$H44*'Allocation - Allo%'!S19</f>
        <v>0</v>
      </c>
      <c r="W44" s="21"/>
      <c r="Y44" s="24"/>
    </row>
    <row r="45" spans="1:25" ht="18" customHeight="1">
      <c r="A45" s="24">
        <f t="shared" si="5"/>
        <v>0</v>
      </c>
      <c r="B45" s="13" t="s">
        <v>221</v>
      </c>
      <c r="C45" s="9" t="s">
        <v>415</v>
      </c>
      <c r="E45" s="21">
        <f>'Classification - O&amp;M'!$T$81</f>
        <v>49.313533006932722</v>
      </c>
      <c r="F45" s="21"/>
      <c r="G45" s="21">
        <f>'Classification - Net Investment'!$T$39</f>
        <v>62.252262594727014</v>
      </c>
      <c r="H45" s="21">
        <f t="shared" si="4"/>
        <v>111.56579560165974</v>
      </c>
      <c r="I45" s="21">
        <f>$H45*'Allocation - Allo%'!F20</f>
        <v>57.390775235691741</v>
      </c>
      <c r="J45" s="21">
        <f>$H45*'Allocation - Allo%'!G20</f>
        <v>50.339444731497373</v>
      </c>
      <c r="K45" s="21">
        <f>$H45*'Allocation - Allo%'!H20</f>
        <v>0</v>
      </c>
      <c r="L45" s="21">
        <f>$H45*'Allocation - Allo%'!I20</f>
        <v>0</v>
      </c>
      <c r="M45" s="21">
        <f>$H45*'Allocation - Allo%'!J20</f>
        <v>2.8063577404331865</v>
      </c>
      <c r="N45" s="21">
        <f>$H45*'Allocation - Allo%'!K20</f>
        <v>0.77941507997066639</v>
      </c>
      <c r="O45" s="21">
        <f>$H45*'Allocation - Allo%'!L20</f>
        <v>0</v>
      </c>
      <c r="P45" s="21">
        <f>$H45*'Allocation - Allo%'!M20</f>
        <v>5.7453433088403578E-3</v>
      </c>
      <c r="Q45" s="21">
        <f>$H45*'Allocation - Allo%'!N20</f>
        <v>0.11481671320993841</v>
      </c>
      <c r="R45" s="21">
        <f>$H45*'Allocation - Allo%'!O20</f>
        <v>0.11247484169335047</v>
      </c>
      <c r="S45" s="21">
        <f>$H45*'Allocation - Allo%'!P20</f>
        <v>0</v>
      </c>
      <c r="T45" s="21">
        <f>$H45*'Allocation - Allo%'!Q20</f>
        <v>1.6765915854658385E-2</v>
      </c>
      <c r="U45" s="21">
        <f>$H45*'Allocation - Allo%'!R20</f>
        <v>0</v>
      </c>
      <c r="V45" s="21">
        <f>$H45*'Allocation - Allo%'!S20</f>
        <v>0</v>
      </c>
      <c r="W45" s="21"/>
      <c r="Y45" s="24"/>
    </row>
    <row r="46" spans="1:25" ht="18" customHeight="1">
      <c r="A46" s="24">
        <f t="shared" si="5"/>
        <v>0</v>
      </c>
      <c r="B46" s="13" t="s">
        <v>223</v>
      </c>
      <c r="C46" s="9" t="s">
        <v>290</v>
      </c>
      <c r="E46" s="21">
        <f>'Classification - O&amp;M'!$U$81</f>
        <v>20.658884987301679</v>
      </c>
      <c r="F46" s="21"/>
      <c r="G46" s="21">
        <f>'Classification - Net Investment'!$U$39</f>
        <v>-5.3663297719242463E-2</v>
      </c>
      <c r="H46" s="21">
        <f t="shared" si="4"/>
        <v>20.605221689582436</v>
      </c>
      <c r="I46" s="21">
        <f>$H46*'Allocation - Allo%'!F11</f>
        <v>8.5255709514908453</v>
      </c>
      <c r="J46" s="21">
        <f>$H46*'Allocation - Allo%'!G11</f>
        <v>8.659693426567177</v>
      </c>
      <c r="K46" s="21">
        <f>$H46*'Allocation - Allo%'!H11</f>
        <v>0</v>
      </c>
      <c r="L46" s="21">
        <f>$H46*'Allocation - Allo%'!I11</f>
        <v>0</v>
      </c>
      <c r="M46" s="21">
        <f>$H46*'Allocation - Allo%'!J11</f>
        <v>1.4147207885651809</v>
      </c>
      <c r="N46" s="21">
        <f>$H46*'Allocation - Allo%'!K11</f>
        <v>0.97328273231301499</v>
      </c>
      <c r="O46" s="21">
        <f>$H46*'Allocation - Allo%'!L11</f>
        <v>0</v>
      </c>
      <c r="P46" s="21">
        <f>$H46*'Allocation - Allo%'!M11</f>
        <v>0.11564912285656533</v>
      </c>
      <c r="Q46" s="21">
        <f>$H46*'Allocation - Allo%'!N11</f>
        <v>8.9892864718232615E-2</v>
      </c>
      <c r="R46" s="21">
        <f>$H46*'Allocation - Allo%'!O11</f>
        <v>0.52202861394652889</v>
      </c>
      <c r="S46" s="21">
        <f>$H46*'Allocation - Allo%'!P11</f>
        <v>0.30438318912488899</v>
      </c>
      <c r="T46" s="21">
        <f>$H46*'Allocation - Allo%'!Q11</f>
        <v>0</v>
      </c>
      <c r="U46" s="21">
        <f>$H46*'Allocation - Allo%'!R11</f>
        <v>0</v>
      </c>
      <c r="V46" s="21">
        <f>$H46*'Allocation - Allo%'!S11</f>
        <v>0</v>
      </c>
      <c r="W46" s="21"/>
      <c r="Y46" s="24"/>
    </row>
    <row r="47" spans="1:25" ht="18" customHeight="1">
      <c r="A47" s="24">
        <f t="shared" si="5"/>
        <v>0.11999999999999922</v>
      </c>
      <c r="B47" s="13" t="s">
        <v>225</v>
      </c>
      <c r="C47" s="9" t="s">
        <v>319</v>
      </c>
      <c r="E47" s="21">
        <f>'Classification - O&amp;M'!$V$81</f>
        <v>8.269799828319476</v>
      </c>
      <c r="F47" s="21"/>
      <c r="G47" s="21">
        <v>0</v>
      </c>
      <c r="H47" s="21">
        <f t="shared" si="4"/>
        <v>8.269799828319476</v>
      </c>
      <c r="I47" s="21">
        <v>4.1748528864597896</v>
      </c>
      <c r="J47" s="21">
        <v>3.9731696108124508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8.8866552361908566E-4</v>
      </c>
      <c r="Q47" s="21">
        <v>8.8866552361908566E-4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/>
      <c r="Y47" s="24"/>
    </row>
    <row r="48" spans="1:25" ht="18" customHeight="1">
      <c r="A48" s="24">
        <f t="shared" si="5"/>
        <v>0</v>
      </c>
      <c r="B48" s="13" t="s">
        <v>227</v>
      </c>
      <c r="C48" s="9" t="s">
        <v>291</v>
      </c>
      <c r="E48" s="21">
        <f>'Classification - O&amp;M'!$AA$81</f>
        <v>35.350375806320841</v>
      </c>
      <c r="F48" s="21"/>
      <c r="G48" s="21">
        <f>'Classification - Net Investment'!$Y$39</f>
        <v>44.032213941082247</v>
      </c>
      <c r="H48" s="21">
        <f t="shared" si="4"/>
        <v>79.382589747403088</v>
      </c>
      <c r="I48" s="21">
        <f>$H48*'Allocation - Allo%'!F21</f>
        <v>73.274796144843577</v>
      </c>
      <c r="J48" s="21">
        <f>$H48*'Allocation - Allo%'!G21</f>
        <v>6.0931755665984824</v>
      </c>
      <c r="K48" s="21">
        <f>$H48*'Allocation - Allo%'!H21</f>
        <v>0</v>
      </c>
      <c r="L48" s="21">
        <f>$H48*'Allocation - Allo%'!I21</f>
        <v>0</v>
      </c>
      <c r="M48" s="21">
        <f>$H48*'Allocation - Allo%'!J21</f>
        <v>9.6362674867429641E-3</v>
      </c>
      <c r="N48" s="21">
        <f>$H48*'Allocation - Allo%'!K21</f>
        <v>9.8180838544173585E-4</v>
      </c>
      <c r="O48" s="21">
        <f>$H48*'Allocation - Allo%'!L21</f>
        <v>1.4545309413951642E-4</v>
      </c>
      <c r="P48" s="21">
        <f>$H48*'Allocation - Allo%'!M21</f>
        <v>1.5636207619998015E-3</v>
      </c>
      <c r="Q48" s="21">
        <f>$H48*'Allocation - Allo%'!N21</f>
        <v>1.3090778472556477E-3</v>
      </c>
      <c r="R48" s="21">
        <f>$H48*'Allocation - Allo%'!O21</f>
        <v>9.0908183837197769E-4</v>
      </c>
      <c r="S48" s="21">
        <f>$H48*'Allocation - Allo%'!P21</f>
        <v>3.6363273534879105E-5</v>
      </c>
      <c r="T48" s="21">
        <f>$H48*'Allocation - Allo%'!Q21</f>
        <v>3.6363273534879105E-5</v>
      </c>
      <c r="U48" s="21">
        <f>$H48*'Allocation - Allo%'!R21</f>
        <v>0</v>
      </c>
      <c r="V48" s="21">
        <f>$H48*'Allocation - Allo%'!S21</f>
        <v>0</v>
      </c>
      <c r="W48" s="21"/>
      <c r="Y48" s="24"/>
    </row>
    <row r="49" spans="1:25" ht="18" customHeight="1">
      <c r="A49" s="24">
        <f t="shared" si="5"/>
        <v>6.6434443932905651E-4</v>
      </c>
      <c r="B49" s="13" t="s">
        <v>229</v>
      </c>
      <c r="C49" s="9" t="s">
        <v>233</v>
      </c>
      <c r="E49" s="21">
        <f>'Classification - O&amp;M'!$W$60</f>
        <v>66.495437535768616</v>
      </c>
      <c r="F49" s="21"/>
      <c r="G49" s="21">
        <f>'Classification - Net Investment'!$L$39</f>
        <v>0</v>
      </c>
      <c r="H49" s="21">
        <f t="shared" si="4"/>
        <v>66.495437535768616</v>
      </c>
      <c r="I49" s="21">
        <v>37.488000965060031</v>
      </c>
      <c r="J49" s="21">
        <v>21.506320665379427</v>
      </c>
      <c r="K49" s="21">
        <v>2.7937919965212664E-3</v>
      </c>
      <c r="L49" s="21">
        <v>0</v>
      </c>
      <c r="M49" s="21">
        <v>1.8046803095769315</v>
      </c>
      <c r="N49" s="21">
        <v>1.3611723817926611</v>
      </c>
      <c r="O49" s="21">
        <v>0.10476719986954748</v>
      </c>
      <c r="P49" s="21">
        <v>0.26388346737129709</v>
      </c>
      <c r="Q49" s="21">
        <v>1.6490311208806148</v>
      </c>
      <c r="R49" s="21">
        <v>2.2708195134561557</v>
      </c>
      <c r="S49" s="21">
        <v>3.6319295954776454E-2</v>
      </c>
      <c r="T49" s="21">
        <v>6.9844799913031655E-3</v>
      </c>
      <c r="U49" s="21">
        <v>0</v>
      </c>
      <c r="V49" s="21">
        <v>0</v>
      </c>
      <c r="W49" s="21"/>
      <c r="Y49" s="24"/>
    </row>
    <row r="50" spans="1:25" ht="18" customHeight="1">
      <c r="A50" s="24">
        <f t="shared" si="5"/>
        <v>2.0390839871708977E-4</v>
      </c>
      <c r="B50" s="13" t="s">
        <v>230</v>
      </c>
      <c r="C50" s="11" t="s">
        <v>235</v>
      </c>
      <c r="D50" s="11"/>
      <c r="E50" s="22">
        <f>'Classification - O&amp;M'!$W$61</f>
        <v>20.409560744138883</v>
      </c>
      <c r="F50" s="22"/>
      <c r="G50" s="22">
        <f>'Classification - Net Investment'!$M$39</f>
        <v>0</v>
      </c>
      <c r="H50" s="22">
        <f t="shared" si="4"/>
        <v>20.409560744138883</v>
      </c>
      <c r="I50" s="22">
        <v>11.506257590178167</v>
      </c>
      <c r="J50" s="22">
        <v>6.6009725520210729</v>
      </c>
      <c r="K50" s="22">
        <v>8.5750345516548941E-4</v>
      </c>
      <c r="L50" s="22">
        <v>0</v>
      </c>
      <c r="M50" s="22">
        <v>0.55391367842925465</v>
      </c>
      <c r="N50" s="22">
        <v>0.41778701578381389</v>
      </c>
      <c r="O50" s="22">
        <v>3.2156379568705852E-2</v>
      </c>
      <c r="P50" s="22">
        <v>8.0994213387973094E-2</v>
      </c>
      <c r="Q50" s="22">
        <v>0.50614000118137592</v>
      </c>
      <c r="R50" s="22">
        <v>0.69698659817957409</v>
      </c>
      <c r="S50" s="22">
        <v>1.1147544917151361E-2</v>
      </c>
      <c r="T50" s="22">
        <v>2.1437586379137231E-3</v>
      </c>
      <c r="U50" s="22">
        <v>0</v>
      </c>
      <c r="V50" s="22">
        <v>0</v>
      </c>
      <c r="W50" s="22"/>
      <c r="Y50" s="24"/>
    </row>
    <row r="51" spans="1:25">
      <c r="A51" s="24">
        <f t="shared" si="5"/>
        <v>0</v>
      </c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Y51" s="24"/>
    </row>
    <row r="52" spans="1:25" ht="18" customHeight="1">
      <c r="A52" s="24">
        <f t="shared" si="5"/>
        <v>0.12086825283802227</v>
      </c>
      <c r="B52" s="13" t="s">
        <v>66</v>
      </c>
      <c r="C52" s="48" t="s">
        <v>416</v>
      </c>
      <c r="E52" s="21">
        <f t="shared" ref="E52:V52" si="6">SUM(E42:E50)</f>
        <v>267.4385011268655</v>
      </c>
      <c r="F52" s="21">
        <f t="shared" si="6"/>
        <v>0</v>
      </c>
      <c r="G52" s="21">
        <f t="shared" si="6"/>
        <v>158.04757468959701</v>
      </c>
      <c r="H52" s="21">
        <f t="shared" si="6"/>
        <v>425.48607581646257</v>
      </c>
      <c r="I52" s="21">
        <f t="shared" si="6"/>
        <v>248.6994714888732</v>
      </c>
      <c r="J52" s="21">
        <f t="shared" si="6"/>
        <v>146.58986361504486</v>
      </c>
      <c r="K52" s="21">
        <f t="shared" si="6"/>
        <v>3.6512954516867559E-3</v>
      </c>
      <c r="L52" s="21">
        <f t="shared" si="6"/>
        <v>0</v>
      </c>
      <c r="M52" s="21">
        <f t="shared" si="6"/>
        <v>9.3442462997198881</v>
      </c>
      <c r="N52" s="21">
        <f t="shared" si="6"/>
        <v>5.2388344707916099</v>
      </c>
      <c r="O52" s="21">
        <f t="shared" si="6"/>
        <v>7.3130698917842984</v>
      </c>
      <c r="P52" s="21">
        <f t="shared" si="6"/>
        <v>0.47436450596058799</v>
      </c>
      <c r="Q52" s="21">
        <f t="shared" si="6"/>
        <v>2.4747913972513969</v>
      </c>
      <c r="R52" s="21">
        <f t="shared" si="6"/>
        <v>3.7136326410423868</v>
      </c>
      <c r="S52" s="21">
        <f t="shared" si="6"/>
        <v>1.4708927219798293</v>
      </c>
      <c r="T52" s="21">
        <f t="shared" si="6"/>
        <v>4.2389235724719088E-2</v>
      </c>
      <c r="U52" s="21">
        <f t="shared" si="6"/>
        <v>0</v>
      </c>
      <c r="V52" s="21">
        <f t="shared" si="6"/>
        <v>0</v>
      </c>
      <c r="W52" s="21"/>
      <c r="Y52" s="24"/>
    </row>
    <row r="53" spans="1:25">
      <c r="A53" s="24">
        <f t="shared" si="5"/>
        <v>0</v>
      </c>
      <c r="B53" s="13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5" ht="18" customHeight="1">
      <c r="A54" s="24">
        <f t="shared" si="5"/>
        <v>0</v>
      </c>
      <c r="B54" s="13"/>
      <c r="C54" s="48" t="s">
        <v>494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5" ht="13">
      <c r="A55" s="24">
        <f t="shared" si="5"/>
        <v>0</v>
      </c>
      <c r="B55" s="13"/>
      <c r="C55" s="48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5" ht="18" customHeight="1">
      <c r="A56" s="24">
        <f t="shared" si="5"/>
        <v>0</v>
      </c>
      <c r="B56" s="13" t="s">
        <v>96</v>
      </c>
      <c r="C56" s="9" t="s">
        <v>24</v>
      </c>
      <c r="E56" s="21">
        <f>'Classification - O&amp;M'!$X$81</f>
        <v>11.739996915311817</v>
      </c>
      <c r="F56" s="21"/>
      <c r="G56" s="21">
        <f>'Classification - Net Investment'!$V$39</f>
        <v>46.324330654358178</v>
      </c>
      <c r="H56" s="21">
        <f t="shared" ref="H56:H68" si="7">G56+E56</f>
        <v>58.064327569669999</v>
      </c>
      <c r="I56" s="21">
        <f>$H56*'Allocation - Allo%'!F28</f>
        <v>32.592553053779312</v>
      </c>
      <c r="J56" s="21">
        <f>$H56*'Allocation - Allo%'!G28</f>
        <v>24.379904518295294</v>
      </c>
      <c r="K56" s="21">
        <f>$H56*'Allocation - Allo%'!H28</f>
        <v>0</v>
      </c>
      <c r="L56" s="21">
        <f>$H56*'Allocation - Allo%'!I28</f>
        <v>1.2421771258006979E-9</v>
      </c>
      <c r="M56" s="21">
        <f>$H56*'Allocation - Allo%'!J28</f>
        <v>0.57700236602849164</v>
      </c>
      <c r="N56" s="21">
        <f>$H56*'Allocation - Allo%'!K28</f>
        <v>5.8788920312336894E-2</v>
      </c>
      <c r="O56" s="21">
        <f>$H56*'Allocation - Allo%'!L28</f>
        <v>0.23827948944848429</v>
      </c>
      <c r="P56" s="21">
        <f>$H56*'Allocation - Allo%'!M28</f>
        <v>9.1769357334392967E-2</v>
      </c>
      <c r="Q56" s="21">
        <f>$H56*'Allocation - Allo%'!N28</f>
        <v>6.9418310336151173E-2</v>
      </c>
      <c r="R56" s="21">
        <f>$H56*'Allocation - Allo%'!O28</f>
        <v>5.4434185474386006E-2</v>
      </c>
      <c r="S56" s="21">
        <f>$H56*'Allocation - Allo%'!P28</f>
        <v>0</v>
      </c>
      <c r="T56" s="21">
        <f>$H56*'Allocation - Allo%'!Q28</f>
        <v>2.1773674189754398E-3</v>
      </c>
      <c r="U56" s="21">
        <f>$H56*'Allocation - Allo%'!R28</f>
        <v>0</v>
      </c>
      <c r="V56" s="21">
        <f>$H56*'Allocation - Allo%'!S28</f>
        <v>0</v>
      </c>
      <c r="W56" s="21"/>
      <c r="Y56" s="24"/>
    </row>
    <row r="57" spans="1:25" ht="18" customHeight="1">
      <c r="A57" s="24">
        <f t="shared" si="5"/>
        <v>0</v>
      </c>
      <c r="B57" s="13" t="s">
        <v>239</v>
      </c>
      <c r="C57" s="9" t="s">
        <v>20</v>
      </c>
      <c r="E57" s="21">
        <f>'Classification - O&amp;M'!$Y$81</f>
        <v>4.9169598410657489</v>
      </c>
      <c r="F57" s="21"/>
      <c r="G57" s="21">
        <f>'Classification - Net Investment'!$W$39</f>
        <v>7.1851631449540054</v>
      </c>
      <c r="H57" s="21">
        <f t="shared" si="7"/>
        <v>12.102122986019754</v>
      </c>
      <c r="I57" s="21">
        <f>$H57*'Allocation - Allo%'!F29</f>
        <v>0.90495280126754929</v>
      </c>
      <c r="J57" s="21">
        <f>$H57*'Allocation - Allo%'!G29</f>
        <v>10.24996042049189</v>
      </c>
      <c r="K57" s="21">
        <f>$H57*'Allocation - Allo%'!H29</f>
        <v>0</v>
      </c>
      <c r="L57" s="21">
        <f>$H57*'Allocation - Allo%'!I29</f>
        <v>0</v>
      </c>
      <c r="M57" s="21">
        <f>$H57*'Allocation - Allo%'!J29</f>
        <v>0.42163170116736254</v>
      </c>
      <c r="N57" s="21">
        <f>$H57*'Allocation - Allo%'!K29</f>
        <v>8.1591835615490382E-2</v>
      </c>
      <c r="O57" s="21">
        <f>$H57*'Allocation - Allo%'!L29</f>
        <v>0</v>
      </c>
      <c r="P57" s="21">
        <f>$H57*'Allocation - Allo%'!M29</f>
        <v>0.17196441355733388</v>
      </c>
      <c r="Q57" s="21">
        <f>$H57*'Allocation - Allo%'!N29</f>
        <v>0.11643471455718396</v>
      </c>
      <c r="R57" s="21">
        <f>$H57*'Allocation - Allo%'!O29</f>
        <v>0.14734072577182175</v>
      </c>
      <c r="S57" s="21">
        <f>$H57*'Allocation - Allo%'!P29</f>
        <v>0</v>
      </c>
      <c r="T57" s="21">
        <f>$H57*'Allocation - Allo%'!Q29</f>
        <v>8.2463735911190109E-3</v>
      </c>
      <c r="U57" s="21">
        <f>$H57*'Allocation - Allo%'!R29</f>
        <v>0</v>
      </c>
      <c r="V57" s="21">
        <f>$H57*'Allocation - Allo%'!S29</f>
        <v>0</v>
      </c>
      <c r="W57" s="21"/>
      <c r="Y57" s="24"/>
    </row>
    <row r="58" spans="1:25" ht="18" customHeight="1">
      <c r="A58" s="24">
        <f t="shared" si="5"/>
        <v>0</v>
      </c>
      <c r="B58" s="13" t="s">
        <v>241</v>
      </c>
      <c r="C58" s="9" t="s">
        <v>22</v>
      </c>
      <c r="E58" s="21">
        <f>'Classification - O&amp;M'!$Z$81</f>
        <v>10.83918066402819</v>
      </c>
      <c r="F58" s="21"/>
      <c r="G58" s="21">
        <f>'Classification - Net Investment'!$X$39</f>
        <v>89.069598073610351</v>
      </c>
      <c r="H58" s="21">
        <f t="shared" si="7"/>
        <v>99.908778737638542</v>
      </c>
      <c r="I58" s="21">
        <f>$H58*'Allocation - Allo%'!F30</f>
        <v>88.668246324210045</v>
      </c>
      <c r="J58" s="21">
        <f>$H58*'Allocation - Allo%'!G30</f>
        <v>10.918869676821062</v>
      </c>
      <c r="K58" s="21">
        <f>$H58*'Allocation - Allo%'!H30</f>
        <v>0</v>
      </c>
      <c r="L58" s="21">
        <f>$H58*'Allocation - Allo%'!I30</f>
        <v>0</v>
      </c>
      <c r="M58" s="21">
        <f>$H58*'Allocation - Allo%'!J30</f>
        <v>0.15593934627091302</v>
      </c>
      <c r="N58" s="21">
        <f>$H58*'Allocation - Allo%'!K30</f>
        <v>1.9916212621547587E-2</v>
      </c>
      <c r="O58" s="21">
        <f>$H58*'Allocation - Allo%'!L30</f>
        <v>1.3186937101809824E-2</v>
      </c>
      <c r="P58" s="21">
        <f>$H58*'Allocation - Allo%'!M30</f>
        <v>1.8395983932198101E-2</v>
      </c>
      <c r="Q58" s="21">
        <f>$H58*'Allocation - Allo%'!N30</f>
        <v>4.2231868682724868E-2</v>
      </c>
      <c r="R58" s="21">
        <f>$H58*'Allocation - Allo%'!O30</f>
        <v>7.1388174465345774E-2</v>
      </c>
      <c r="S58" s="21">
        <f>$H58*'Allocation - Allo%'!P30</f>
        <v>0</v>
      </c>
      <c r="T58" s="21">
        <f>$H58*'Allocation - Allo%'!Q30</f>
        <v>6.0421353292430715E-4</v>
      </c>
      <c r="U58" s="21">
        <f>$H58*'Allocation - Allo%'!R30</f>
        <v>0</v>
      </c>
      <c r="V58" s="21">
        <f>$H58*'Allocation - Allo%'!S30</f>
        <v>0</v>
      </c>
      <c r="W58" s="21"/>
      <c r="Y58" s="24"/>
    </row>
    <row r="59" spans="1:25" ht="18" customHeight="1">
      <c r="A59" s="24">
        <f t="shared" si="5"/>
        <v>0</v>
      </c>
      <c r="B59" s="13" t="s">
        <v>243</v>
      </c>
      <c r="C59" s="9" t="s">
        <v>112</v>
      </c>
      <c r="E59" s="21">
        <f>'Classification - O&amp;M'!$AB$81</f>
        <v>0</v>
      </c>
      <c r="F59" s="21"/>
      <c r="G59" s="21">
        <f>'Classification - Net Investment'!$Z$39</f>
        <v>1.530657016806664</v>
      </c>
      <c r="H59" s="21">
        <f t="shared" si="7"/>
        <v>1.530657016806664</v>
      </c>
      <c r="I59" s="21">
        <f>$H59*'Allocation - Allo%'!F31</f>
        <v>0.30613140336133282</v>
      </c>
      <c r="J59" s="21">
        <f>$H59*'Allocation - Allo%'!G31</f>
        <v>1.2245256134453313</v>
      </c>
      <c r="K59" s="21">
        <f>$H59*'Allocation - Allo%'!H31</f>
        <v>0</v>
      </c>
      <c r="L59" s="21">
        <f>$H59*'Allocation - Allo%'!I31</f>
        <v>0</v>
      </c>
      <c r="M59" s="21">
        <f>$H59*'Allocation - Allo%'!J31</f>
        <v>0</v>
      </c>
      <c r="N59" s="21">
        <f>$H59*'Allocation - Allo%'!K31</f>
        <v>0</v>
      </c>
      <c r="O59" s="21">
        <f>$H59*'Allocation - Allo%'!L31</f>
        <v>0</v>
      </c>
      <c r="P59" s="21">
        <f>$H59*'Allocation - Allo%'!M31</f>
        <v>0</v>
      </c>
      <c r="Q59" s="21">
        <f>$H59*'Allocation - Allo%'!N31</f>
        <v>0</v>
      </c>
      <c r="R59" s="21">
        <f>$H59*'Allocation - Allo%'!O31</f>
        <v>0</v>
      </c>
      <c r="S59" s="21">
        <f>$H59*'Allocation - Allo%'!P31</f>
        <v>0</v>
      </c>
      <c r="T59" s="21">
        <f>$H59*'Allocation - Allo%'!Q31</f>
        <v>0</v>
      </c>
      <c r="U59" s="21">
        <f>$H59*'Allocation - Allo%'!R31</f>
        <v>0</v>
      </c>
      <c r="V59" s="21">
        <f>$H59*'Allocation - Allo%'!S31</f>
        <v>0</v>
      </c>
      <c r="W59" s="21"/>
      <c r="Y59" s="24"/>
    </row>
    <row r="60" spans="1:25" ht="18" customHeight="1">
      <c r="A60" s="24">
        <f t="shared" si="5"/>
        <v>0</v>
      </c>
      <c r="B60" s="13" t="s">
        <v>245</v>
      </c>
      <c r="C60" s="9" t="s">
        <v>418</v>
      </c>
      <c r="E60" s="21">
        <f>'Classification - O&amp;M'!$AC$63</f>
        <v>6.2996216149880642</v>
      </c>
      <c r="F60" s="21"/>
      <c r="G60" s="21">
        <f>'Classification - Net Investment'!$AA$39</f>
        <v>0</v>
      </c>
      <c r="H60" s="21">
        <f t="shared" si="7"/>
        <v>6.2996216149880642</v>
      </c>
      <c r="I60" s="21">
        <f>$H60*'Allocation - Allo%'!F33</f>
        <v>0</v>
      </c>
      <c r="J60" s="21">
        <f>$H60*'Allocation - Allo%'!G33</f>
        <v>6.2845444690821948</v>
      </c>
      <c r="K60" s="21">
        <f>$H60*'Allocation - Allo%'!H33</f>
        <v>0</v>
      </c>
      <c r="L60" s="21">
        <f>$H60*'Allocation - Allo%'!I33</f>
        <v>0</v>
      </c>
      <c r="M60" s="21">
        <f>$H60*'Allocation - Allo%'!J33</f>
        <v>9.9389145896898005E-3</v>
      </c>
      <c r="N60" s="21">
        <f>$H60*'Allocation - Allo%'!K33</f>
        <v>1.0126441280061305E-3</v>
      </c>
      <c r="O60" s="21">
        <f>$H60*'Allocation - Allo%'!L33</f>
        <v>1.5002135229720453E-4</v>
      </c>
      <c r="P60" s="21">
        <f>$H60*'Allocation - Allo%'!M33</f>
        <v>1.6127295371949487E-3</v>
      </c>
      <c r="Q60" s="21">
        <f>$H60*'Allocation - Allo%'!N33</f>
        <v>1.3501921706748409E-3</v>
      </c>
      <c r="R60" s="21">
        <f>$H60*'Allocation - Allo%'!O33</f>
        <v>9.3763345185752839E-4</v>
      </c>
      <c r="S60" s="21">
        <f>$H60*'Allocation - Allo%'!P33</f>
        <v>3.7505338074301133E-5</v>
      </c>
      <c r="T60" s="21">
        <f>$H60*'Allocation - Allo%'!Q33</f>
        <v>3.7505338074301133E-5</v>
      </c>
      <c r="U60" s="21">
        <f>$H60*'Allocation - Allo%'!R33</f>
        <v>0</v>
      </c>
      <c r="V60" s="21">
        <f>$H60*'Allocation - Allo%'!S33</f>
        <v>0</v>
      </c>
      <c r="W60" s="21"/>
      <c r="Y60" s="24"/>
    </row>
    <row r="61" spans="1:25" ht="18" customHeight="1">
      <c r="A61" s="24">
        <f t="shared" si="5"/>
        <v>0</v>
      </c>
      <c r="B61" s="13" t="s">
        <v>246</v>
      </c>
      <c r="C61" s="9" t="s">
        <v>293</v>
      </c>
      <c r="E61" s="21">
        <f>'Classification - O&amp;M'!$AD$59</f>
        <v>6.1686578599152577</v>
      </c>
      <c r="F61" s="21"/>
      <c r="G61" s="21">
        <f>'Classification - Net Investment'!$AB$39</f>
        <v>0</v>
      </c>
      <c r="H61" s="21">
        <f t="shared" si="7"/>
        <v>6.1686578599152577</v>
      </c>
      <c r="I61" s="21">
        <f>$H61*'Allocation - Allo%'!F34</f>
        <v>0</v>
      </c>
      <c r="J61" s="21">
        <f>$H61*'Allocation - Allo%'!G34</f>
        <v>0</v>
      </c>
      <c r="K61" s="21">
        <f>$H61*'Allocation - Allo%'!H34</f>
        <v>0</v>
      </c>
      <c r="L61" s="21">
        <f>$H61*'Allocation - Allo%'!I34</f>
        <v>0</v>
      </c>
      <c r="M61" s="21">
        <f>$H61*'Allocation - Allo%'!J34</f>
        <v>4.0664038131282174</v>
      </c>
      <c r="N61" s="21">
        <f>$H61*'Allocation - Allo%'!K34</f>
        <v>0.41431284133759194</v>
      </c>
      <c r="O61" s="21">
        <f>$H61*'Allocation - Allo%'!L34</f>
        <v>6.1379680198161771E-2</v>
      </c>
      <c r="P61" s="21">
        <f>$H61*'Allocation - Allo%'!M34</f>
        <v>0.65983156213023897</v>
      </c>
      <c r="Q61" s="21">
        <f>$H61*'Allocation - Allo%'!N34</f>
        <v>0.55241712178345592</v>
      </c>
      <c r="R61" s="21">
        <f>$H61*'Allocation - Allo%'!O34</f>
        <v>0.38362300123851106</v>
      </c>
      <c r="S61" s="21">
        <f>$H61*'Allocation - Allo%'!P34</f>
        <v>1.5344920049540443E-2</v>
      </c>
      <c r="T61" s="21">
        <f>$H61*'Allocation - Allo%'!Q34</f>
        <v>1.5344920049540443E-2</v>
      </c>
      <c r="U61" s="21">
        <f>$H61*'Allocation - Allo%'!R34</f>
        <v>0</v>
      </c>
      <c r="V61" s="21">
        <f>$H61*'Allocation - Allo%'!S34</f>
        <v>0</v>
      </c>
      <c r="W61" s="21"/>
      <c r="Y61" s="24"/>
    </row>
    <row r="62" spans="1:25" ht="18" customHeight="1">
      <c r="A62" s="24">
        <f t="shared" si="5"/>
        <v>0</v>
      </c>
      <c r="B62" s="13" t="s">
        <v>247</v>
      </c>
      <c r="C62" s="9" t="s">
        <v>294</v>
      </c>
      <c r="E62" s="21">
        <f>'Classification - O&amp;M'!$AE$81</f>
        <v>1.4234759722603749</v>
      </c>
      <c r="F62" s="21"/>
      <c r="G62" s="21">
        <f>'Classification - Net Investment'!$AC$39</f>
        <v>0</v>
      </c>
      <c r="H62" s="21">
        <f t="shared" si="7"/>
        <v>1.4234759722603749</v>
      </c>
      <c r="I62" s="21">
        <f>$H62*'Allocation - Allo%'!F39</f>
        <v>0</v>
      </c>
      <c r="J62" s="21">
        <f>$H62*'Allocation - Allo%'!G39</f>
        <v>0</v>
      </c>
      <c r="K62" s="21">
        <f>$H62*'Allocation - Allo%'!H39</f>
        <v>0</v>
      </c>
      <c r="L62" s="21">
        <f>$H62*'Allocation - Allo%'!I39</f>
        <v>0</v>
      </c>
      <c r="M62" s="21">
        <f>$H62*'Allocation - Allo%'!J39</f>
        <v>0</v>
      </c>
      <c r="N62" s="21">
        <f>$H62*'Allocation - Allo%'!K39</f>
        <v>0</v>
      </c>
      <c r="O62" s="21">
        <f>$H62*'Allocation - Allo%'!L39</f>
        <v>0</v>
      </c>
      <c r="P62" s="21">
        <f>$H62*'Allocation - Allo%'!M39</f>
        <v>0</v>
      </c>
      <c r="Q62" s="21">
        <f>$H62*'Allocation - Allo%'!N39</f>
        <v>0</v>
      </c>
      <c r="R62" s="21">
        <f>$H62*'Allocation - Allo%'!O39</f>
        <v>0</v>
      </c>
      <c r="S62" s="21">
        <f>$H62*'Allocation - Allo%'!P39</f>
        <v>0</v>
      </c>
      <c r="T62" s="21">
        <f>$H62*'Allocation - Allo%'!Q39</f>
        <v>0</v>
      </c>
      <c r="U62" s="21">
        <f>$H62*'Allocation - Allo%'!R39</f>
        <v>0</v>
      </c>
      <c r="V62" s="21">
        <f>$H62*'Allocation - Allo%'!S39</f>
        <v>1.4234759722603749</v>
      </c>
      <c r="W62" s="21"/>
      <c r="Y62" s="24"/>
    </row>
    <row r="63" spans="1:25" ht="18" customHeight="1">
      <c r="A63" s="24">
        <f t="shared" si="5"/>
        <v>0</v>
      </c>
      <c r="B63" s="13" t="s">
        <v>249</v>
      </c>
      <c r="C63" s="9" t="s">
        <v>419</v>
      </c>
      <c r="E63" s="21">
        <f>'Classification - O&amp;M'!$AF$81</f>
        <v>137.16550877724836</v>
      </c>
      <c r="F63" s="21"/>
      <c r="G63" s="21">
        <f>'Classification - Net Investment'!$AD$39</f>
        <v>-7.2305323930785113</v>
      </c>
      <c r="H63" s="21">
        <f t="shared" si="7"/>
        <v>129.93497638416986</v>
      </c>
      <c r="I63" s="21">
        <f>$H63*'Allocation - Allo%'!F32</f>
        <v>119.93762028841569</v>
      </c>
      <c r="J63" s="21">
        <f>$H63*'Allocation - Allo%'!G32</f>
        <v>9.9734290084240378</v>
      </c>
      <c r="K63" s="21">
        <f>$H63*'Allocation - Allo%'!H32</f>
        <v>0</v>
      </c>
      <c r="L63" s="21">
        <f>$H63*'Allocation - Allo%'!I32</f>
        <v>0</v>
      </c>
      <c r="M63" s="21">
        <f>$H63*'Allocation - Allo%'!J32</f>
        <v>1.5772831200212278E-2</v>
      </c>
      <c r="N63" s="21">
        <f>$H63*'Allocation - Allo%'!K32</f>
        <v>1.607043178889553E-3</v>
      </c>
      <c r="O63" s="21">
        <f>$H63*'Allocation - Allo%'!L32</f>
        <v>2.3808047094660043E-4</v>
      </c>
      <c r="P63" s="21">
        <f>$H63*'Allocation - Allo%'!M32</f>
        <v>2.5593650626759548E-3</v>
      </c>
      <c r="Q63" s="21">
        <f>$H63*'Allocation - Allo%'!N32</f>
        <v>2.1427242385194038E-3</v>
      </c>
      <c r="R63" s="21">
        <f>$H63*'Allocation - Allo%'!O32</f>
        <v>1.4880029434162527E-3</v>
      </c>
      <c r="S63" s="21">
        <f>$H63*'Allocation - Allo%'!P32</f>
        <v>5.9520117736650107E-5</v>
      </c>
      <c r="T63" s="21">
        <f>$H63*'Allocation - Allo%'!Q32</f>
        <v>5.9520117736650107E-5</v>
      </c>
      <c r="U63" s="21">
        <f>$H63*'Allocation - Allo%'!R32</f>
        <v>0</v>
      </c>
      <c r="V63" s="21">
        <f>$H63*'Allocation - Allo%'!S32</f>
        <v>0</v>
      </c>
      <c r="W63" s="21"/>
      <c r="Y63" s="24"/>
    </row>
    <row r="64" spans="1:25" ht="18" customHeight="1">
      <c r="A64" s="24">
        <f t="shared" si="5"/>
        <v>0.36316899999999919</v>
      </c>
      <c r="B64" s="13" t="s">
        <v>420</v>
      </c>
      <c r="C64" s="9" t="s">
        <v>277</v>
      </c>
      <c r="E64" s="21">
        <f>'Classification - O&amp;M'!$F$81</f>
        <v>7.4015530579062094</v>
      </c>
      <c r="F64" s="21"/>
      <c r="G64" s="21">
        <f>'Classification - Net Investment'!$F$39</f>
        <v>-0.32164772645138751</v>
      </c>
      <c r="H64" s="21">
        <f t="shared" si="7"/>
        <v>7.0799053314548219</v>
      </c>
      <c r="I64" s="21">
        <f>'Classification - O&amp;M'!$F$53+('Classification - O&amp;M'!$F$58+'Classification - Net Investment'!$F$29+'Classification - Net Investment'!$F$34)*'Allocation - Allo%'!F51+'Allocation - Allo%'!F52</f>
        <v>5.5457881580421837</v>
      </c>
      <c r="J64" s="21">
        <f>+('Classification - O&amp;M'!$F$58+'Classification - Net Investment'!$F$29+'Classification - Net Investment'!$F$34)*'Allocation - Allo%'!G51+'Allocation - Allo%'!G52</f>
        <v>1.4441171734126388</v>
      </c>
      <c r="K64" s="21">
        <f>+('Classification - O&amp;M'!$F$58+'Classification - Net Investment'!$F$29+'Classification - Net Investment'!$F$34)*'Allocation - Allo%'!H51+'Allocation - Allo%'!H52</f>
        <v>0</v>
      </c>
      <c r="L64" s="21">
        <v>0</v>
      </c>
      <c r="M64" s="21">
        <f>+('Classification - O&amp;M'!$F$58+'Classification - Net Investment'!$F$29+'Classification - Net Investment'!$F$34)*'Allocation - Allo%'!I51+'Allocation - Allo%'!I52</f>
        <v>0</v>
      </c>
      <c r="N64" s="21">
        <f>+('Classification - O&amp;M'!$F$58+'Classification - Net Investment'!$F$29+'Classification - Net Investment'!$F$34)*'Allocation - Allo%'!J51+'Allocation - Allo%'!J52</f>
        <v>0</v>
      </c>
      <c r="O64" s="21">
        <f>'Classification - O&amp;M'!$F$28+'Classification - Net Investment'!$F$28</f>
        <v>-0.273169</v>
      </c>
      <c r="P64" s="21"/>
      <c r="Q64" s="21"/>
      <c r="R64" s="21"/>
      <c r="S64" s="21"/>
      <c r="T64" s="21"/>
      <c r="U64" s="21"/>
      <c r="V64" s="21"/>
      <c r="W64" s="21"/>
      <c r="Y64" s="24"/>
    </row>
    <row r="65" spans="1:25" ht="18" customHeight="1">
      <c r="A65" s="24">
        <f t="shared" si="5"/>
        <v>0</v>
      </c>
      <c r="B65" s="13" t="s">
        <v>421</v>
      </c>
      <c r="C65" s="9" t="s">
        <v>295</v>
      </c>
      <c r="E65" s="21">
        <f>'Classification - O&amp;M'!$AG$81</f>
        <v>17.135286310528777</v>
      </c>
      <c r="F65" s="21"/>
      <c r="G65" s="21">
        <f>'Classification - Net Investment'!$AE$39</f>
        <v>0</v>
      </c>
      <c r="H65" s="21">
        <f t="shared" si="7"/>
        <v>17.135286310528777</v>
      </c>
      <c r="I65" s="21">
        <f>'Classification - O&amp;M'!$AG$25*('Allocation - Allo%'!F35*0+'Allocation - Allo%'!F36)+('Classification - O&amp;M'!$AG$69*'Allocation - Allo%'!F37)</f>
        <v>15.789466777717728</v>
      </c>
      <c r="J65" s="21">
        <f>'Classification - O&amp;M'!$AG$25*('Allocation - Allo%'!G35*0+'Allocation - Allo%'!G36)+('Classification - O&amp;M'!$AG$69*'Allocation - Allo%'!G37)</f>
        <v>1.3334282066078151</v>
      </c>
      <c r="K65" s="21">
        <f>'Classification - O&amp;M'!$AG$25*('Allocation - Allo%'!H35*0+'Allocation - Allo%'!H36)+('Classification - O&amp;M'!$AG$69*'Allocation - Allo%'!H37)</f>
        <v>0</v>
      </c>
      <c r="L65" s="21">
        <f>'Classification - O&amp;M'!$AG$25*('Allocation - Allo%'!I35*0+'Allocation - Allo%'!I36)+('Classification - O&amp;M'!$AG$69*'Allocation - Allo%'!I37)</f>
        <v>0</v>
      </c>
      <c r="M65" s="21">
        <f>'Classification - O&amp;M'!$AG$25*('Allocation - Allo%'!J35*0+'Allocation - Allo%'!J36)+('Classification - O&amp;M'!$AG$69*'Allocation - Allo%'!J37)</f>
        <v>7.6840067517267227E-3</v>
      </c>
      <c r="N65" s="21">
        <f>'Classification - O&amp;M'!$AG$25*('Allocation - Allo%'!K35*0+'Allocation - Allo%'!K36)+('Classification - O&amp;M'!$AG$69*'Allocation - Allo%'!K37)</f>
        <v>1.0037666477480853E-3</v>
      </c>
      <c r="O65" s="21">
        <f>'Classification - O&amp;M'!$AG$25*('Allocation - Allo%'!L35*0+'Allocation - Allo%'!L36)+('Classification - O&amp;M'!$AG$69*'Allocation - Allo%'!L37)</f>
        <v>1.3845057210318419E-4</v>
      </c>
      <c r="P65" s="21">
        <f>'Classification - O&amp;M'!$AG$25*('Allocation - Allo%'!M35*0+'Allocation - Allo%'!M36)+('Classification - O&amp;M'!$AG$69*'Allocation - Allo%'!M37)</f>
        <v>1.2460551489286576E-3</v>
      </c>
      <c r="Q65" s="21">
        <f>'Classification - O&amp;M'!$AG$25*('Allocation - Allo%'!N35*0+'Allocation - Allo%'!N36)+('Classification - O&amp;M'!$AG$69*'Allocation - Allo%'!N37)</f>
        <v>1.2806677919544537E-3</v>
      </c>
      <c r="R65" s="21">
        <f>'Classification - O&amp;M'!$AG$25*('Allocation - Allo%'!O35*0+'Allocation - Allo%'!O36)+('Classification - O&amp;M'!$AG$69*'Allocation - Allo%'!O37)</f>
        <v>1.0383792907738814E-3</v>
      </c>
      <c r="S65" s="21">
        <f>'Classification - O&amp;M'!$AG$25*('Allocation - Allo%'!P35*0+'Allocation - Allo%'!P36)+('Classification - O&amp;M'!$AG$69*'Allocation - Allo%'!P37)</f>
        <v>0</v>
      </c>
      <c r="T65" s="21">
        <f>'Classification - O&amp;M'!$AG$25*('Allocation - Allo%'!Q35*0+'Allocation - Allo%'!Q36)+('Classification - O&amp;M'!$AG$69*'Allocation - Allo%'!Q37)</f>
        <v>0</v>
      </c>
      <c r="U65" s="21">
        <f>'Classification - O&amp;M'!$AG$25*('Allocation - Allo%'!R35*0+'Allocation - Allo%'!R36)+('Classification - O&amp;M'!$AG$69*'Allocation - Allo%'!R37)</f>
        <v>0</v>
      </c>
      <c r="V65" s="21">
        <f>'Classification - O&amp;M'!$AG$25*('Allocation - Allo%'!S35*0+'Allocation - Allo%'!S36)+('Classification - O&amp;M'!$AG$69*'Allocation - Allo%'!S37)</f>
        <v>0</v>
      </c>
      <c r="W65" s="21"/>
      <c r="Y65" s="24"/>
    </row>
    <row r="66" spans="1:25" ht="18" customHeight="1">
      <c r="A66" s="24">
        <f t="shared" si="5"/>
        <v>0</v>
      </c>
      <c r="B66" s="13" t="s">
        <v>422</v>
      </c>
      <c r="C66" s="9" t="s">
        <v>248</v>
      </c>
      <c r="E66" s="21">
        <f>'Classification - O&amp;M'!$AC$71</f>
        <v>3.1224574009068986</v>
      </c>
      <c r="F66" s="21"/>
      <c r="G66" s="21">
        <v>0</v>
      </c>
      <c r="H66" s="21">
        <f t="shared" si="7"/>
        <v>3.1224574009068986</v>
      </c>
      <c r="I66" s="21">
        <f>$H66*'Allocation - Allo%'!F33</f>
        <v>0</v>
      </c>
      <c r="J66" s="21">
        <f>$H66*'Allocation - Allo%'!G33</f>
        <v>3.1149842939973778</v>
      </c>
      <c r="K66" s="21">
        <f>$H66*'Allocation - Allo%'!H33</f>
        <v>0</v>
      </c>
      <c r="L66" s="21">
        <f>$H66*'Allocation - Allo%'!I33</f>
        <v>0</v>
      </c>
      <c r="M66" s="21">
        <f>$H66*'Allocation - Allo%'!J33</f>
        <v>4.9263018184652141E-3</v>
      </c>
      <c r="N66" s="21">
        <f>$H66*'Allocation - Allo%'!K33</f>
        <v>5.0192509093796513E-4</v>
      </c>
      <c r="O66" s="21">
        <f>$H66*'Allocation - Allo%'!L33</f>
        <v>7.4359272731550394E-5</v>
      </c>
      <c r="P66" s="21">
        <f>$H66*'Allocation - Allo%'!M33</f>
        <v>7.9936218186416681E-4</v>
      </c>
      <c r="Q66" s="21">
        <f>$H66*'Allocation - Allo%'!N33</f>
        <v>6.6923345458395358E-4</v>
      </c>
      <c r="R66" s="21">
        <f>$H66*'Allocation - Allo%'!O33</f>
        <v>4.6474545457219003E-4</v>
      </c>
      <c r="S66" s="21">
        <f>$H66*'Allocation - Allo%'!P33</f>
        <v>1.8589818182887599E-5</v>
      </c>
      <c r="T66" s="21">
        <f>$H66*'Allocation - Allo%'!Q33</f>
        <v>1.8589818182887599E-5</v>
      </c>
      <c r="U66" s="21">
        <f>$H66*'Allocation - Allo%'!R33</f>
        <v>0</v>
      </c>
      <c r="V66" s="21">
        <f>$H66*'Allocation - Allo%'!S33</f>
        <v>0</v>
      </c>
      <c r="W66" s="21"/>
      <c r="Y66" s="24"/>
    </row>
    <row r="67" spans="1:25" ht="18" customHeight="1">
      <c r="A67" s="24">
        <f t="shared" si="5"/>
        <v>0</v>
      </c>
      <c r="B67" s="13" t="s">
        <v>438</v>
      </c>
      <c r="C67" s="9" t="s">
        <v>439</v>
      </c>
      <c r="E67" s="21">
        <f>'Classification - O&amp;M'!$AI$81</f>
        <v>1.9</v>
      </c>
      <c r="F67" s="21"/>
      <c r="G67" s="21">
        <v>0</v>
      </c>
      <c r="H67" s="21">
        <f t="shared" si="7"/>
        <v>1.9</v>
      </c>
      <c r="I67" s="21">
        <f>$H67*'Allocation - Allo%'!F41</f>
        <v>1.2883845561468448</v>
      </c>
      <c r="J67" s="21">
        <f>$H67*'Allocation - Allo%'!G41</f>
        <v>0.54967661203004192</v>
      </c>
      <c r="K67" s="21">
        <f>$H67*'Allocation - Allo%'!H41</f>
        <v>0</v>
      </c>
      <c r="L67" s="21">
        <f>$H67*'Allocation - Allo%'!I41</f>
        <v>1.6303058398096997E-12</v>
      </c>
      <c r="M67" s="21">
        <f>$H67*'Allocation - Allo%'!J41</f>
        <v>2.3560882845151867E-2</v>
      </c>
      <c r="N67" s="21">
        <f>$H67*'Allocation - Allo%'!K41</f>
        <v>8.6450046883253737E-3</v>
      </c>
      <c r="O67" s="21">
        <f>$H67*'Allocation - Allo%'!L41</f>
        <v>1.8929630145650619E-2</v>
      </c>
      <c r="P67" s="21">
        <f>$H67*'Allocation - Allo%'!M41</f>
        <v>1.0824703276371742E-3</v>
      </c>
      <c r="Q67" s="21">
        <f>$H67*'Allocation - Allo%'!N41</f>
        <v>1.9376941598229476E-3</v>
      </c>
      <c r="R67" s="21">
        <f>$H67*'Allocation - Allo%'!O41</f>
        <v>2.7159233542801767E-3</v>
      </c>
      <c r="S67" s="21">
        <f>$H67*'Allocation - Allo%'!P41</f>
        <v>4.9165952121842027E-3</v>
      </c>
      <c r="T67" s="21">
        <f>$H67*'Allocation - Allo%'!Q41</f>
        <v>1.5063108843044049E-4</v>
      </c>
      <c r="U67" s="21">
        <f>$H67*'Allocation - Allo%'!R41</f>
        <v>0</v>
      </c>
      <c r="V67" s="21">
        <f>$H67*'Allocation - Allo%'!S41</f>
        <v>0</v>
      </c>
      <c r="W67" s="21"/>
      <c r="Y67" s="24"/>
    </row>
    <row r="68" spans="1:25" ht="18" customHeight="1">
      <c r="A68" s="24">
        <f t="shared" si="5"/>
        <v>0</v>
      </c>
      <c r="B68" s="13" t="s">
        <v>440</v>
      </c>
      <c r="C68" s="9" t="s">
        <v>441</v>
      </c>
      <c r="E68" s="21">
        <v>0</v>
      </c>
      <c r="F68" s="21"/>
      <c r="G68" s="21">
        <f>'Classification - Net Investment'!$AF$39</f>
        <v>12.71</v>
      </c>
      <c r="H68" s="21">
        <f t="shared" si="7"/>
        <v>12.71</v>
      </c>
      <c r="I68" s="21">
        <f>$H68*'Allocation - Allo%'!F32</f>
        <v>11.732077045665157</v>
      </c>
      <c r="J68" s="21">
        <f>$H68*'Allocation - Allo%'!G32</f>
        <v>0.97558245073505201</v>
      </c>
      <c r="K68" s="21">
        <f>$H68*'Allocation - Allo%'!H32</f>
        <v>0</v>
      </c>
      <c r="L68" s="21">
        <f>$H68*'Allocation - Allo%'!I32</f>
        <v>0</v>
      </c>
      <c r="M68" s="21">
        <f>$H68*'Allocation - Allo%'!J32</f>
        <v>1.5428692884198801E-3</v>
      </c>
      <c r="N68" s="21">
        <f>$H68*'Allocation - Allo%'!K32</f>
        <v>1.5719800297108212E-4</v>
      </c>
      <c r="O68" s="21">
        <f>$H68*'Allocation - Allo%'!L32</f>
        <v>2.3288593032752907E-5</v>
      </c>
      <c r="P68" s="21">
        <f>$H68*'Allocation - Allo%'!M32</f>
        <v>2.5035237510209377E-4</v>
      </c>
      <c r="Q68" s="21">
        <f>$H68*'Allocation - Allo%'!N32</f>
        <v>2.0959733729477615E-4</v>
      </c>
      <c r="R68" s="21">
        <f>$H68*'Allocation - Allo%'!O32</f>
        <v>1.4555370645470567E-4</v>
      </c>
      <c r="S68" s="21">
        <f>$H68*'Allocation - Allo%'!P32</f>
        <v>5.8221482581882269E-6</v>
      </c>
      <c r="T68" s="21">
        <f>$H68*'Allocation - Allo%'!Q32</f>
        <v>5.8221482581882269E-6</v>
      </c>
      <c r="U68" s="21">
        <f>$H68*'Allocation - Allo%'!R32</f>
        <v>0</v>
      </c>
      <c r="V68" s="21">
        <f>$H68*'Allocation - Allo%'!S32</f>
        <v>0</v>
      </c>
      <c r="W68" s="21"/>
      <c r="Y68" s="24"/>
    </row>
    <row r="69" spans="1:25" ht="18" customHeight="1">
      <c r="A69" s="24">
        <f t="shared" si="5"/>
        <v>0</v>
      </c>
      <c r="B69" s="13"/>
      <c r="C69" s="11"/>
      <c r="D69" s="11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</row>
    <row r="70" spans="1:25" ht="18" customHeight="1">
      <c r="A70" s="24">
        <f t="shared" si="5"/>
        <v>0</v>
      </c>
      <c r="B70" s="13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5" ht="18" customHeight="1">
      <c r="A71" s="24">
        <f t="shared" si="5"/>
        <v>0.36316899999991392</v>
      </c>
      <c r="B71" s="13" t="s">
        <v>68</v>
      </c>
      <c r="C71" s="48" t="s">
        <v>423</v>
      </c>
      <c r="E71" s="21">
        <f t="shared" ref="E71:V71" si="8">SUM(E56:E68)</f>
        <v>208.11269841415972</v>
      </c>
      <c r="F71" s="21">
        <f t="shared" si="8"/>
        <v>0</v>
      </c>
      <c r="G71" s="21">
        <f t="shared" si="8"/>
        <v>149.26756877019932</v>
      </c>
      <c r="H71" s="21">
        <f t="shared" si="8"/>
        <v>357.38026718435901</v>
      </c>
      <c r="I71" s="21">
        <f t="shared" si="8"/>
        <v>276.76522040860584</v>
      </c>
      <c r="J71" s="21">
        <f t="shared" si="8"/>
        <v>70.449022443342727</v>
      </c>
      <c r="K71" s="21">
        <f t="shared" si="8"/>
        <v>0</v>
      </c>
      <c r="L71" s="21">
        <f t="shared" si="8"/>
        <v>1.2438074316405076E-9</v>
      </c>
      <c r="M71" s="21">
        <f t="shared" si="8"/>
        <v>5.2844030330886493</v>
      </c>
      <c r="N71" s="21">
        <f t="shared" si="8"/>
        <v>0.587537391623845</v>
      </c>
      <c r="O71" s="21">
        <f t="shared" si="8"/>
        <v>5.9230937155217753E-2</v>
      </c>
      <c r="P71" s="21">
        <f t="shared" si="8"/>
        <v>0.9495116515875669</v>
      </c>
      <c r="Q71" s="21">
        <f t="shared" si="8"/>
        <v>0.78809212451236621</v>
      </c>
      <c r="R71" s="21">
        <f t="shared" si="8"/>
        <v>0.6635763251514194</v>
      </c>
      <c r="S71" s="21">
        <f t="shared" si="8"/>
        <v>2.0382952683976673E-2</v>
      </c>
      <c r="T71" s="21">
        <f t="shared" si="8"/>
        <v>2.6644943103241669E-2</v>
      </c>
      <c r="U71" s="21">
        <f t="shared" si="8"/>
        <v>0</v>
      </c>
      <c r="V71" s="21">
        <f t="shared" si="8"/>
        <v>1.4234759722603749</v>
      </c>
      <c r="W71" s="21"/>
    </row>
    <row r="72" spans="1:25" ht="18" customHeight="1">
      <c r="A72" s="24">
        <f t="shared" si="5"/>
        <v>0</v>
      </c>
      <c r="B72" s="13"/>
      <c r="C72" s="11"/>
      <c r="D72" s="11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  <row r="73" spans="1:25" ht="18" customHeight="1">
      <c r="A73" s="24">
        <f t="shared" si="5"/>
        <v>0</v>
      </c>
      <c r="B73" s="13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5" ht="18" customHeight="1">
      <c r="A74" s="24">
        <f t="shared" si="5"/>
        <v>0</v>
      </c>
      <c r="B74" s="13" t="s">
        <v>71</v>
      </c>
      <c r="C74" s="9" t="s">
        <v>442</v>
      </c>
      <c r="E74" s="21">
        <v>349.7672639896453</v>
      </c>
      <c r="F74" s="21"/>
      <c r="G74" s="21">
        <v>0</v>
      </c>
      <c r="H74" s="21">
        <f>G74+E74</f>
        <v>349.7672639896453</v>
      </c>
      <c r="I74" s="21">
        <f>$H74*'Allocation - Allo%'!F41</f>
        <v>237.1761795631555</v>
      </c>
      <c r="J74" s="21">
        <f>$H74*'Allocation - Allo%'!G41</f>
        <v>101.18888666781343</v>
      </c>
      <c r="K74" s="21">
        <f>$H74*'Allocation - Allo%'!H41</f>
        <v>0</v>
      </c>
      <c r="L74" s="21">
        <f>$H74*'Allocation - Allo%'!I41</f>
        <v>3.0011979634556825E-10</v>
      </c>
      <c r="M74" s="21">
        <f>$H74*'Allocation - Allo%'!J41</f>
        <v>4.3372765946996523</v>
      </c>
      <c r="N74" s="21">
        <f>$H74*'Allocation - Allo%'!K41</f>
        <v>1.5914419142174854</v>
      </c>
      <c r="O74" s="21">
        <f>$H74*'Allocation - Allo%'!L41</f>
        <v>3.484718391779015</v>
      </c>
      <c r="P74" s="21">
        <f>$H74*'Allocation - Allo%'!M41</f>
        <v>0.19926983413033125</v>
      </c>
      <c r="Q74" s="21">
        <f>$H74*'Allocation - Allo%'!N41</f>
        <v>0.35670630775262469</v>
      </c>
      <c r="R74" s="21">
        <f>$H74*'Allocation - Allo%'!O41</f>
        <v>0.49996898991166189</v>
      </c>
      <c r="S74" s="21">
        <f>$H74*'Allocation - Allo%'!P41</f>
        <v>0.90508634500539908</v>
      </c>
      <c r="T74" s="21">
        <f>$H74*'Allocation - Allo%'!Q41</f>
        <v>2.7729380880051308E-2</v>
      </c>
      <c r="U74" s="21">
        <f>$H74*'Allocation - Allo%'!R41</f>
        <v>0</v>
      </c>
      <c r="V74" s="21">
        <f>$H74*'Allocation - Allo%'!S41</f>
        <v>0</v>
      </c>
      <c r="W74" s="21"/>
    </row>
    <row r="75" spans="1:25" ht="18" customHeight="1">
      <c r="A75" s="24">
        <f t="shared" si="5"/>
        <v>0</v>
      </c>
      <c r="B75" s="13" t="s">
        <v>73</v>
      </c>
      <c r="C75" s="9" t="s">
        <v>443</v>
      </c>
      <c r="E75" s="21">
        <v>48.19169482498269</v>
      </c>
      <c r="F75" s="21"/>
      <c r="G75" s="21">
        <v>0</v>
      </c>
      <c r="H75" s="21">
        <f>G75+E75</f>
        <v>48.19169482498269</v>
      </c>
      <c r="I75" s="21">
        <f>$H75*'Allocation - Allo%'!F41</f>
        <v>32.678650182657641</v>
      </c>
      <c r="J75" s="21">
        <f>$H75*'Allocation - Allo%'!G41</f>
        <v>13.942025020727471</v>
      </c>
      <c r="K75" s="21">
        <f>$H75*'Allocation - Allo%'!H41</f>
        <v>0</v>
      </c>
      <c r="L75" s="21">
        <f>$H75*'Allocation - Allo%'!I41</f>
        <v>4.1351158686050612E-11</v>
      </c>
      <c r="M75" s="21">
        <f>$H75*'Allocation - Allo%'!J41</f>
        <v>0.59759940835827829</v>
      </c>
      <c r="N75" s="21">
        <f>$H75*'Allocation - Allo%'!K41</f>
        <v>0.21927233036859001</v>
      </c>
      <c r="O75" s="21">
        <f>$H75*'Allocation - Allo%'!L41</f>
        <v>0.48013208375209865</v>
      </c>
      <c r="P75" s="21">
        <f>$H75*'Allocation - Allo%'!M41</f>
        <v>2.7455831413994596E-2</v>
      </c>
      <c r="Q75" s="21">
        <f>$H75*'Allocation - Allo%'!N41</f>
        <v>4.914777137596775E-2</v>
      </c>
      <c r="R75" s="21">
        <f>$H75*'Allocation - Allo%'!O41</f>
        <v>6.8886815503954535E-2</v>
      </c>
      <c r="S75" s="21">
        <f>$H75*'Allocation - Allo%'!P41</f>
        <v>0.12470476633871165</v>
      </c>
      <c r="T75" s="21">
        <f>$H75*'Allocation - Allo%'!Q41</f>
        <v>3.8206144446288259E-3</v>
      </c>
      <c r="U75" s="21">
        <f>$H75*'Allocation - Allo%'!R41</f>
        <v>0</v>
      </c>
      <c r="V75" s="21">
        <f>$H75*'Allocation - Allo%'!S41</f>
        <v>0</v>
      </c>
      <c r="W75" s="21"/>
    </row>
    <row r="76" spans="1:25" ht="18" customHeight="1">
      <c r="A76" s="24">
        <f t="shared" si="5"/>
        <v>0</v>
      </c>
      <c r="B76" s="13" t="s">
        <v>75</v>
      </c>
      <c r="C76" s="9" t="s">
        <v>444</v>
      </c>
      <c r="E76" s="21">
        <v>0.5</v>
      </c>
      <c r="F76" s="21"/>
      <c r="G76" s="21">
        <v>0</v>
      </c>
      <c r="H76" s="21">
        <f>G76+E76</f>
        <v>0.5</v>
      </c>
      <c r="I76" s="21">
        <f>$H76*('Allocation - Rate Base'!F70/'Allocation - Rate Base'!$E70)</f>
        <v>0.46152938810641836</v>
      </c>
      <c r="J76" s="21">
        <f>$H76*('Allocation - Rate Base'!G70/'Allocation - Rate Base'!$E70)</f>
        <v>3.8378538581237291E-2</v>
      </c>
      <c r="K76" s="21">
        <f>$H76*('Allocation - Rate Base'!H70/'Allocation - Rate Base'!$E70)</f>
        <v>0</v>
      </c>
      <c r="L76" s="21">
        <f>$H76*('Allocation - Rate Base'!I70/'Allocation - Rate Base'!$E70)</f>
        <v>0</v>
      </c>
      <c r="M76" s="21">
        <f>$H76*('Allocation - Rate Base'!J70/'Allocation - Rate Base'!$E70)</f>
        <v>6.0695093958295829E-5</v>
      </c>
      <c r="N76" s="21">
        <f>$H76*('Allocation - Rate Base'!K70/'Allocation - Rate Base'!$E70)</f>
        <v>6.1840284410339141E-6</v>
      </c>
      <c r="O76" s="21">
        <f>$H76*('Allocation - Rate Base'!L70/'Allocation - Rate Base'!$E70)</f>
        <v>9.1615236163465404E-7</v>
      </c>
      <c r="P76" s="21">
        <f>$H76*('Allocation - Rate Base'!M70/'Allocation - Rate Base'!$E70)</f>
        <v>9.8486378875725307E-6</v>
      </c>
      <c r="Q76" s="21">
        <f>$H76*('Allocation - Rate Base'!N70/'Allocation - Rate Base'!$E70)</f>
        <v>8.2453712547118854E-6</v>
      </c>
      <c r="R76" s="21">
        <f>$H76*('Allocation - Rate Base'!O70/'Allocation - Rate Base'!$E70)</f>
        <v>5.725952260216588E-6</v>
      </c>
      <c r="S76" s="21">
        <f>$H76*('Allocation - Rate Base'!P70/'Allocation - Rate Base'!$E70)</f>
        <v>2.2903809040866351E-7</v>
      </c>
      <c r="T76" s="21">
        <f>$H76*('Allocation - Rate Base'!Q70/'Allocation - Rate Base'!$E70)</f>
        <v>2.2903809040866351E-7</v>
      </c>
      <c r="U76" s="21">
        <f>$H76*('Allocation - Rate Base'!R70/'Allocation - Rate Base'!$E70)</f>
        <v>0</v>
      </c>
      <c r="V76" s="21">
        <f>$H76*('Allocation - Rate Base'!S70/'Allocation - Rate Base'!$E70)</f>
        <v>0</v>
      </c>
      <c r="W76" s="21"/>
    </row>
    <row r="77" spans="1:25" ht="18" customHeight="1">
      <c r="A77" s="24">
        <f t="shared" si="5"/>
        <v>0</v>
      </c>
      <c r="B77" s="13" t="s">
        <v>445</v>
      </c>
      <c r="C77" s="11" t="s">
        <v>446</v>
      </c>
      <c r="D77" s="11"/>
      <c r="E77" s="22">
        <v>7.1</v>
      </c>
      <c r="F77" s="22"/>
      <c r="G77" s="22">
        <v>0</v>
      </c>
      <c r="H77" s="22">
        <f>G77+E77</f>
        <v>7.1</v>
      </c>
      <c r="I77" s="22">
        <f>$H77*('Allocation - Rate Base'!F70/'Allocation - Rate Base'!$E70)</f>
        <v>6.5537173111111402</v>
      </c>
      <c r="J77" s="22">
        <f>$H77*('Allocation - Rate Base'!G70/'Allocation - Rate Base'!$E70)</f>
        <v>0.54497524785356954</v>
      </c>
      <c r="K77" s="22">
        <f>$H77*('Allocation - Rate Base'!H70/'Allocation - Rate Base'!$E70)</f>
        <v>0</v>
      </c>
      <c r="L77" s="22">
        <f>$H77*('Allocation - Rate Base'!I70/'Allocation - Rate Base'!$E70)</f>
        <v>0</v>
      </c>
      <c r="M77" s="22">
        <f>$H77*('Allocation - Rate Base'!J70/'Allocation - Rate Base'!$E70)</f>
        <v>8.6187033420780069E-4</v>
      </c>
      <c r="N77" s="22">
        <f>$H77*('Allocation - Rate Base'!K70/'Allocation - Rate Base'!$E70)</f>
        <v>8.7813203862681572E-5</v>
      </c>
      <c r="O77" s="22">
        <f>$H77*('Allocation - Rate Base'!L70/'Allocation - Rate Base'!$E70)</f>
        <v>1.3009363535212088E-5</v>
      </c>
      <c r="P77" s="22">
        <f>$H77*('Allocation - Rate Base'!M70/'Allocation - Rate Base'!$E70)</f>
        <v>1.3985065800352993E-4</v>
      </c>
      <c r="Q77" s="22">
        <f>$H77*('Allocation - Rate Base'!N70/'Allocation - Rate Base'!$E70)</f>
        <v>1.1708427181690876E-4</v>
      </c>
      <c r="R77" s="22">
        <f>$H77*('Allocation - Rate Base'!O70/'Allocation - Rate Base'!$E70)</f>
        <v>8.1308522095075548E-5</v>
      </c>
      <c r="S77" s="22">
        <f>$H77*('Allocation - Rate Base'!P70/'Allocation - Rate Base'!$E70)</f>
        <v>3.2523408838030219E-6</v>
      </c>
      <c r="T77" s="22">
        <f>$H77*('Allocation - Rate Base'!Q70/'Allocation - Rate Base'!$E70)</f>
        <v>3.2523408838030219E-6</v>
      </c>
      <c r="U77" s="22">
        <f>$H77*('Allocation - Rate Base'!R70/'Allocation - Rate Base'!$E70)</f>
        <v>0</v>
      </c>
      <c r="V77" s="22">
        <f>$H77*('Allocation - Rate Base'!S70/'Allocation - Rate Base'!$E70)</f>
        <v>0</v>
      </c>
      <c r="W77" s="22"/>
    </row>
    <row r="78" spans="1:25" ht="18" customHeight="1">
      <c r="A78" s="24">
        <f t="shared" si="5"/>
        <v>0</v>
      </c>
      <c r="B78" s="13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5" ht="18" customHeight="1">
      <c r="A79" s="24">
        <f t="shared" si="5"/>
        <v>0</v>
      </c>
      <c r="B79" s="13" t="s">
        <v>99</v>
      </c>
      <c r="C79" s="48" t="s">
        <v>447</v>
      </c>
      <c r="E79" s="21">
        <f t="shared" ref="E79:V79" si="9">SUM(E74:E77)</f>
        <v>405.558958814628</v>
      </c>
      <c r="F79" s="21">
        <f t="shared" si="9"/>
        <v>0</v>
      </c>
      <c r="G79" s="21">
        <f t="shared" si="9"/>
        <v>0</v>
      </c>
      <c r="H79" s="21">
        <f t="shared" si="9"/>
        <v>405.558958814628</v>
      </c>
      <c r="I79" s="21">
        <f t="shared" si="9"/>
        <v>276.87007644503075</v>
      </c>
      <c r="J79" s="21">
        <f t="shared" si="9"/>
        <v>115.71426547497572</v>
      </c>
      <c r="K79" s="21">
        <f t="shared" si="9"/>
        <v>0</v>
      </c>
      <c r="L79" s="21">
        <f t="shared" si="9"/>
        <v>3.4147095503161885E-10</v>
      </c>
      <c r="M79" s="21">
        <f t="shared" si="9"/>
        <v>4.9357985684860965</v>
      </c>
      <c r="N79" s="21">
        <f t="shared" si="9"/>
        <v>1.8108082418183791</v>
      </c>
      <c r="O79" s="21">
        <f t="shared" si="9"/>
        <v>3.9648644010470107</v>
      </c>
      <c r="P79" s="21">
        <f t="shared" si="9"/>
        <v>0.22687536484021698</v>
      </c>
      <c r="Q79" s="21">
        <f t="shared" si="9"/>
        <v>0.40597940877166405</v>
      </c>
      <c r="R79" s="21">
        <f t="shared" si="9"/>
        <v>0.56894283988997174</v>
      </c>
      <c r="S79" s="21">
        <f t="shared" si="9"/>
        <v>1.0297945927230849</v>
      </c>
      <c r="T79" s="21">
        <f t="shared" si="9"/>
        <v>3.1553476703654347E-2</v>
      </c>
      <c r="U79" s="21">
        <f t="shared" si="9"/>
        <v>0</v>
      </c>
      <c r="V79" s="21">
        <f t="shared" si="9"/>
        <v>0</v>
      </c>
      <c r="W79" s="21"/>
    </row>
    <row r="80" spans="1:25" ht="18" customHeight="1">
      <c r="A80" s="24">
        <f t="shared" si="5"/>
        <v>0</v>
      </c>
      <c r="B80" s="13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8" customHeight="1">
      <c r="A81" s="24">
        <f t="shared" si="5"/>
        <v>0.48403725283787935</v>
      </c>
      <c r="B81" s="13" t="s">
        <v>78</v>
      </c>
      <c r="C81" s="9" t="s">
        <v>448</v>
      </c>
      <c r="E81" s="21">
        <f t="shared" ref="E81:V81" si="10">E79+E71+E52+E38</f>
        <v>1075.9098121298787</v>
      </c>
      <c r="F81" s="21">
        <f t="shared" si="10"/>
        <v>0</v>
      </c>
      <c r="G81" s="21">
        <f t="shared" si="10"/>
        <v>307.59762159163859</v>
      </c>
      <c r="H81" s="21">
        <f t="shared" si="10"/>
        <v>1383.5074337215171</v>
      </c>
      <c r="I81" s="21">
        <f t="shared" si="10"/>
        <v>905.65073648029886</v>
      </c>
      <c r="J81" s="21">
        <f t="shared" si="10"/>
        <v>420.34970366909442</v>
      </c>
      <c r="K81" s="21">
        <f t="shared" si="10"/>
        <v>3.6512954516867559E-3</v>
      </c>
      <c r="L81" s="21">
        <f t="shared" si="10"/>
        <v>1.5852783866721265E-9</v>
      </c>
      <c r="M81" s="21">
        <f t="shared" si="10"/>
        <v>21.025565904734421</v>
      </c>
      <c r="N81" s="21">
        <f t="shared" si="10"/>
        <v>8.0394375707805921</v>
      </c>
      <c r="O81" s="21">
        <f t="shared" si="10"/>
        <v>11.337165229986526</v>
      </c>
      <c r="P81" s="21">
        <f t="shared" si="10"/>
        <v>1.1073515223883716</v>
      </c>
      <c r="Q81" s="21">
        <f t="shared" si="10"/>
        <v>3.8350020869970942</v>
      </c>
      <c r="R81" s="21">
        <f t="shared" si="10"/>
        <v>5.3699630625105872</v>
      </c>
      <c r="S81" s="21">
        <f t="shared" si="10"/>
        <v>4.7807560170594225</v>
      </c>
      <c r="T81" s="21">
        <f t="shared" si="10"/>
        <v>0.10058765553161511</v>
      </c>
      <c r="U81" s="21">
        <f t="shared" si="10"/>
        <v>0</v>
      </c>
      <c r="V81" s="21">
        <f t="shared" si="10"/>
        <v>1.4234759722603749</v>
      </c>
      <c r="W81" s="21"/>
    </row>
    <row r="82" spans="1:23" ht="18" customHeight="1">
      <c r="A82" s="24">
        <f t="shared" si="5"/>
        <v>0</v>
      </c>
      <c r="B82" s="13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8" customHeight="1">
      <c r="A83" s="24">
        <f t="shared" si="5"/>
        <v>17.85421725283868</v>
      </c>
      <c r="B83" s="13" t="s">
        <v>80</v>
      </c>
      <c r="C83" s="9" t="s">
        <v>449</v>
      </c>
      <c r="E83" s="25">
        <f>E81+E18+E28</f>
        <v>2652.9463042475268</v>
      </c>
      <c r="F83" s="25">
        <f>F81+F18+F28</f>
        <v>11.580103600000003</v>
      </c>
      <c r="G83" s="25">
        <f>G81+G18+G28</f>
        <v>303.31289999999996</v>
      </c>
      <c r="H83" s="25">
        <f>H81+H18+H28+W83</f>
        <v>2985.2094878475268</v>
      </c>
      <c r="I83" s="25">
        <f t="shared" ref="I83:V83" si="11">I81+I18+I28</f>
        <v>1778.464435807248</v>
      </c>
      <c r="J83" s="25">
        <f t="shared" si="11"/>
        <v>1066.545944954119</v>
      </c>
      <c r="K83" s="25">
        <f t="shared" si="11"/>
        <v>3.6512954516867559E-3</v>
      </c>
      <c r="L83" s="25">
        <f t="shared" si="11"/>
        <v>1.5852783866721265E-9</v>
      </c>
      <c r="M83" s="25">
        <f t="shared" si="11"/>
        <v>46.889483932831716</v>
      </c>
      <c r="N83" s="25">
        <f t="shared" si="11"/>
        <v>13.112465473105765</v>
      </c>
      <c r="O83" s="25">
        <f t="shared" si="11"/>
        <v>11.337165229986526</v>
      </c>
      <c r="P83" s="25">
        <f t="shared" si="11"/>
        <v>3.1062606555997414</v>
      </c>
      <c r="Q83" s="25">
        <f t="shared" si="11"/>
        <v>5.7388740985563018</v>
      </c>
      <c r="R83" s="25">
        <f t="shared" si="11"/>
        <v>10.922377319160043</v>
      </c>
      <c r="S83" s="25">
        <f t="shared" si="11"/>
        <v>29.710548199252663</v>
      </c>
      <c r="T83" s="25">
        <f t="shared" si="11"/>
        <v>0.10058765553161511</v>
      </c>
      <c r="U83" s="25">
        <f t="shared" si="11"/>
        <v>0</v>
      </c>
      <c r="V83" s="25">
        <f t="shared" si="11"/>
        <v>1.4234759722603749</v>
      </c>
      <c r="W83" s="25">
        <f>'Allocation - GTA COS'!C32</f>
        <v>17.370179999999998</v>
      </c>
    </row>
    <row r="84" spans="1:23" ht="13" thickBot="1">
      <c r="B84" s="26"/>
      <c r="C84" s="26"/>
      <c r="D84" s="26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</row>
    <row r="85" spans="1:23" ht="13" thickTop="1"/>
    <row r="86" spans="1:23">
      <c r="B86" s="13"/>
      <c r="E86" s="9"/>
      <c r="F86" s="9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</row>
    <row r="87" spans="1:23" ht="13">
      <c r="B87" s="46"/>
      <c r="C87" s="46"/>
      <c r="D87" s="46"/>
      <c r="E87" s="46"/>
      <c r="F87" s="46"/>
      <c r="G87" s="46"/>
      <c r="H87" s="46"/>
      <c r="I87" s="46"/>
      <c r="J87" s="46"/>
      <c r="K87" s="46"/>
    </row>
    <row r="88" spans="1:23" ht="13"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</row>
    <row r="89" spans="1:23" ht="13">
      <c r="B89" s="46"/>
      <c r="C89" s="46"/>
      <c r="D89" s="46"/>
      <c r="E89" s="46"/>
      <c r="F89" s="46"/>
      <c r="G89" s="46"/>
      <c r="H89" s="46"/>
      <c r="I89" s="46"/>
      <c r="J89" s="46"/>
      <c r="K89" s="46"/>
    </row>
    <row r="90" spans="1:23" ht="13">
      <c r="B90" s="46"/>
      <c r="C90" s="46"/>
      <c r="D90" s="46"/>
      <c r="E90" s="46"/>
      <c r="F90" s="46"/>
      <c r="G90" s="46"/>
      <c r="H90" s="46"/>
      <c r="I90" s="46"/>
      <c r="J90" s="46"/>
      <c r="K90" s="46"/>
    </row>
    <row r="91" spans="1:23" ht="18" customHeight="1">
      <c r="B91" s="46"/>
      <c r="C91" s="46"/>
      <c r="D91" s="46"/>
      <c r="E91" s="46"/>
      <c r="F91" s="46"/>
      <c r="G91" s="46"/>
      <c r="H91" s="46"/>
      <c r="I91" s="46"/>
      <c r="J91" s="46"/>
      <c r="K91" s="46"/>
    </row>
    <row r="92" spans="1:23" ht="18" customHeight="1">
      <c r="B92" s="46"/>
      <c r="C92" s="46"/>
      <c r="D92" s="46"/>
      <c r="E92" s="46"/>
      <c r="F92" s="46"/>
      <c r="G92" s="46"/>
      <c r="H92" s="46"/>
      <c r="I92" s="46"/>
      <c r="J92" s="46"/>
      <c r="K92" s="46"/>
    </row>
    <row r="93" spans="1:23" ht="18" customHeight="1">
      <c r="B93" s="46"/>
      <c r="C93" s="46"/>
      <c r="D93" s="46"/>
      <c r="E93" s="46"/>
      <c r="F93" s="46"/>
      <c r="G93" s="46"/>
      <c r="H93" s="46"/>
      <c r="I93" s="46"/>
      <c r="J93" s="46"/>
      <c r="K93" s="46"/>
    </row>
    <row r="94" spans="1:23" ht="18" customHeight="1">
      <c r="B94" s="46"/>
      <c r="C94" s="46"/>
      <c r="D94" s="46"/>
      <c r="E94" s="46"/>
      <c r="F94" s="46"/>
      <c r="G94" s="46"/>
      <c r="H94" s="46"/>
      <c r="I94" s="46"/>
      <c r="J94" s="46"/>
      <c r="K94" s="46"/>
    </row>
    <row r="95" spans="1:23" ht="18" customHeight="1">
      <c r="B95" s="46"/>
      <c r="C95" s="46"/>
      <c r="D95" s="46"/>
      <c r="E95" s="46"/>
      <c r="F95" s="46"/>
      <c r="G95" s="46"/>
      <c r="H95" s="46"/>
      <c r="I95" s="46"/>
      <c r="J95" s="46"/>
      <c r="K95" s="46"/>
    </row>
    <row r="96" spans="1:23" ht="18" customHeight="1">
      <c r="B96" s="46"/>
      <c r="C96" s="46"/>
      <c r="D96" s="46"/>
      <c r="E96" s="46"/>
      <c r="F96" s="46"/>
      <c r="G96" s="46"/>
      <c r="H96" s="46"/>
      <c r="I96" s="46"/>
      <c r="J96" s="46"/>
      <c r="K96" s="46"/>
    </row>
    <row r="97" spans="1:27" ht="18" customHeight="1">
      <c r="B97" s="46"/>
      <c r="C97" s="46"/>
      <c r="D97" s="46"/>
      <c r="E97" s="46"/>
      <c r="F97" s="46"/>
      <c r="G97" s="46"/>
      <c r="H97" s="46"/>
      <c r="I97" s="46"/>
      <c r="J97" s="46"/>
      <c r="K97" s="46"/>
    </row>
    <row r="98" spans="1:27" ht="18" customHeight="1">
      <c r="B98" s="46"/>
      <c r="C98" s="46"/>
      <c r="D98" s="46"/>
      <c r="E98" s="46"/>
      <c r="F98" s="46"/>
      <c r="G98" s="46"/>
      <c r="H98" s="46"/>
      <c r="I98" s="46"/>
      <c r="J98" s="46"/>
      <c r="K98" s="46"/>
    </row>
    <row r="99" spans="1:27" s="10" customFormat="1" ht="18" customHeight="1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X99" s="9"/>
      <c r="Y99" s="9"/>
      <c r="Z99" s="9"/>
      <c r="AA99" s="9"/>
    </row>
    <row r="100" spans="1:27" s="10" customFormat="1" ht="13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X100" s="9"/>
      <c r="Y100" s="9"/>
      <c r="Z100" s="9"/>
      <c r="AA100" s="9"/>
    </row>
    <row r="101" spans="1:27" ht="13">
      <c r="B101" s="46"/>
      <c r="C101" s="46"/>
      <c r="D101" s="46"/>
      <c r="E101" s="46"/>
      <c r="F101" s="46"/>
      <c r="G101" s="46"/>
      <c r="H101" s="46"/>
      <c r="I101" s="46"/>
      <c r="J101" s="46"/>
      <c r="K101" s="46"/>
    </row>
    <row r="102" spans="1:27" ht="13">
      <c r="B102" s="46"/>
      <c r="C102" s="46"/>
      <c r="D102" s="46"/>
      <c r="E102" s="46"/>
      <c r="F102" s="46"/>
      <c r="G102" s="46"/>
      <c r="H102" s="46"/>
      <c r="I102" s="46"/>
      <c r="J102" s="46"/>
      <c r="K102" s="46"/>
    </row>
  </sheetData>
  <mergeCells count="4">
    <mergeCell ref="B1:X1"/>
    <mergeCell ref="B2:X2"/>
    <mergeCell ref="B3:X3"/>
    <mergeCell ref="B4:X4"/>
  </mergeCells>
  <pageMargins left="0.7" right="0.7" top="0.75" bottom="0.75" header="0.3" footer="0.3"/>
  <pageSetup scale="61" orientation="portrait" r:id="rId1"/>
  <headerFooter>
    <oddHeader>&amp;R&amp;"Arial,Regular"&amp;10Filed: 2023-03-08
EB-2022-0200
Exhibit I.7.1-VECC-62
Attachment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U51"/>
  <sheetViews>
    <sheetView view="pageLayout" zoomScaleNormal="94" workbookViewId="0"/>
  </sheetViews>
  <sheetFormatPr defaultColWidth="9.1796875" defaultRowHeight="12.5"/>
  <cols>
    <col min="1" max="1" width="4" style="9" customWidth="1"/>
    <col min="2" max="2" width="4" style="9" bestFit="1" customWidth="1"/>
    <col min="3" max="3" width="24.453125" style="9" customWidth="1"/>
    <col min="4" max="4" width="0.453125" style="9" customWidth="1"/>
    <col min="5" max="5" width="12.7265625" style="9" customWidth="1"/>
    <col min="6" max="6" width="0.7265625" style="9" hidden="1" customWidth="1"/>
    <col min="7" max="7" width="12.7265625" style="10" customWidth="1"/>
    <col min="8" max="8" width="0.1796875" style="10" hidden="1" customWidth="1"/>
    <col min="9" max="21" width="12.7265625" style="10" customWidth="1"/>
    <col min="22" max="16384" width="9.1796875" style="9"/>
  </cols>
  <sheetData>
    <row r="1" spans="2:21">
      <c r="C1" s="90" t="s">
        <v>87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</row>
    <row r="2" spans="2:21">
      <c r="C2" s="90" t="s">
        <v>88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</row>
    <row r="3" spans="2:21">
      <c r="C3" s="90" t="str">
        <f>'Function - Factors'!C2</f>
        <v>Year Ended December 31, 2018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2:21">
      <c r="C4" s="91" t="s">
        <v>2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</row>
    <row r="5" spans="2:21">
      <c r="C5" s="90" t="s">
        <v>3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</row>
    <row r="7" spans="2:21">
      <c r="G7" s="10" t="s">
        <v>4</v>
      </c>
      <c r="I7" s="10" t="s">
        <v>5</v>
      </c>
      <c r="J7" s="10" t="s">
        <v>6</v>
      </c>
      <c r="K7" s="10" t="s">
        <v>7</v>
      </c>
      <c r="L7" s="10" t="s">
        <v>8</v>
      </c>
      <c r="M7" s="10" t="s">
        <v>9</v>
      </c>
      <c r="N7" s="10" t="s">
        <v>10</v>
      </c>
      <c r="O7" s="10" t="s">
        <v>11</v>
      </c>
      <c r="P7" s="10" t="s">
        <v>12</v>
      </c>
      <c r="Q7" s="10" t="s">
        <v>13</v>
      </c>
      <c r="R7" s="10" t="s">
        <v>14</v>
      </c>
      <c r="S7" s="10" t="s">
        <v>15</v>
      </c>
      <c r="T7" s="10" t="s">
        <v>16</v>
      </c>
      <c r="U7" s="10" t="s">
        <v>89</v>
      </c>
    </row>
    <row r="9" spans="2:21" ht="25">
      <c r="E9" s="12" t="s">
        <v>90</v>
      </c>
      <c r="F9" s="12"/>
      <c r="G9" s="12" t="s">
        <v>88</v>
      </c>
      <c r="H9" s="12"/>
      <c r="I9" s="12" t="s">
        <v>18</v>
      </c>
      <c r="J9" s="12" t="s">
        <v>19</v>
      </c>
      <c r="K9" s="12" t="s">
        <v>20</v>
      </c>
      <c r="L9" s="12" t="s">
        <v>21</v>
      </c>
      <c r="M9" s="12" t="s">
        <v>22</v>
      </c>
      <c r="N9" s="12" t="s">
        <v>23</v>
      </c>
      <c r="O9" s="12" t="s">
        <v>24</v>
      </c>
      <c r="P9" s="12" t="s">
        <v>25</v>
      </c>
      <c r="Q9" s="12" t="s">
        <v>26</v>
      </c>
      <c r="R9" s="12" t="s">
        <v>27</v>
      </c>
      <c r="S9" s="12" t="s">
        <v>28</v>
      </c>
      <c r="T9" s="12" t="s">
        <v>29</v>
      </c>
      <c r="U9" s="12" t="s">
        <v>91</v>
      </c>
    </row>
    <row r="10" spans="2:21">
      <c r="E10" s="10"/>
      <c r="F10" s="10"/>
    </row>
    <row r="11" spans="2:21">
      <c r="B11" s="13" t="s">
        <v>30</v>
      </c>
      <c r="C11" s="9" t="s">
        <v>18</v>
      </c>
      <c r="E11" s="21">
        <v>0</v>
      </c>
      <c r="F11" s="21"/>
      <c r="G11" s="21">
        <f>E11/E$47*E$47</f>
        <v>0</v>
      </c>
      <c r="H11" s="21"/>
      <c r="I11" s="21">
        <f>$G$11*'Function - Factors'!G10</f>
        <v>0</v>
      </c>
      <c r="J11" s="21">
        <f>$G$11*'Function - Factors'!H10</f>
        <v>0</v>
      </c>
      <c r="K11" s="21">
        <f>$G$11*'Function - Factors'!I10</f>
        <v>0</v>
      </c>
      <c r="L11" s="21">
        <f>$G$11*'Function - Factors'!J10</f>
        <v>0</v>
      </c>
      <c r="M11" s="21">
        <f>$G$11*'Function - Factors'!K10</f>
        <v>0</v>
      </c>
      <c r="N11" s="21">
        <f>$G$11*'Function - Factors'!L10</f>
        <v>0</v>
      </c>
      <c r="O11" s="21">
        <f>$G$11*'Function - Factors'!M10</f>
        <v>0</v>
      </c>
      <c r="P11" s="21">
        <f>$G$11*'Function - Factors'!N10</f>
        <v>0</v>
      </c>
      <c r="Q11" s="21">
        <f>$G$11*'Function - Factors'!O10</f>
        <v>0</v>
      </c>
      <c r="R11" s="21">
        <f>$G$11*'Function - Factors'!P10</f>
        <v>0</v>
      </c>
      <c r="S11" s="21">
        <f>$G$11*'Function - Factors'!Q10</f>
        <v>0</v>
      </c>
      <c r="T11" s="21"/>
      <c r="U11" s="21"/>
    </row>
    <row r="12" spans="2:21"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2:21">
      <c r="C13" s="9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2:21"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spans="2:21">
      <c r="B15" s="13" t="s">
        <v>32</v>
      </c>
      <c r="C15" s="9" t="s">
        <v>33</v>
      </c>
      <c r="E15" s="21">
        <v>1.27</v>
      </c>
      <c r="F15" s="21"/>
      <c r="G15" s="21">
        <f t="shared" ref="G15:G20" si="0">E15/E$47*E$47</f>
        <v>1.27</v>
      </c>
      <c r="H15" s="21"/>
      <c r="I15" s="21">
        <f>$G$15*'Function - Factors'!G14</f>
        <v>1.23952E-2</v>
      </c>
      <c r="J15" s="21">
        <f>$G$15*'Function - Factors'!H14</f>
        <v>0</v>
      </c>
      <c r="K15" s="21">
        <f>$G$15*'Function - Factors'!I14</f>
        <v>6.0198000000000005E-3</v>
      </c>
      <c r="L15" s="21">
        <f>$G$15*'Function - Factors'!J14</f>
        <v>2.921E-3</v>
      </c>
      <c r="M15" s="21">
        <f>$G$15*'Function - Factors'!K14</f>
        <v>0.15063469999999998</v>
      </c>
      <c r="N15" s="21">
        <f>$G$15*'Function - Factors'!L14</f>
        <v>0.50307240000000009</v>
      </c>
      <c r="O15" s="21">
        <f>$G$15*'Function - Factors'!M14</f>
        <v>2.921E-3</v>
      </c>
      <c r="P15" s="21">
        <f>$G$15*'Function - Factors'!N14</f>
        <v>0</v>
      </c>
      <c r="Q15" s="21">
        <f>$G$15*'Function - Factors'!O14</f>
        <v>7.7596999999999985E-2</v>
      </c>
      <c r="R15" s="21">
        <f>$G$15*'Function - Factors'!P14</f>
        <v>0.28752800000000001</v>
      </c>
      <c r="S15" s="21">
        <f>$G$15*'Function - Factors'!Q14</f>
        <v>0.22691090000000014</v>
      </c>
      <c r="T15" s="21"/>
      <c r="U15" s="21"/>
    </row>
    <row r="16" spans="2:21">
      <c r="B16" s="13" t="s">
        <v>34</v>
      </c>
      <c r="C16" s="9" t="s">
        <v>35</v>
      </c>
      <c r="E16" s="21">
        <v>8.8745999999999992</v>
      </c>
      <c r="F16" s="21"/>
      <c r="G16" s="21">
        <f t="shared" si="0"/>
        <v>8.8745999999999992</v>
      </c>
      <c r="H16" s="21"/>
      <c r="I16" s="21">
        <f>$G$16*'Function - Factors'!G15</f>
        <v>8.661609599999999E-2</v>
      </c>
      <c r="J16" s="21">
        <f>$G$16*'Function - Factors'!H15</f>
        <v>0</v>
      </c>
      <c r="K16" s="21">
        <f>$G$16*'Function - Factors'!I15</f>
        <v>4.2065603999999999E-2</v>
      </c>
      <c r="L16" s="21">
        <f>$G$16*'Function - Factors'!J15</f>
        <v>2.0411579999999999E-2</v>
      </c>
      <c r="M16" s="21">
        <f>$G$16*'Function - Factors'!K15</f>
        <v>1.0526163059999998</v>
      </c>
      <c r="N16" s="21">
        <f>$G$16*'Function - Factors'!L15</f>
        <v>0.85302655199999988</v>
      </c>
      <c r="O16" s="21">
        <f>$G$16*'Function - Factors'!M15</f>
        <v>2.0411579999999999E-2</v>
      </c>
      <c r="P16" s="21">
        <f>$G$16*'Function - Factors'!N15</f>
        <v>0</v>
      </c>
      <c r="Q16" s="21">
        <f>$G$16*'Function - Factors'!O15</f>
        <v>1.4296980599999998</v>
      </c>
      <c r="R16" s="21">
        <f>$G$16*'Function - Factors'!P15</f>
        <v>3.7841294399999996</v>
      </c>
      <c r="S16" s="21">
        <f>$G$16*'Function - Factors'!Q15</f>
        <v>1.5856247819999998</v>
      </c>
      <c r="T16" s="21"/>
      <c r="U16" s="21"/>
    </row>
    <row r="17" spans="2:21">
      <c r="B17" s="13" t="s">
        <v>36</v>
      </c>
      <c r="C17" s="9" t="s">
        <v>23</v>
      </c>
      <c r="E17" s="21">
        <v>89.259599999999992</v>
      </c>
      <c r="F17" s="21"/>
      <c r="G17" s="21">
        <f t="shared" si="0"/>
        <v>89.259599999999992</v>
      </c>
      <c r="H17" s="21"/>
      <c r="I17" s="21">
        <f>$G$17*'Function - Factors'!G16</f>
        <v>0</v>
      </c>
      <c r="J17" s="21">
        <f>$G$17*'Function - Factors'!H16</f>
        <v>0</v>
      </c>
      <c r="K17" s="21">
        <f>$G$17*'Function - Factors'!I16</f>
        <v>0</v>
      </c>
      <c r="L17" s="21">
        <f>$G$17*'Function - Factors'!J16</f>
        <v>0</v>
      </c>
      <c r="M17" s="21">
        <f>$G$17*'Function - Factors'!K16</f>
        <v>0</v>
      </c>
      <c r="N17" s="21">
        <f>$G$17*'Function - Factors'!L16</f>
        <v>89.259599999999992</v>
      </c>
      <c r="O17" s="21">
        <f>$G$17*'Function - Factors'!M16</f>
        <v>0</v>
      </c>
      <c r="P17" s="21">
        <f>$G$17*'Function - Factors'!N16</f>
        <v>0</v>
      </c>
      <c r="Q17" s="21">
        <f>$G$17*'Function - Factors'!O16</f>
        <v>0</v>
      </c>
      <c r="R17" s="21">
        <f>$G$17*'Function - Factors'!P16</f>
        <v>0</v>
      </c>
      <c r="S17" s="21">
        <f>$G$17*'Function - Factors'!Q16</f>
        <v>0</v>
      </c>
      <c r="T17" s="21"/>
      <c r="U17" s="21"/>
    </row>
    <row r="18" spans="2:21">
      <c r="B18" s="13" t="s">
        <v>37</v>
      </c>
      <c r="C18" s="9" t="s">
        <v>38</v>
      </c>
      <c r="E18" s="21">
        <v>12.14</v>
      </c>
      <c r="F18" s="21"/>
      <c r="G18" s="21">
        <f t="shared" si="0"/>
        <v>12.14</v>
      </c>
      <c r="H18" s="21"/>
      <c r="I18" s="21">
        <f>$G$18*'Function - Factors'!G17</f>
        <v>0</v>
      </c>
      <c r="J18" s="21">
        <f>$G$18*'Function - Factors'!H17</f>
        <v>0</v>
      </c>
      <c r="K18" s="21">
        <f>$G$18*'Function - Factors'!I17</f>
        <v>5.6233418828380426</v>
      </c>
      <c r="L18" s="21">
        <f>$G$18*'Function - Factors'!J17</f>
        <v>6.516658117161958</v>
      </c>
      <c r="M18" s="21">
        <f>$G$18*'Function - Factors'!K17</f>
        <v>0</v>
      </c>
      <c r="N18" s="21">
        <f>$G$18*'Function - Factors'!L17</f>
        <v>0</v>
      </c>
      <c r="O18" s="21">
        <f>$G$18*'Function - Factors'!M17</f>
        <v>0</v>
      </c>
      <c r="P18" s="21">
        <f>$G$18*'Function - Factors'!N17</f>
        <v>0</v>
      </c>
      <c r="Q18" s="21">
        <f>$G$18*'Function - Factors'!O17</f>
        <v>0</v>
      </c>
      <c r="R18" s="21">
        <f>$G$18*'Function - Factors'!P17</f>
        <v>0</v>
      </c>
      <c r="S18" s="21">
        <f>$G$18*'Function - Factors'!Q17</f>
        <v>0</v>
      </c>
      <c r="T18" s="21"/>
      <c r="U18" s="21"/>
    </row>
    <row r="19" spans="2:21">
      <c r="B19" s="13" t="s">
        <v>39</v>
      </c>
      <c r="C19" s="9" t="s">
        <v>22</v>
      </c>
      <c r="E19" s="21">
        <v>62.26</v>
      </c>
      <c r="F19" s="21"/>
      <c r="G19" s="21">
        <f t="shared" si="0"/>
        <v>62.26</v>
      </c>
      <c r="H19" s="21"/>
      <c r="I19" s="21">
        <f>$G$19*'Function - Factors'!G18</f>
        <v>0</v>
      </c>
      <c r="J19" s="21">
        <f>$G$19*'Function - Factors'!H18</f>
        <v>0</v>
      </c>
      <c r="K19" s="21">
        <f>$G$19*'Function - Factors'!I18</f>
        <v>0</v>
      </c>
      <c r="L19" s="21">
        <f>$G$19*'Function - Factors'!J18</f>
        <v>0</v>
      </c>
      <c r="M19" s="21">
        <f>$G$19*'Function - Factors'!K18</f>
        <v>62.26</v>
      </c>
      <c r="N19" s="21">
        <f>$G$19*'Function - Factors'!L18</f>
        <v>0</v>
      </c>
      <c r="O19" s="21">
        <f>$G$19*'Function - Factors'!M18</f>
        <v>0</v>
      </c>
      <c r="P19" s="21">
        <f>$G$19*'Function - Factors'!N18</f>
        <v>0</v>
      </c>
      <c r="Q19" s="21">
        <f>$G$19*'Function - Factors'!O18</f>
        <v>0</v>
      </c>
      <c r="R19" s="21">
        <f>$G$19*'Function - Factors'!P18</f>
        <v>0</v>
      </c>
      <c r="S19" s="21">
        <f>$G$19*'Function - Factors'!Q18</f>
        <v>0</v>
      </c>
      <c r="T19" s="21"/>
      <c r="U19" s="21"/>
    </row>
    <row r="20" spans="2:21">
      <c r="B20" s="13" t="s">
        <v>40</v>
      </c>
      <c r="C20" s="11" t="s">
        <v>24</v>
      </c>
      <c r="D20" s="11"/>
      <c r="E20" s="22">
        <v>43.05</v>
      </c>
      <c r="F20" s="22"/>
      <c r="G20" s="22">
        <f t="shared" si="0"/>
        <v>43.05</v>
      </c>
      <c r="H20" s="22"/>
      <c r="I20" s="22">
        <f>$G$20*'Function - Factors'!G19</f>
        <v>0</v>
      </c>
      <c r="J20" s="22">
        <f>$G$20*'Function - Factors'!H19</f>
        <v>0</v>
      </c>
      <c r="K20" s="22">
        <f>$G$20*'Function - Factors'!I19</f>
        <v>0</v>
      </c>
      <c r="L20" s="22">
        <f>$G$20*'Function - Factors'!J19</f>
        <v>0</v>
      </c>
      <c r="M20" s="22">
        <f>$G$20*'Function - Factors'!K19</f>
        <v>0</v>
      </c>
      <c r="N20" s="22">
        <f>$G$20*'Function - Factors'!L19</f>
        <v>0</v>
      </c>
      <c r="O20" s="22">
        <f>$G$20*'Function - Factors'!M19</f>
        <v>43.05</v>
      </c>
      <c r="P20" s="22">
        <f>$G$20*'Function - Factors'!N19</f>
        <v>0</v>
      </c>
      <c r="Q20" s="22">
        <f>$G$20*'Function - Factors'!O19</f>
        <v>0</v>
      </c>
      <c r="R20" s="22">
        <f>$G$20*'Function - Factors'!P19</f>
        <v>0</v>
      </c>
      <c r="S20" s="22">
        <f>$G$20*'Function - Factors'!Q19</f>
        <v>0</v>
      </c>
      <c r="T20" s="22"/>
      <c r="U20" s="22"/>
    </row>
    <row r="21" spans="2:21">
      <c r="B21" s="13" t="s">
        <v>41</v>
      </c>
      <c r="C21" s="9" t="s">
        <v>42</v>
      </c>
      <c r="E21" s="25">
        <f>SUM(E15:E20)</f>
        <v>216.85419999999999</v>
      </c>
      <c r="F21" s="25"/>
      <c r="G21" s="25">
        <f>SUM(G15:G20)</f>
        <v>216.85419999999999</v>
      </c>
      <c r="H21" s="21"/>
      <c r="I21" s="21">
        <f>SUM(I15:I20)</f>
        <v>9.9011295999999985E-2</v>
      </c>
      <c r="J21" s="21">
        <f t="shared" ref="J21:U21" si="1">SUM(J15:J20)</f>
        <v>0</v>
      </c>
      <c r="K21" s="21">
        <f t="shared" si="1"/>
        <v>5.6714272868380426</v>
      </c>
      <c r="L21" s="21">
        <f t="shared" si="1"/>
        <v>6.5399906971619579</v>
      </c>
      <c r="M21" s="21">
        <f t="shared" si="1"/>
        <v>63.463251006</v>
      </c>
      <c r="N21" s="21">
        <f t="shared" si="1"/>
        <v>90.615698951999988</v>
      </c>
      <c r="O21" s="21">
        <f t="shared" si="1"/>
        <v>43.073332579999999</v>
      </c>
      <c r="P21" s="21">
        <f t="shared" si="1"/>
        <v>0</v>
      </c>
      <c r="Q21" s="21">
        <f t="shared" si="1"/>
        <v>1.5072950599999997</v>
      </c>
      <c r="R21" s="21">
        <f t="shared" si="1"/>
        <v>4.0716574399999992</v>
      </c>
      <c r="S21" s="21">
        <f t="shared" si="1"/>
        <v>1.812535682</v>
      </c>
      <c r="T21" s="21">
        <f t="shared" si="1"/>
        <v>0</v>
      </c>
      <c r="U21" s="21">
        <f t="shared" si="1"/>
        <v>0</v>
      </c>
    </row>
    <row r="22" spans="2:21"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2:21">
      <c r="C23" s="9" t="s">
        <v>43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2:21"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2:21">
      <c r="B25" s="13" t="s">
        <v>44</v>
      </c>
      <c r="C25" s="9" t="s">
        <v>33</v>
      </c>
      <c r="E25" s="21">
        <v>0</v>
      </c>
      <c r="F25" s="21"/>
      <c r="G25" s="21">
        <f t="shared" ref="G25:G37" si="2">E25/E$47*E$47</f>
        <v>0</v>
      </c>
      <c r="H25" s="21"/>
      <c r="I25" s="21">
        <f>$G25*'Function - Factors'!G24</f>
        <v>0</v>
      </c>
      <c r="J25" s="21">
        <f>$G25*'Function - Factors'!H24</f>
        <v>0</v>
      </c>
      <c r="K25" s="21">
        <f>$G25*'Function - Factors'!I24</f>
        <v>0</v>
      </c>
      <c r="L25" s="21">
        <f>$G25*'Function - Factors'!J24</f>
        <v>0</v>
      </c>
      <c r="M25" s="21">
        <f>$G25*'Function - Factors'!K24</f>
        <v>0</v>
      </c>
      <c r="N25" s="21">
        <f>$G25*'Function - Factors'!L24</f>
        <v>0</v>
      </c>
      <c r="O25" s="21">
        <f>$G25*'Function - Factors'!M24</f>
        <v>0</v>
      </c>
      <c r="P25" s="21">
        <f>$G25*'Function - Factors'!N24</f>
        <v>0</v>
      </c>
      <c r="Q25" s="21">
        <f>$G25*'Function - Factors'!O24</f>
        <v>0</v>
      </c>
      <c r="R25" s="21">
        <f>$G25*'Function - Factors'!P24</f>
        <v>0</v>
      </c>
      <c r="S25" s="21">
        <f>$G25*'Function - Factors'!Q24</f>
        <v>0</v>
      </c>
      <c r="T25" s="21"/>
      <c r="U25" s="21"/>
    </row>
    <row r="26" spans="2:21">
      <c r="B26" s="13" t="s">
        <v>45</v>
      </c>
      <c r="C26" s="9" t="s">
        <v>35</v>
      </c>
      <c r="E26" s="21">
        <v>1.1200000000000001</v>
      </c>
      <c r="F26" s="21"/>
      <c r="G26" s="21">
        <f t="shared" si="2"/>
        <v>1.1200000000000001</v>
      </c>
      <c r="H26" s="21"/>
      <c r="I26" s="21">
        <f>$G26*'Function - Factors'!G25</f>
        <v>0</v>
      </c>
      <c r="J26" s="21">
        <f>$G26*'Function - Factors'!H25</f>
        <v>0</v>
      </c>
      <c r="K26" s="21">
        <f>$G26*'Function - Factors'!I25</f>
        <v>0</v>
      </c>
      <c r="L26" s="21">
        <f>$G26*'Function - Factors'!J25</f>
        <v>0</v>
      </c>
      <c r="M26" s="21">
        <f>$G26*'Function - Factors'!K25</f>
        <v>0.37609600000000004</v>
      </c>
      <c r="N26" s="21">
        <f>$G26*'Function - Factors'!L25</f>
        <v>5.0624000000000002E-2</v>
      </c>
      <c r="O26" s="21">
        <f>$G26*'Function - Factors'!M25</f>
        <v>0</v>
      </c>
      <c r="P26" s="21">
        <f>$G26*'Function - Factors'!N25</f>
        <v>0</v>
      </c>
      <c r="Q26" s="21">
        <f>$G26*'Function - Factors'!O25</f>
        <v>0.14081760000000001</v>
      </c>
      <c r="R26" s="21">
        <f>$G26*'Function - Factors'!P25</f>
        <v>0.3958528</v>
      </c>
      <c r="S26" s="21">
        <f>$G26*'Function - Factors'!Q25</f>
        <v>0.15660960000000002</v>
      </c>
      <c r="T26" s="21"/>
      <c r="U26" s="21"/>
    </row>
    <row r="27" spans="2:21">
      <c r="B27" s="13" t="s">
        <v>46</v>
      </c>
      <c r="C27" s="9" t="s">
        <v>47</v>
      </c>
      <c r="E27" s="21">
        <v>3.6424999999999996</v>
      </c>
      <c r="F27" s="21"/>
      <c r="G27" s="21">
        <f t="shared" si="2"/>
        <v>3.6425000000000001</v>
      </c>
      <c r="H27" s="21"/>
      <c r="I27" s="21">
        <f>$G27*'Function - Factors'!G26</f>
        <v>5.0994999999999999E-3</v>
      </c>
      <c r="J27" s="21">
        <f>$G27*'Function - Factors'!H26</f>
        <v>4.3709999999999999E-3</v>
      </c>
      <c r="K27" s="21">
        <f>$G27*'Function - Factors'!I26</f>
        <v>4.7352499999999999E-3</v>
      </c>
      <c r="L27" s="21">
        <f>$G27*'Function - Factors'!J26</f>
        <v>0.44802750000000002</v>
      </c>
      <c r="M27" s="21">
        <f>$G27*'Function - Factors'!K26</f>
        <v>0.58753524999999995</v>
      </c>
      <c r="N27" s="21">
        <f>$G27*'Function - Factors'!L26</f>
        <v>0.72886424999999999</v>
      </c>
      <c r="O27" s="21">
        <f>$G27*'Function - Factors'!M26</f>
        <v>0.16864775000000001</v>
      </c>
      <c r="P27" s="21">
        <f>$G27*'Function - Factors'!N26</f>
        <v>6.0465499999999998E-2</v>
      </c>
      <c r="Q27" s="21">
        <f>$G27*'Function - Factors'!O26</f>
        <v>8.7055750000000001E-2</v>
      </c>
      <c r="R27" s="21">
        <f>$G27*'Function - Factors'!P26</f>
        <v>0.11437449999999999</v>
      </c>
      <c r="S27" s="21">
        <f>$G27*'Function - Factors'!Q26</f>
        <v>1.43332375</v>
      </c>
      <c r="T27" s="21"/>
      <c r="U27" s="21"/>
    </row>
    <row r="28" spans="2:21">
      <c r="B28" s="13" t="s">
        <v>48</v>
      </c>
      <c r="C28" s="9" t="s">
        <v>49</v>
      </c>
      <c r="E28" s="21">
        <v>6.33</v>
      </c>
      <c r="F28" s="21"/>
      <c r="G28" s="21">
        <f t="shared" si="2"/>
        <v>6.33</v>
      </c>
      <c r="H28" s="21"/>
      <c r="I28" s="21">
        <f>$G28*'Function - Factors'!G27</f>
        <v>0</v>
      </c>
      <c r="J28" s="21">
        <f>$G28*'Function - Factors'!H27</f>
        <v>0</v>
      </c>
      <c r="K28" s="21">
        <f>$G28*'Function - Factors'!I27</f>
        <v>0</v>
      </c>
      <c r="L28" s="21">
        <f>$G28*'Function - Factors'!J27</f>
        <v>1.4776000623015642E-2</v>
      </c>
      <c r="M28" s="21">
        <f>$G28*'Function - Factors'!K27</f>
        <v>1.8773050514377949</v>
      </c>
      <c r="N28" s="21">
        <f>$G28*'Function - Factors'!L27</f>
        <v>4.2319521452060123</v>
      </c>
      <c r="O28" s="21">
        <f>$G28*'Function - Factors'!M27</f>
        <v>0</v>
      </c>
      <c r="P28" s="21">
        <f>$G28*'Function - Factors'!N27</f>
        <v>0</v>
      </c>
      <c r="Q28" s="21">
        <f>$G28*'Function - Factors'!O27</f>
        <v>0.205966802733177</v>
      </c>
      <c r="R28" s="21">
        <f>$G28*'Function - Factors'!P27</f>
        <v>0</v>
      </c>
      <c r="S28" s="21">
        <f>$G28*'Function - Factors'!Q27</f>
        <v>0</v>
      </c>
      <c r="T28" s="21"/>
      <c r="U28" s="21"/>
    </row>
    <row r="29" spans="2:21">
      <c r="B29" s="13" t="s">
        <v>50</v>
      </c>
      <c r="C29" s="9" t="s">
        <v>51</v>
      </c>
      <c r="E29" s="21">
        <v>0.90880000000000005</v>
      </c>
      <c r="F29" s="21"/>
      <c r="G29" s="21">
        <f t="shared" si="2"/>
        <v>0.90880000000000005</v>
      </c>
      <c r="H29" s="21"/>
      <c r="I29" s="21">
        <f>$G29*'Function - Factors'!G28</f>
        <v>0</v>
      </c>
      <c r="J29" s="21">
        <f>$G29*'Function - Factors'!H28</f>
        <v>0</v>
      </c>
      <c r="K29" s="21">
        <f>$G29*'Function - Factors'!I28</f>
        <v>0</v>
      </c>
      <c r="L29" s="21">
        <f>$G29*'Function - Factors'!J28</f>
        <v>2.1213948445808241E-3</v>
      </c>
      <c r="M29" s="21">
        <f>$G29*'Function - Factors'!K28</f>
        <v>0.26952524972301234</v>
      </c>
      <c r="N29" s="21">
        <f>$G29*'Function - Factors'!L28</f>
        <v>0.60758263974142557</v>
      </c>
      <c r="O29" s="21">
        <f>$G29*'Function - Factors'!M28</f>
        <v>0</v>
      </c>
      <c r="P29" s="21">
        <f>$G29*'Function - Factors'!N28</f>
        <v>0</v>
      </c>
      <c r="Q29" s="21">
        <f>$G29*'Function - Factors'!O28</f>
        <v>2.9570715690981242E-2</v>
      </c>
      <c r="R29" s="21">
        <f>$G29*'Function - Factors'!P28</f>
        <v>0</v>
      </c>
      <c r="S29" s="21">
        <f>$G29*'Function - Factors'!Q28</f>
        <v>0</v>
      </c>
      <c r="T29" s="21"/>
      <c r="U29" s="21"/>
    </row>
    <row r="30" spans="2:21">
      <c r="B30" s="13" t="s">
        <v>52</v>
      </c>
      <c r="C30" s="9" t="s">
        <v>53</v>
      </c>
      <c r="E30" s="21">
        <v>1.5471999999999999</v>
      </c>
      <c r="F30" s="21"/>
      <c r="G30" s="21">
        <f t="shared" si="2"/>
        <v>1.5471999999999999</v>
      </c>
      <c r="H30" s="21"/>
      <c r="I30" s="21">
        <f>$G30*'Function - Factors'!G29</f>
        <v>0</v>
      </c>
      <c r="J30" s="21">
        <f>$G30*'Function - Factors'!H29</f>
        <v>0</v>
      </c>
      <c r="K30" s="21">
        <f>$G30*'Function - Factors'!I29</f>
        <v>0</v>
      </c>
      <c r="L30" s="21">
        <f>$G30*'Function - Factors'!J29</f>
        <v>0</v>
      </c>
      <c r="M30" s="21">
        <f>$G30*'Function - Factors'!K29</f>
        <v>0.77359999999999995</v>
      </c>
      <c r="N30" s="21">
        <f>$G30*'Function - Factors'!L29</f>
        <v>0.77359999999999995</v>
      </c>
      <c r="O30" s="21">
        <f>$G30*'Function - Factors'!M29</f>
        <v>0</v>
      </c>
      <c r="P30" s="21">
        <f>$G30*'Function - Factors'!N29</f>
        <v>0</v>
      </c>
      <c r="Q30" s="21">
        <f>$G30*'Function - Factors'!O29</f>
        <v>0</v>
      </c>
      <c r="R30" s="21">
        <f>$G30*'Function - Factors'!P29</f>
        <v>0</v>
      </c>
      <c r="S30" s="21">
        <f>$G30*'Function - Factors'!Q29</f>
        <v>0</v>
      </c>
      <c r="T30" s="21"/>
      <c r="U30" s="21"/>
    </row>
    <row r="31" spans="2:21">
      <c r="B31" s="13" t="s">
        <v>54</v>
      </c>
      <c r="C31" s="9" t="s">
        <v>25</v>
      </c>
      <c r="E31" s="21">
        <v>2.12</v>
      </c>
      <c r="F31" s="21"/>
      <c r="G31" s="21">
        <f t="shared" si="2"/>
        <v>2.12</v>
      </c>
      <c r="H31" s="21"/>
      <c r="I31" s="21">
        <f>$G31*'Function - Factors'!G30</f>
        <v>0</v>
      </c>
      <c r="J31" s="21">
        <f>$G31*'Function - Factors'!H30</f>
        <v>0</v>
      </c>
      <c r="K31" s="21">
        <f>$G31*'Function - Factors'!I30</f>
        <v>0</v>
      </c>
      <c r="L31" s="21">
        <f>$G31*'Function - Factors'!J30</f>
        <v>0</v>
      </c>
      <c r="M31" s="21">
        <f>$G31*'Function - Factors'!K30</f>
        <v>0</v>
      </c>
      <c r="N31" s="21">
        <f>$G31*'Function - Factors'!L30</f>
        <v>0</v>
      </c>
      <c r="O31" s="21">
        <f>$G31*'Function - Factors'!M30</f>
        <v>0</v>
      </c>
      <c r="P31" s="21">
        <f>$G31*'Function - Factors'!N30</f>
        <v>2.12</v>
      </c>
      <c r="Q31" s="21">
        <f>$G31*'Function - Factors'!O30</f>
        <v>0</v>
      </c>
      <c r="R31" s="21">
        <f>$G31*'Function - Factors'!P30</f>
        <v>0</v>
      </c>
      <c r="S31" s="21">
        <f>$G31*'Function - Factors'!Q30</f>
        <v>0</v>
      </c>
      <c r="T31" s="21"/>
      <c r="U31" s="21"/>
    </row>
    <row r="32" spans="2:21">
      <c r="B32" s="13" t="s">
        <v>55</v>
      </c>
      <c r="C32" s="9" t="s">
        <v>56</v>
      </c>
      <c r="E32" s="21">
        <v>0.36080000000000001</v>
      </c>
      <c r="F32" s="21"/>
      <c r="G32" s="21">
        <f t="shared" si="2"/>
        <v>0.36080000000000001</v>
      </c>
      <c r="H32" s="21"/>
      <c r="I32" s="21">
        <f>$G32*'Function - Factors'!G31</f>
        <v>5.0512000000000005E-3</v>
      </c>
      <c r="J32" s="21">
        <f>$G32*'Function - Factors'!H31</f>
        <v>0</v>
      </c>
      <c r="K32" s="21">
        <f>$G32*'Function - Factors'!I31</f>
        <v>2.8864000000000003E-3</v>
      </c>
      <c r="L32" s="21">
        <f>$G32*'Function - Factors'!J31</f>
        <v>0.1021064</v>
      </c>
      <c r="M32" s="21">
        <f>$G32*'Function - Factors'!K31</f>
        <v>3.1028799999999999E-2</v>
      </c>
      <c r="N32" s="21">
        <f>$G32*'Function - Factors'!L31</f>
        <v>4.5100000000000001E-2</v>
      </c>
      <c r="O32" s="21">
        <f>$G32*'Function - Factors'!M31</f>
        <v>0</v>
      </c>
      <c r="P32" s="21">
        <f>$G32*'Function - Factors'!N31</f>
        <v>3.6080000000000004E-4</v>
      </c>
      <c r="Q32" s="21">
        <f>$G32*'Function - Factors'!O31</f>
        <v>3.39152E-2</v>
      </c>
      <c r="R32" s="21">
        <f>$G32*'Function - Factors'!P31</f>
        <v>6.1696800000000003E-2</v>
      </c>
      <c r="S32" s="21">
        <f>$G32*'Function - Factors'!Q31</f>
        <v>7.8654399999999999E-2</v>
      </c>
      <c r="T32" s="21"/>
      <c r="U32" s="21"/>
    </row>
    <row r="33" spans="2:21">
      <c r="B33" s="13" t="s">
        <v>57</v>
      </c>
      <c r="C33" s="9" t="s">
        <v>58</v>
      </c>
      <c r="E33" s="21">
        <v>0.15</v>
      </c>
      <c r="F33" s="21"/>
      <c r="G33" s="21">
        <f t="shared" si="2"/>
        <v>0.15</v>
      </c>
      <c r="H33" s="21"/>
      <c r="I33" s="21">
        <f>$G33*'Function - Factors'!G32</f>
        <v>0</v>
      </c>
      <c r="J33" s="21">
        <f>$G33*'Function - Factors'!H32</f>
        <v>0</v>
      </c>
      <c r="K33" s="21">
        <f>$G33*'Function - Factors'!I32</f>
        <v>0</v>
      </c>
      <c r="L33" s="21">
        <f>$G33*'Function - Factors'!J32</f>
        <v>3.5014219485819052E-4</v>
      </c>
      <c r="M33" s="21">
        <f>$G33*'Function - Factors'!K32</f>
        <v>4.4485901692838739E-2</v>
      </c>
      <c r="N33" s="21">
        <f>$G33*'Function - Factors'!L32</f>
        <v>0.10028322618971593</v>
      </c>
      <c r="O33" s="21">
        <f>$G33*'Function - Factors'!M32</f>
        <v>0</v>
      </c>
      <c r="P33" s="21">
        <f>$G33*'Function - Factors'!N32</f>
        <v>0</v>
      </c>
      <c r="Q33" s="21">
        <f>$G33*'Function - Factors'!O32</f>
        <v>4.8807299225871329E-3</v>
      </c>
      <c r="R33" s="21">
        <f>$G33*'Function - Factors'!P32</f>
        <v>0</v>
      </c>
      <c r="S33" s="21">
        <f>$G33*'Function - Factors'!Q32</f>
        <v>0</v>
      </c>
      <c r="T33" s="21"/>
      <c r="U33" s="21"/>
    </row>
    <row r="34" spans="2:21">
      <c r="B34" s="13" t="s">
        <v>59</v>
      </c>
      <c r="C34" s="9" t="s">
        <v>60</v>
      </c>
      <c r="E34" s="21">
        <v>12.84</v>
      </c>
      <c r="F34" s="21"/>
      <c r="G34" s="21">
        <f t="shared" si="2"/>
        <v>12.84</v>
      </c>
      <c r="H34" s="21"/>
      <c r="I34" s="21">
        <f>$G34*'Function - Factors'!G33</f>
        <v>0.309444</v>
      </c>
      <c r="J34" s="21">
        <f>$G34*'Function - Factors'!H33</f>
        <v>4.3656E-2</v>
      </c>
      <c r="K34" s="21">
        <f>$G34*'Function - Factors'!I33</f>
        <v>0.29917199999999999</v>
      </c>
      <c r="L34" s="21">
        <f>$G34*'Function - Factors'!J33</f>
        <v>1.0901160000000001</v>
      </c>
      <c r="M34" s="21">
        <f>$G34*'Function - Factors'!K33</f>
        <v>2.0710920000000002</v>
      </c>
      <c r="N34" s="21">
        <f>$G34*'Function - Factors'!L33</f>
        <v>3.3525239999999998</v>
      </c>
      <c r="O34" s="21">
        <f>$G34*'Function - Factors'!M33</f>
        <v>1.0901160000000001</v>
      </c>
      <c r="P34" s="21">
        <f>$G34*'Function - Factors'!N33</f>
        <v>1.9259999999999999E-2</v>
      </c>
      <c r="Q34" s="21">
        <f>$G34*'Function - Factors'!O33</f>
        <v>0.114276</v>
      </c>
      <c r="R34" s="21">
        <f>$G34*'Function - Factors'!P33</f>
        <v>2.9647559999999999</v>
      </c>
      <c r="S34" s="21">
        <f>$G34*'Function - Factors'!Q33</f>
        <v>1.4855879999999999</v>
      </c>
      <c r="T34" s="21"/>
      <c r="U34" s="21"/>
    </row>
    <row r="35" spans="2:21">
      <c r="B35" s="13" t="s">
        <v>61</v>
      </c>
      <c r="C35" s="9" t="s">
        <v>62</v>
      </c>
      <c r="E35" s="21">
        <v>24.69</v>
      </c>
      <c r="F35" s="21"/>
      <c r="G35" s="21">
        <f t="shared" si="2"/>
        <v>24.69</v>
      </c>
      <c r="H35" s="21"/>
      <c r="I35" s="21">
        <f>$G35*'Function - Factors'!G34</f>
        <v>0.59502900000000003</v>
      </c>
      <c r="J35" s="21">
        <f>$G35*'Function - Factors'!H34</f>
        <v>8.3945999999999993E-2</v>
      </c>
      <c r="K35" s="21">
        <f>$G35*'Function - Factors'!I34</f>
        <v>0.57527700000000004</v>
      </c>
      <c r="L35" s="21">
        <f>$G35*'Function - Factors'!J34</f>
        <v>2.0961810000000001</v>
      </c>
      <c r="M35" s="21">
        <f>$G35*'Function - Factors'!K34</f>
        <v>3.9824970000000004</v>
      </c>
      <c r="N35" s="21">
        <f>$G35*'Function - Factors'!L34</f>
        <v>6.4465590000000006</v>
      </c>
      <c r="O35" s="21">
        <f>$G35*'Function - Factors'!M34</f>
        <v>2.0961810000000001</v>
      </c>
      <c r="P35" s="21">
        <f>$G35*'Function - Factors'!N34</f>
        <v>3.7035000000000005E-2</v>
      </c>
      <c r="Q35" s="21">
        <f>$G35*'Function - Factors'!O34</f>
        <v>0.21974100000000002</v>
      </c>
      <c r="R35" s="21">
        <f>$G35*'Function - Factors'!P34</f>
        <v>5.7009210000000001</v>
      </c>
      <c r="S35" s="21">
        <f>$G35*'Function - Factors'!Q34</f>
        <v>2.856633</v>
      </c>
      <c r="T35" s="21"/>
      <c r="U35" s="21"/>
    </row>
    <row r="36" spans="2:21">
      <c r="B36" s="13" t="s">
        <v>63</v>
      </c>
      <c r="C36" s="9" t="s">
        <v>29</v>
      </c>
      <c r="E36" s="21">
        <v>12.71</v>
      </c>
      <c r="F36" s="21"/>
      <c r="G36" s="21">
        <f t="shared" si="2"/>
        <v>12.71</v>
      </c>
      <c r="H36" s="21"/>
      <c r="I36" s="21">
        <f>$G36*'Function - Factors'!G35</f>
        <v>0</v>
      </c>
      <c r="J36" s="21">
        <f>$G36*'Function - Factors'!H35</f>
        <v>0</v>
      </c>
      <c r="K36" s="21">
        <f>$G36*'Function - Factors'!I35</f>
        <v>0</v>
      </c>
      <c r="L36" s="21">
        <f>$G36*'Function - Factors'!J35</f>
        <v>0</v>
      </c>
      <c r="M36" s="21">
        <f>$G36*'Function - Factors'!K35</f>
        <v>0</v>
      </c>
      <c r="N36" s="21">
        <f>$G36*'Function - Factors'!L35</f>
        <v>0</v>
      </c>
      <c r="O36" s="21">
        <f>$G36*'Function - Factors'!M35</f>
        <v>0</v>
      </c>
      <c r="P36" s="21">
        <f>$G36*'Function - Factors'!N35</f>
        <v>0</v>
      </c>
      <c r="Q36" s="21">
        <f>$G36*'Function - Factors'!O35</f>
        <v>0</v>
      </c>
      <c r="R36" s="21">
        <f>$G36*'Function - Factors'!P35</f>
        <v>0</v>
      </c>
      <c r="S36" s="21">
        <f>$G36*'Function - Factors'!Q35</f>
        <v>0</v>
      </c>
      <c r="T36" s="21">
        <f>$G36*'Function - Factors'!R35</f>
        <v>12.71</v>
      </c>
      <c r="U36" s="21"/>
    </row>
    <row r="37" spans="2:21">
      <c r="B37" s="13" t="s">
        <v>92</v>
      </c>
      <c r="C37" s="11" t="s">
        <v>93</v>
      </c>
      <c r="D37" s="11"/>
      <c r="E37" s="22">
        <v>7.06</v>
      </c>
      <c r="F37" s="22"/>
      <c r="G37" s="22">
        <f t="shared" si="2"/>
        <v>7.06</v>
      </c>
      <c r="H37" s="22"/>
      <c r="I37" s="22">
        <f>$G37*'Function - Factors'!G34</f>
        <v>0.17014599999999999</v>
      </c>
      <c r="J37" s="22">
        <f>$G37*'Function - Factors'!H34</f>
        <v>2.4003999999999998E-2</v>
      </c>
      <c r="K37" s="22">
        <f>$G37*'Function - Factors'!I34</f>
        <v>0.16449800000000001</v>
      </c>
      <c r="L37" s="22">
        <f>$G37*'Function - Factors'!J34</f>
        <v>0.59939399999999998</v>
      </c>
      <c r="M37" s="22">
        <f>$G37*'Function - Factors'!K34</f>
        <v>1.1387779999999998</v>
      </c>
      <c r="N37" s="22">
        <f>$G37*'Function - Factors'!L34</f>
        <v>1.8433659999999998</v>
      </c>
      <c r="O37" s="22">
        <f>$G37*'Function - Factors'!M34</f>
        <v>0.59939399999999998</v>
      </c>
      <c r="P37" s="22">
        <f>$G37*'Function - Factors'!N34</f>
        <v>1.059E-2</v>
      </c>
      <c r="Q37" s="22">
        <f>$G37*'Function - Factors'!O34</f>
        <v>6.2834000000000001E-2</v>
      </c>
      <c r="R37" s="22">
        <f>$G37*'Function - Factors'!P34</f>
        <v>1.6301539999999999</v>
      </c>
      <c r="S37" s="22">
        <f>$G37*'Function - Factors'!Q34</f>
        <v>0.81684199999999996</v>
      </c>
      <c r="T37" s="22"/>
      <c r="U37" s="22"/>
    </row>
    <row r="38" spans="2:21">
      <c r="B38" s="13" t="s">
        <v>64</v>
      </c>
      <c r="C38" s="9" t="s">
        <v>65</v>
      </c>
      <c r="E38" s="25">
        <f>SUM(E25:E37)</f>
        <v>73.479299999999995</v>
      </c>
      <c r="F38" s="25"/>
      <c r="G38" s="25">
        <f>SUM(G25:G37)</f>
        <v>73.479299999999995</v>
      </c>
      <c r="H38" s="21"/>
      <c r="I38" s="21">
        <f>SUM(I25:I37)</f>
        <v>1.0847697000000001</v>
      </c>
      <c r="J38" s="21">
        <f t="shared" ref="J38:U38" si="3">SUM(J25:J37)</f>
        <v>0.155977</v>
      </c>
      <c r="K38" s="21">
        <f t="shared" si="3"/>
        <v>1.04656865</v>
      </c>
      <c r="L38" s="21">
        <f t="shared" si="3"/>
        <v>4.3530724376624548</v>
      </c>
      <c r="M38" s="21">
        <f t="shared" si="3"/>
        <v>11.151943252853647</v>
      </c>
      <c r="N38" s="21">
        <f t="shared" si="3"/>
        <v>18.180455261137155</v>
      </c>
      <c r="O38" s="21">
        <f t="shared" si="3"/>
        <v>3.9543387500000007</v>
      </c>
      <c r="P38" s="21">
        <f t="shared" si="3"/>
        <v>2.2477113000000002</v>
      </c>
      <c r="Q38" s="21">
        <f t="shared" si="3"/>
        <v>0.89905779834674537</v>
      </c>
      <c r="R38" s="21">
        <f t="shared" si="3"/>
        <v>10.867755099999998</v>
      </c>
      <c r="S38" s="21">
        <f t="shared" si="3"/>
        <v>6.8276507500000001</v>
      </c>
      <c r="T38" s="21">
        <f t="shared" si="3"/>
        <v>12.71</v>
      </c>
      <c r="U38" s="21">
        <f t="shared" si="3"/>
        <v>0</v>
      </c>
    </row>
    <row r="39" spans="2:21"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2:21">
      <c r="B40" s="13" t="s">
        <v>66</v>
      </c>
      <c r="C40" s="9" t="s">
        <v>94</v>
      </c>
      <c r="E40" s="21">
        <v>0</v>
      </c>
      <c r="F40" s="21"/>
      <c r="G40" s="21">
        <f>E40/E$47*E$47</f>
        <v>0</v>
      </c>
      <c r="H40" s="21"/>
      <c r="I40" s="21">
        <f>$G40*'Function - Factors'!G38</f>
        <v>0</v>
      </c>
      <c r="J40" s="21">
        <f>$G40*'Function - Factors'!H38</f>
        <v>0</v>
      </c>
      <c r="K40" s="21">
        <f>$G40*'Function - Factors'!I38</f>
        <v>0</v>
      </c>
      <c r="L40" s="21">
        <f>$G40*'Function - Factors'!J38</f>
        <v>0</v>
      </c>
      <c r="M40" s="21">
        <f>$G40*'Function - Factors'!K38</f>
        <v>0</v>
      </c>
      <c r="N40" s="21">
        <f>$G40*'Function - Factors'!L38</f>
        <v>0</v>
      </c>
      <c r="O40" s="21">
        <f>$G40*'Function - Factors'!M38</f>
        <v>0</v>
      </c>
      <c r="P40" s="21">
        <f>$G40*'Function - Factors'!N38</f>
        <v>0</v>
      </c>
      <c r="Q40" s="21">
        <f>$G40*'Function - Factors'!O38</f>
        <v>0</v>
      </c>
      <c r="R40" s="21">
        <f>$G40*'Function - Factors'!P38</f>
        <v>0</v>
      </c>
      <c r="S40" s="21">
        <f>$G40*'Function - Factors'!Q38</f>
        <v>0</v>
      </c>
      <c r="T40" s="21"/>
      <c r="U40" s="21"/>
    </row>
    <row r="41" spans="2:21"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2:21">
      <c r="C42" s="9" t="s">
        <v>95</v>
      </c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</row>
    <row r="43" spans="2:21"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</row>
    <row r="44" spans="2:21">
      <c r="B44" s="13" t="s">
        <v>96</v>
      </c>
      <c r="C44" s="11" t="s">
        <v>97</v>
      </c>
      <c r="D44" s="11"/>
      <c r="E44" s="22">
        <v>0</v>
      </c>
      <c r="F44" s="22"/>
      <c r="G44" s="22">
        <f>E44/E$47*E$47</f>
        <v>0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</row>
    <row r="45" spans="2:21">
      <c r="B45" s="13" t="s">
        <v>68</v>
      </c>
      <c r="C45" s="9" t="s">
        <v>98</v>
      </c>
      <c r="E45" s="21">
        <f>SUM(E44)</f>
        <v>0</v>
      </c>
      <c r="F45" s="21"/>
      <c r="G45" s="21">
        <f>SUM(G44)</f>
        <v>0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spans="2:21" ht="14.25" customHeight="1"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</row>
    <row r="47" spans="2:21" ht="13" thickBot="1">
      <c r="B47" s="13" t="s">
        <v>99</v>
      </c>
      <c r="C47" s="26" t="s">
        <v>100</v>
      </c>
      <c r="D47" s="26"/>
      <c r="E47" s="23">
        <f>E45+E40+E38+E21+E11</f>
        <v>290.33349999999996</v>
      </c>
      <c r="F47" s="23"/>
      <c r="G47" s="23">
        <f>G45+G40+G38+G21+G11</f>
        <v>290.33349999999996</v>
      </c>
      <c r="H47" s="23"/>
      <c r="I47" s="23">
        <f t="shared" ref="I47:U47" si="4">I45+I40+I38+I21+I11</f>
        <v>1.1837809960000001</v>
      </c>
      <c r="J47" s="23">
        <f t="shared" si="4"/>
        <v>0.155977</v>
      </c>
      <c r="K47" s="23">
        <f t="shared" si="4"/>
        <v>6.7179959368380429</v>
      </c>
      <c r="L47" s="23">
        <f t="shared" si="4"/>
        <v>10.893063134824413</v>
      </c>
      <c r="M47" s="23">
        <f t="shared" si="4"/>
        <v>74.615194258853649</v>
      </c>
      <c r="N47" s="23">
        <f t="shared" si="4"/>
        <v>108.79615421313714</v>
      </c>
      <c r="O47" s="23">
        <f t="shared" si="4"/>
        <v>47.027671329999997</v>
      </c>
      <c r="P47" s="23">
        <f t="shared" si="4"/>
        <v>2.2477113000000002</v>
      </c>
      <c r="Q47" s="23">
        <f t="shared" si="4"/>
        <v>2.4063528583467448</v>
      </c>
      <c r="R47" s="23">
        <f t="shared" si="4"/>
        <v>14.939412539999998</v>
      </c>
      <c r="S47" s="23">
        <f t="shared" si="4"/>
        <v>8.6401864320000001</v>
      </c>
      <c r="T47" s="23">
        <f t="shared" si="4"/>
        <v>12.71</v>
      </c>
      <c r="U47" s="23">
        <f t="shared" si="4"/>
        <v>0</v>
      </c>
    </row>
    <row r="48" spans="2:21" ht="13" thickTop="1"/>
    <row r="49" spans="5:7">
      <c r="E49" s="10"/>
      <c r="F49" s="10"/>
      <c r="G49" s="21"/>
    </row>
    <row r="50" spans="5:7">
      <c r="E50" s="21"/>
    </row>
    <row r="51" spans="5:7">
      <c r="E51" s="24"/>
    </row>
  </sheetData>
  <mergeCells count="5">
    <mergeCell ref="C1:U1"/>
    <mergeCell ref="C2:U2"/>
    <mergeCell ref="C3:U3"/>
    <mergeCell ref="C4:U4"/>
    <mergeCell ref="C5:U5"/>
  </mergeCells>
  <pageMargins left="0.7" right="0.7" top="0.75" bottom="0.75" header="0.3" footer="0.3"/>
  <pageSetup scale="61" fitToHeight="0" orientation="landscape" r:id="rId1"/>
  <headerFooter>
    <oddHeader>&amp;R&amp;"Arial,Regular"&amp;10Filed: 2023-03-08
EB-2022-0200
Exhibit I.7.1-VECC-62
Attachment 1</oddHeader>
  </headerFooter>
  <ignoredErrors>
    <ignoredError sqref="B38:B47 B11:B36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DDBA-13BD-4552-9E42-1A7A19EE0C6C}">
  <sheetPr>
    <tabColor theme="5" tint="0.59999389629810485"/>
  </sheetPr>
  <dimension ref="B1:W69"/>
  <sheetViews>
    <sheetView zoomScale="99" zoomScaleNormal="99" workbookViewId="0"/>
  </sheetViews>
  <sheetFormatPr defaultColWidth="9.1796875" defaultRowHeight="12.5"/>
  <cols>
    <col min="1" max="1" width="3.1796875" style="9" customWidth="1"/>
    <col min="2" max="2" width="4" style="9" bestFit="1" customWidth="1"/>
    <col min="3" max="3" width="27.26953125" style="9" customWidth="1"/>
    <col min="4" max="4" width="5.1796875" style="9" customWidth="1"/>
    <col min="5" max="5" width="15.1796875" style="10" customWidth="1"/>
    <col min="6" max="6" width="14.453125" style="10" customWidth="1"/>
    <col min="7" max="7" width="13.54296875" style="10" customWidth="1"/>
    <col min="8" max="19" width="11.1796875" style="10" customWidth="1"/>
    <col min="20" max="20" width="12.1796875" style="10" customWidth="1"/>
    <col min="21" max="21" width="11.1796875" style="10" customWidth="1"/>
    <col min="22" max="22" width="12.7265625" style="9" bestFit="1" customWidth="1"/>
    <col min="23" max="26" width="9.1796875" style="9"/>
    <col min="27" max="27" width="14.7265625" style="9" bestFit="1" customWidth="1"/>
    <col min="28" max="16384" width="9.1796875" style="9"/>
  </cols>
  <sheetData>
    <row r="1" spans="2:23">
      <c r="B1" s="90" t="s">
        <v>495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"/>
    </row>
    <row r="2" spans="2:23">
      <c r="B2" s="90" t="str">
        <f>'Allocation - Factors'!B2</f>
        <v>Year Ended December 31, 2018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"/>
    </row>
    <row r="3" spans="2:23">
      <c r="B3" s="91" t="s">
        <v>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13"/>
      <c r="V3" s="13"/>
      <c r="W3" s="13"/>
    </row>
    <row r="4" spans="2:23">
      <c r="B4" s="90" t="s">
        <v>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"/>
    </row>
    <row r="6" spans="2:23"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0" t="s">
        <v>16</v>
      </c>
      <c r="R6" s="10" t="s">
        <v>89</v>
      </c>
      <c r="S6" s="10" t="s">
        <v>102</v>
      </c>
      <c r="T6" s="10" t="s">
        <v>261</v>
      </c>
      <c r="U6" s="10" t="s">
        <v>262</v>
      </c>
    </row>
    <row r="8" spans="2:23" ht="25">
      <c r="D8" s="11"/>
      <c r="E8" s="12" t="s">
        <v>17</v>
      </c>
      <c r="F8" s="12" t="s">
        <v>351</v>
      </c>
      <c r="G8" s="12" t="s">
        <v>352</v>
      </c>
      <c r="H8" s="12" t="s">
        <v>353</v>
      </c>
      <c r="I8" s="12" t="s">
        <v>354</v>
      </c>
      <c r="J8" s="12" t="s">
        <v>355</v>
      </c>
      <c r="K8" s="12" t="s">
        <v>356</v>
      </c>
      <c r="L8" s="12" t="s">
        <v>357</v>
      </c>
      <c r="M8" s="12" t="s">
        <v>358</v>
      </c>
      <c r="N8" s="12" t="s">
        <v>359</v>
      </c>
      <c r="O8" s="12" t="s">
        <v>360</v>
      </c>
      <c r="P8" s="12" t="s">
        <v>361</v>
      </c>
      <c r="Q8" s="12" t="s">
        <v>362</v>
      </c>
      <c r="R8" s="12" t="s">
        <v>400</v>
      </c>
      <c r="S8" s="12" t="s">
        <v>496</v>
      </c>
      <c r="T8" s="12" t="s">
        <v>294</v>
      </c>
      <c r="U8" s="12" t="s">
        <v>430</v>
      </c>
    </row>
    <row r="10" spans="2:23">
      <c r="E10" s="21"/>
      <c r="F10" s="21"/>
      <c r="G10" s="21"/>
      <c r="H10" s="21"/>
      <c r="I10" s="21"/>
      <c r="J10" s="21"/>
      <c r="K10" s="21"/>
      <c r="L10" s="21"/>
      <c r="M10" s="21"/>
      <c r="O10" s="21"/>
      <c r="P10" s="21"/>
      <c r="Q10" s="21"/>
      <c r="R10" s="21"/>
      <c r="S10" s="21"/>
      <c r="T10" s="21"/>
      <c r="U10" s="21"/>
    </row>
    <row r="11" spans="2:23">
      <c r="B11" s="13" t="s">
        <v>30</v>
      </c>
      <c r="C11" s="9" t="s">
        <v>497</v>
      </c>
      <c r="E11" s="21">
        <f>SUM(F11:T11)</f>
        <v>2970.1702928888399</v>
      </c>
      <c r="F11" s="21">
        <v>1790.0433612914767</v>
      </c>
      <c r="G11" s="21">
        <v>1061.5701060262802</v>
      </c>
      <c r="H11" s="21">
        <v>0</v>
      </c>
      <c r="I11" s="21">
        <v>0</v>
      </c>
      <c r="J11" s="21">
        <v>46.443021364729034</v>
      </c>
      <c r="K11" s="21">
        <v>12.769108837230794</v>
      </c>
      <c r="L11" s="21">
        <v>11.126734675410878</v>
      </c>
      <c r="M11" s="21">
        <v>2.7899351224300335</v>
      </c>
      <c r="N11" s="21">
        <v>3.5185800262270148</v>
      </c>
      <c r="O11" s="21">
        <v>8.8220304429307674</v>
      </c>
      <c r="P11" s="21">
        <v>29.754713999963403</v>
      </c>
      <c r="Q11" s="21">
        <v>5.6454892799999989E-2</v>
      </c>
      <c r="R11" s="21">
        <v>0</v>
      </c>
      <c r="S11" s="21">
        <v>1.8531612325599998</v>
      </c>
      <c r="T11" s="21">
        <v>1.4230849768015583</v>
      </c>
      <c r="U11" s="21"/>
    </row>
    <row r="12" spans="2:23">
      <c r="B12" s="13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2:23">
      <c r="B13" s="13" t="s">
        <v>41</v>
      </c>
      <c r="C13" s="9" t="s">
        <v>498</v>
      </c>
      <c r="E13" s="21">
        <f>SUM(F13:T13)</f>
        <v>-0.65908650339406316</v>
      </c>
      <c r="F13" s="21">
        <v>-0.54577331801586848</v>
      </c>
      <c r="G13" s="21">
        <v>-0.1508196721226559</v>
      </c>
      <c r="H13" s="21">
        <v>0</v>
      </c>
      <c r="I13" s="21">
        <v>0</v>
      </c>
      <c r="J13" s="21">
        <v>-4.0270977538325724E-2</v>
      </c>
      <c r="K13" s="21">
        <v>3.9379014269341012E-2</v>
      </c>
      <c r="L13" s="21">
        <v>0</v>
      </c>
      <c r="M13" s="21">
        <v>1.5828541467133555E-3</v>
      </c>
      <c r="N13" s="21">
        <v>2.5717150196994453E-2</v>
      </c>
      <c r="O13" s="21">
        <v>1.1098445669738112E-2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/>
    </row>
    <row r="14" spans="2:23">
      <c r="B14" s="13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spans="2:23">
      <c r="B15" s="13" t="s">
        <v>64</v>
      </c>
      <c r="C15" s="9" t="s">
        <v>122</v>
      </c>
      <c r="E15" s="21">
        <f>SUM(F15:U15)-0.01*0</f>
        <v>2986.9078541854469</v>
      </c>
      <c r="F15" s="21">
        <f t="shared" ref="F15:T15" si="0">F13+F11</f>
        <v>1789.4975879734609</v>
      </c>
      <c r="G15" s="21">
        <f t="shared" si="0"/>
        <v>1061.4192863541575</v>
      </c>
      <c r="H15" s="21">
        <f t="shared" si="0"/>
        <v>0</v>
      </c>
      <c r="I15" s="21">
        <f t="shared" si="0"/>
        <v>0</v>
      </c>
      <c r="J15" s="21">
        <f t="shared" si="0"/>
        <v>46.402750387190707</v>
      </c>
      <c r="K15" s="21">
        <f t="shared" si="0"/>
        <v>12.808487851500136</v>
      </c>
      <c r="L15" s="21">
        <f t="shared" si="0"/>
        <v>11.126734675410878</v>
      </c>
      <c r="M15" s="21">
        <f t="shared" si="0"/>
        <v>2.7915179765767468</v>
      </c>
      <c r="N15" s="21">
        <f t="shared" si="0"/>
        <v>3.5442971764240094</v>
      </c>
      <c r="O15" s="21">
        <f t="shared" si="0"/>
        <v>8.8331288886005055</v>
      </c>
      <c r="P15" s="21">
        <f t="shared" si="0"/>
        <v>29.754713999963403</v>
      </c>
      <c r="Q15" s="21">
        <f t="shared" si="0"/>
        <v>5.6454892799999989E-2</v>
      </c>
      <c r="R15" s="21">
        <f t="shared" si="0"/>
        <v>0</v>
      </c>
      <c r="S15" s="21">
        <f t="shared" si="0"/>
        <v>1.8531612325599998</v>
      </c>
      <c r="T15" s="21">
        <f t="shared" si="0"/>
        <v>1.4230849768015583</v>
      </c>
      <c r="U15" s="21">
        <f>+'Allocation - COS wout GTA'!V86</f>
        <v>17.3966478</v>
      </c>
    </row>
    <row r="16" spans="2:23">
      <c r="B16" s="13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2:21">
      <c r="B17" s="13" t="s">
        <v>66</v>
      </c>
      <c r="C17" s="9" t="s">
        <v>142</v>
      </c>
      <c r="E17" s="21">
        <f>SUM(F17:U17)</f>
        <v>2986.9253997154556</v>
      </c>
      <c r="F17" s="21">
        <f>'Allocation - COS wout GTA'!H88</f>
        <v>1778.454435807248</v>
      </c>
      <c r="G17" s="21">
        <f>'Allocation - COS wout GTA'!I88</f>
        <v>1066.6359449541192</v>
      </c>
      <c r="H17" s="21">
        <f>'Allocation - COS wout GTA'!J88</f>
        <v>3.6512954516867559E-3</v>
      </c>
      <c r="I17" s="21">
        <f>'Allocation - COS wout GTA'!K88</f>
        <v>1.5852783866721265E-9</v>
      </c>
      <c r="J17" s="21">
        <f>'Allocation - COS wout GTA'!L88</f>
        <v>46.889483932831723</v>
      </c>
      <c r="K17" s="21">
        <f>'Allocation - COS wout GTA'!M88</f>
        <v>13.112465473105766</v>
      </c>
      <c r="L17" s="21">
        <f>'Allocation - COS wout GTA'!N88</f>
        <v>11.610334229986528</v>
      </c>
      <c r="M17" s="21">
        <f>'Allocation - COS wout GTA'!O88</f>
        <v>3.1062606555997414</v>
      </c>
      <c r="N17" s="21">
        <f>'Allocation - COS wout GTA'!P88</f>
        <v>5.7388740985563018</v>
      </c>
      <c r="O17" s="21">
        <f>'Allocation - COS wout GTA'!Q88</f>
        <v>10.922377319160042</v>
      </c>
      <c r="P17" s="21">
        <f>'Allocation - COS wout GTA'!R88</f>
        <v>29.710548199252663</v>
      </c>
      <c r="Q17" s="21">
        <f>'Allocation - COS wout GTA'!S88</f>
        <v>0.10058765553161511</v>
      </c>
      <c r="R17" s="21">
        <f>'Allocation - COS wout GTA'!T88</f>
        <v>0</v>
      </c>
      <c r="S17" s="21">
        <v>1.8467801207670276</v>
      </c>
      <c r="T17" s="21">
        <f>'Allocation - COS wout GTA'!U88</f>
        <v>1.4234759722603749</v>
      </c>
      <c r="U17" s="21">
        <f>'Allocation - GTA COS'!C32</f>
        <v>17.370179999999998</v>
      </c>
    </row>
    <row r="18" spans="2:21">
      <c r="B18" s="13"/>
      <c r="C18" s="11"/>
      <c r="D18" s="11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2:21">
      <c r="B19" s="13"/>
      <c r="E19" s="21"/>
      <c r="F19" s="21"/>
      <c r="G19" s="21"/>
      <c r="H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2:21">
      <c r="B20" s="13" t="s">
        <v>68</v>
      </c>
      <c r="C20" s="9" t="s">
        <v>499</v>
      </c>
      <c r="E20" s="63">
        <f>SUM(F20:U20)</f>
        <v>-1.7545530009600213E-2</v>
      </c>
      <c r="F20" s="21">
        <f t="shared" ref="F20:U20" si="1">F15-F17</f>
        <v>11.043152166212849</v>
      </c>
      <c r="G20" s="21">
        <f t="shared" si="1"/>
        <v>-5.2166585999616473</v>
      </c>
      <c r="H20" s="21">
        <f t="shared" si="1"/>
        <v>-3.6512954516867559E-3</v>
      </c>
      <c r="I20" s="21">
        <f t="shared" si="1"/>
        <v>-1.5852783866721265E-9</v>
      </c>
      <c r="J20" s="21">
        <f t="shared" si="1"/>
        <v>-0.48673354564101601</v>
      </c>
      <c r="K20" s="21">
        <f t="shared" si="1"/>
        <v>-0.30397762160563069</v>
      </c>
      <c r="L20" s="21">
        <f t="shared" si="1"/>
        <v>-0.48359955457564929</v>
      </c>
      <c r="M20" s="21">
        <f t="shared" si="1"/>
        <v>-0.31474267902299458</v>
      </c>
      <c r="N20" s="21">
        <f t="shared" si="1"/>
        <v>-2.1945769221322924</v>
      </c>
      <c r="O20" s="21">
        <f t="shared" si="1"/>
        <v>-2.089248430559536</v>
      </c>
      <c r="P20" s="21">
        <f t="shared" si="1"/>
        <v>4.4165800710739944E-2</v>
      </c>
      <c r="Q20" s="21">
        <f t="shared" si="1"/>
        <v>-4.4132762731615122E-2</v>
      </c>
      <c r="R20" s="21">
        <f t="shared" si="1"/>
        <v>0</v>
      </c>
      <c r="S20" s="21">
        <f t="shared" si="1"/>
        <v>6.3811117929721828E-3</v>
      </c>
      <c r="T20" s="21">
        <f t="shared" si="1"/>
        <v>-3.9099545881660092E-4</v>
      </c>
      <c r="U20" s="21">
        <f t="shared" si="1"/>
        <v>2.6467800000002484E-2</v>
      </c>
    </row>
    <row r="21" spans="2:21">
      <c r="B21" s="13"/>
      <c r="E21" s="21"/>
      <c r="F21" s="21"/>
      <c r="G21" s="21"/>
      <c r="H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2:21" ht="14.5" hidden="1">
      <c r="B22" s="13" t="s">
        <v>99</v>
      </c>
      <c r="C22" s="9" t="s">
        <v>500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2:21" hidden="1">
      <c r="B23" s="13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2:21" hidden="1">
      <c r="B24" s="13" t="s">
        <v>78</v>
      </c>
      <c r="C24" s="9" t="s">
        <v>384</v>
      </c>
      <c r="E24" s="21"/>
      <c r="F24" s="21">
        <f>'Allocation - Rate Base'!F73</f>
        <v>3843.0927202052458</v>
      </c>
      <c r="G24" s="21">
        <f>'Allocation - Rate Base'!G73</f>
        <v>1637.3983511202064</v>
      </c>
      <c r="H24" s="21">
        <f>'Allocation - Rate Base'!H73</f>
        <v>0</v>
      </c>
      <c r="I24" s="21">
        <f>'Allocation - Rate Base'!I73</f>
        <v>4.8548256792162444E-9</v>
      </c>
      <c r="J24" s="21">
        <f>'Allocation - Rate Base'!J73</f>
        <v>70.161905570384505</v>
      </c>
      <c r="K24" s="21">
        <f>'Allocation - Rate Base'!K73</f>
        <v>25.743716840720769</v>
      </c>
      <c r="L24" s="21">
        <f>'Allocation - Rate Base'!L73</f>
        <v>56.369837606922516</v>
      </c>
      <c r="M24" s="21">
        <f>'Allocation - Rate Base'!M73</f>
        <v>3.223585049724226</v>
      </c>
      <c r="N24" s="21">
        <f>'Allocation - Rate Base'!N73</f>
        <v>5.7703010874024674</v>
      </c>
      <c r="O24" s="21">
        <f>'Allocation - Rate Base'!O73</f>
        <v>8.0877248991694302</v>
      </c>
      <c r="P24" s="21">
        <f>'Allocation - Rate Base'!P73</f>
        <v>14.640944867644953</v>
      </c>
      <c r="Q24" s="21">
        <f>'Allocation - Rate Base'!Q73</f>
        <v>0.4485617888209647</v>
      </c>
      <c r="R24" s="21">
        <f>'Allocation - Rate Base'!R73</f>
        <v>0</v>
      </c>
      <c r="S24" s="21">
        <f>'Allocation - Rate Base'!S73</f>
        <v>0</v>
      </c>
      <c r="T24" s="21">
        <f>'Allocation - Rate Base'!S73</f>
        <v>0</v>
      </c>
      <c r="U24" s="21">
        <f>'Allocation - Rate Base'!T73</f>
        <v>0</v>
      </c>
    </row>
    <row r="25" spans="2:21" hidden="1">
      <c r="B25" s="13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2:21" hidden="1">
      <c r="B26" s="13" t="s">
        <v>80</v>
      </c>
      <c r="C26" s="9" t="s">
        <v>501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2:21" hidden="1">
      <c r="B27" s="13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</row>
    <row r="28" spans="2:21">
      <c r="B28" s="13" t="s">
        <v>99</v>
      </c>
      <c r="C28" s="9" t="s">
        <v>502</v>
      </c>
      <c r="E28" s="25"/>
      <c r="F28" s="25">
        <f t="shared" ref="F28:T28" si="2">F15/F17</f>
        <v>1.0062094096671081</v>
      </c>
      <c r="G28" s="25">
        <f t="shared" si="2"/>
        <v>0.9951092417008448</v>
      </c>
      <c r="H28" s="25">
        <f t="shared" si="2"/>
        <v>0</v>
      </c>
      <c r="I28" s="25">
        <f t="shared" si="2"/>
        <v>0</v>
      </c>
      <c r="J28" s="25">
        <f t="shared" si="2"/>
        <v>0.98961955848483529</v>
      </c>
      <c r="K28" s="25">
        <f t="shared" si="2"/>
        <v>0.97681766085644972</v>
      </c>
      <c r="L28" s="25">
        <f t="shared" si="2"/>
        <v>0.95834749069267655</v>
      </c>
      <c r="M28" s="25">
        <f t="shared" si="2"/>
        <v>0.89867473663048869</v>
      </c>
      <c r="N28" s="25">
        <f t="shared" si="2"/>
        <v>0.6175945168958541</v>
      </c>
      <c r="O28" s="25">
        <f t="shared" si="2"/>
        <v>0.80871852624111651</v>
      </c>
      <c r="P28" s="25">
        <f t="shared" si="2"/>
        <v>1.0014865360414942</v>
      </c>
      <c r="Q28" s="25">
        <f t="shared" si="2"/>
        <v>0.56125070717306846</v>
      </c>
      <c r="R28" s="25">
        <v>0</v>
      </c>
      <c r="S28" s="25">
        <f t="shared" si="2"/>
        <v>1.0034552634183229</v>
      </c>
      <c r="T28" s="25">
        <f t="shared" si="2"/>
        <v>0.99972532345720189</v>
      </c>
      <c r="U28" s="25"/>
    </row>
    <row r="29" spans="2:21" ht="13" thickBot="1">
      <c r="B29" s="26"/>
      <c r="C29" s="26"/>
      <c r="D29" s="26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</row>
    <row r="30" spans="2:21" ht="13" thickTop="1"/>
    <row r="32" spans="2:21">
      <c r="G32" s="21"/>
      <c r="H32" s="21"/>
    </row>
    <row r="37" spans="2:21">
      <c r="B37" s="90" t="s">
        <v>495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"/>
    </row>
    <row r="38" spans="2:21" ht="17.5" customHeight="1">
      <c r="B38" s="90" t="s">
        <v>503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"/>
    </row>
    <row r="39" spans="2:21">
      <c r="B39" s="90" t="str">
        <f>B2</f>
        <v>Year Ended December 31, 2018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"/>
    </row>
    <row r="40" spans="2:21">
      <c r="B40" s="91" t="s">
        <v>2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"/>
    </row>
    <row r="41" spans="2:21">
      <c r="B41" s="90" t="s">
        <v>3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"/>
    </row>
    <row r="43" spans="2:21">
      <c r="E43" s="10" t="s">
        <v>4</v>
      </c>
      <c r="F43" s="10" t="s">
        <v>5</v>
      </c>
      <c r="G43" s="10" t="s">
        <v>6</v>
      </c>
      <c r="H43" s="10" t="s">
        <v>7</v>
      </c>
      <c r="I43" s="10" t="s">
        <v>8</v>
      </c>
      <c r="J43" s="10" t="s">
        <v>9</v>
      </c>
      <c r="K43" s="10" t="s">
        <v>10</v>
      </c>
      <c r="L43" s="10" t="s">
        <v>11</v>
      </c>
      <c r="M43" s="10" t="s">
        <v>12</v>
      </c>
      <c r="N43" s="10" t="s">
        <v>13</v>
      </c>
      <c r="O43" s="10" t="s">
        <v>14</v>
      </c>
      <c r="P43" s="10" t="s">
        <v>15</v>
      </c>
      <c r="Q43" s="10" t="s">
        <v>16</v>
      </c>
      <c r="R43" s="10" t="s">
        <v>89</v>
      </c>
      <c r="S43" s="10" t="s">
        <v>102</v>
      </c>
      <c r="T43" s="10" t="s">
        <v>261</v>
      </c>
      <c r="U43" s="10" t="s">
        <v>262</v>
      </c>
    </row>
    <row r="45" spans="2:21" ht="25">
      <c r="D45" s="11"/>
      <c r="E45" s="12" t="s">
        <v>17</v>
      </c>
      <c r="F45" s="12" t="s">
        <v>351</v>
      </c>
      <c r="G45" s="12" t="s">
        <v>352</v>
      </c>
      <c r="H45" s="12" t="s">
        <v>353</v>
      </c>
      <c r="I45" s="12" t="s">
        <v>354</v>
      </c>
      <c r="J45" s="12" t="s">
        <v>355</v>
      </c>
      <c r="K45" s="12" t="s">
        <v>356</v>
      </c>
      <c r="L45" s="12" t="s">
        <v>357</v>
      </c>
      <c r="M45" s="12" t="s">
        <v>358</v>
      </c>
      <c r="N45" s="12" t="s">
        <v>359</v>
      </c>
      <c r="O45" s="12" t="s">
        <v>360</v>
      </c>
      <c r="P45" s="12" t="s">
        <v>361</v>
      </c>
      <c r="Q45" s="12" t="s">
        <v>362</v>
      </c>
      <c r="R45" s="12" t="s">
        <v>400</v>
      </c>
      <c r="S45" s="12" t="s">
        <v>496</v>
      </c>
      <c r="T45" s="12" t="s">
        <v>294</v>
      </c>
      <c r="U45" s="12" t="s">
        <v>430</v>
      </c>
    </row>
    <row r="47" spans="2:21">
      <c r="E47" s="21"/>
      <c r="F47" s="21"/>
      <c r="G47" s="21"/>
      <c r="H47" s="21"/>
      <c r="I47" s="21"/>
      <c r="J47" s="21"/>
      <c r="K47" s="21"/>
      <c r="L47" s="21"/>
      <c r="M47" s="21"/>
      <c r="O47" s="21"/>
      <c r="P47" s="21"/>
      <c r="Q47" s="21"/>
      <c r="R47" s="21"/>
      <c r="S47" s="21"/>
      <c r="T47" s="21"/>
      <c r="U47" s="21"/>
    </row>
    <row r="48" spans="2:21">
      <c r="B48" s="13" t="s">
        <v>30</v>
      </c>
      <c r="C48" s="9" t="s">
        <v>497</v>
      </c>
      <c r="E48" s="21">
        <f>SUM(F48:T48)</f>
        <v>2010.6024887040926</v>
      </c>
      <c r="F48" s="21">
        <v>1237.1589024658847</v>
      </c>
      <c r="G48" s="21">
        <v>684.79200571703143</v>
      </c>
      <c r="H48" s="21">
        <v>0</v>
      </c>
      <c r="I48" s="21">
        <v>0</v>
      </c>
      <c r="J48" s="21">
        <v>39.676019063171587</v>
      </c>
      <c r="K48" s="21">
        <v>12.769108837230794</v>
      </c>
      <c r="L48" s="21">
        <v>11.126734675410878</v>
      </c>
      <c r="M48" s="21">
        <v>2.2521472066707195</v>
      </c>
      <c r="N48" s="21">
        <v>2.4879799076280849</v>
      </c>
      <c r="O48" s="21">
        <v>4.6799033993990218</v>
      </c>
      <c r="P48" s="21">
        <v>14.180147562063402</v>
      </c>
      <c r="Q48" s="21">
        <v>5.6454892799999989E-2</v>
      </c>
      <c r="R48" s="21">
        <v>0</v>
      </c>
      <c r="S48" s="21"/>
      <c r="T48" s="21">
        <v>1.4230849768015583</v>
      </c>
      <c r="U48" s="21"/>
    </row>
    <row r="49" spans="2:21">
      <c r="B49" s="13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spans="2:21">
      <c r="B50" s="13" t="s">
        <v>41</v>
      </c>
      <c r="C50" s="9" t="s">
        <v>498</v>
      </c>
      <c r="E50" s="21">
        <f>SUM(F50:T50)</f>
        <v>-0.65908650339406316</v>
      </c>
      <c r="F50" s="21">
        <v>-0.54577331801586848</v>
      </c>
      <c r="G50" s="21">
        <v>-0.1508196721226559</v>
      </c>
      <c r="H50" s="21">
        <v>0</v>
      </c>
      <c r="I50" s="21">
        <v>0</v>
      </c>
      <c r="J50" s="21">
        <v>-4.0270977538325724E-2</v>
      </c>
      <c r="K50" s="21">
        <v>3.9379014269341012E-2</v>
      </c>
      <c r="L50" s="21">
        <v>0</v>
      </c>
      <c r="M50" s="21">
        <v>1.5828541467133555E-3</v>
      </c>
      <c r="N50" s="21">
        <v>2.5717150196994453E-2</v>
      </c>
      <c r="O50" s="21">
        <v>1.1098445669738112E-2</v>
      </c>
      <c r="P50" s="21">
        <v>0</v>
      </c>
      <c r="Q50" s="21">
        <v>0</v>
      </c>
      <c r="R50" s="21">
        <v>0</v>
      </c>
      <c r="S50" s="21"/>
      <c r="T50" s="21">
        <v>0</v>
      </c>
      <c r="U50" s="21"/>
    </row>
    <row r="51" spans="2:21">
      <c r="B51" s="13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spans="2:21">
      <c r="B52" s="13" t="s">
        <v>64</v>
      </c>
      <c r="C52" s="9" t="s">
        <v>122</v>
      </c>
      <c r="E52" s="21">
        <f>SUM(F52:U52)</f>
        <v>2027.3400500006981</v>
      </c>
      <c r="F52" s="21">
        <f t="shared" ref="F52:R52" si="3">F50+F48</f>
        <v>1236.6131291478689</v>
      </c>
      <c r="G52" s="21">
        <f t="shared" si="3"/>
        <v>684.64118604490875</v>
      </c>
      <c r="H52" s="21">
        <f t="shared" si="3"/>
        <v>0</v>
      </c>
      <c r="I52" s="21">
        <f t="shared" si="3"/>
        <v>0</v>
      </c>
      <c r="J52" s="21">
        <f t="shared" si="3"/>
        <v>39.63574808563326</v>
      </c>
      <c r="K52" s="21">
        <f t="shared" si="3"/>
        <v>12.808487851500136</v>
      </c>
      <c r="L52" s="21">
        <f t="shared" si="3"/>
        <v>11.126734675410878</v>
      </c>
      <c r="M52" s="21">
        <f t="shared" si="3"/>
        <v>2.2537300608174329</v>
      </c>
      <c r="N52" s="21">
        <f t="shared" si="3"/>
        <v>2.5136970578250795</v>
      </c>
      <c r="O52" s="21">
        <f t="shared" si="3"/>
        <v>4.6910018450687598</v>
      </c>
      <c r="P52" s="21">
        <f t="shared" si="3"/>
        <v>14.180147562063402</v>
      </c>
      <c r="Q52" s="21">
        <f t="shared" si="3"/>
        <v>5.6454892799999989E-2</v>
      </c>
      <c r="R52" s="21">
        <f t="shared" si="3"/>
        <v>0</v>
      </c>
      <c r="S52" s="21"/>
      <c r="T52" s="21">
        <f>T50+T48</f>
        <v>1.4230849768015583</v>
      </c>
      <c r="U52" s="21">
        <f>+U15</f>
        <v>17.3966478</v>
      </c>
    </row>
    <row r="53" spans="2:21">
      <c r="B53" s="13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spans="2:21">
      <c r="B54" s="13" t="s">
        <v>66</v>
      </c>
      <c r="C54" s="9" t="s">
        <v>142</v>
      </c>
      <c r="E54" s="21">
        <f>SUM(F54:U54)</f>
        <v>2027.3654973459127</v>
      </c>
      <c r="F54" s="21">
        <f>'Allocation - COS wout GTA'!H88-'Allocation - COS wout GTA'!H18-'Allocation - Return &amp; Taxes'!G17</f>
        <v>1225.5718681793219</v>
      </c>
      <c r="G54" s="21">
        <f>'Allocation - COS wout GTA'!I88-'Allocation - COS wout GTA'!I18-'Allocation - Return &amp; Taxes'!H17</f>
        <v>689.85749609968434</v>
      </c>
      <c r="H54" s="21">
        <f>'Allocation - COS wout GTA'!J88-'Allocation - COS wout GTA'!J18-'Allocation - Return &amp; Taxes'!I17</f>
        <v>3.6512954516867559E-3</v>
      </c>
      <c r="I54" s="21">
        <f>'Allocation - COS wout GTA'!K88-'Allocation - COS wout GTA'!K18-'Allocation - Return &amp; Taxes'!J17</f>
        <v>1.5852783866721265E-9</v>
      </c>
      <c r="J54" s="21">
        <f>'Allocation - COS wout GTA'!L88-'Allocation - COS wout GTA'!L18-'Allocation - Return &amp; Taxes'!K17</f>
        <v>40.122475062884305</v>
      </c>
      <c r="K54" s="21">
        <f>'Allocation - COS wout GTA'!M88-'Allocation - COS wout GTA'!M18-'Allocation - Return &amp; Taxes'!L17</f>
        <v>13.112465473105766</v>
      </c>
      <c r="L54" s="21">
        <f>'Allocation - COS wout GTA'!N88-'Allocation - COS wout GTA'!N18-'Allocation - Return &amp; Taxes'!M17</f>
        <v>11.610334229986528</v>
      </c>
      <c r="M54" s="21">
        <f>'Allocation - COS wout GTA'!O88-'Allocation - COS wout GTA'!O18-'Allocation - Return &amp; Taxes'!N17</f>
        <v>2.5684727884512397</v>
      </c>
      <c r="N54" s="21">
        <f>'Allocation - COS wout GTA'!P88-'Allocation - COS wout GTA'!P18-'Allocation - Return &amp; Taxes'!O17</f>
        <v>4.708277688674861</v>
      </c>
      <c r="O54" s="21">
        <f>'Allocation - COS wout GTA'!Q88-'Allocation - COS wout GTA'!Q18-'Allocation - Return &amp; Taxes'!P17</f>
        <v>6.7802462550731786</v>
      </c>
      <c r="P54" s="21">
        <f>'Allocation - COS wout GTA'!R88-'Allocation - COS wout GTA'!R18-'Allocation - Return &amp; Taxes'!Q17</f>
        <v>14.135966643901623</v>
      </c>
      <c r="Q54" s="21">
        <f>'Allocation - COS wout GTA'!S88-'Allocation - COS wout GTA'!S18-'Allocation - Return &amp; Taxes'!R17</f>
        <v>0.10058765553161511</v>
      </c>
      <c r="R54" s="21">
        <f>'Allocation - COS wout GTA'!T88-'Allocation - COS wout GTA'!T18-'Allocation - Return &amp; Taxes'!S17</f>
        <v>0</v>
      </c>
      <c r="S54" s="21"/>
      <c r="T54" s="21">
        <f>'Allocation - COS wout GTA'!U88-'Allocation - COS wout GTA'!U18-'Allocation - Return &amp; Taxes'!T17</f>
        <v>1.4234759722603749</v>
      </c>
      <c r="U54" s="21">
        <f>U17</f>
        <v>17.370179999999998</v>
      </c>
    </row>
    <row r="55" spans="2:21">
      <c r="B55" s="13"/>
      <c r="C55" s="11"/>
      <c r="D55" s="11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</row>
    <row r="56" spans="2:21">
      <c r="B56" s="13"/>
      <c r="E56" s="21"/>
      <c r="F56" s="21"/>
      <c r="G56" s="21"/>
      <c r="H56" s="21"/>
      <c r="L56" s="21"/>
      <c r="M56" s="21"/>
      <c r="N56" s="21"/>
      <c r="O56" s="21"/>
      <c r="P56" s="21"/>
      <c r="Q56" s="21"/>
      <c r="R56" s="21"/>
      <c r="S56" s="21"/>
      <c r="T56" s="21"/>
      <c r="U56" s="21"/>
    </row>
    <row r="57" spans="2:21">
      <c r="B57" s="13" t="s">
        <v>68</v>
      </c>
      <c r="C57" s="9" t="s">
        <v>499</v>
      </c>
      <c r="E57" s="63">
        <f>SUM(F57:U57)</f>
        <v>-2.5447345214516831E-2</v>
      </c>
      <c r="F57" s="21">
        <f t="shared" ref="F57:R57" si="4">F52-F54</f>
        <v>11.041260968547022</v>
      </c>
      <c r="G57" s="21">
        <f t="shared" si="4"/>
        <v>-5.2163100547755903</v>
      </c>
      <c r="H57" s="21">
        <f t="shared" si="4"/>
        <v>-3.6512954516867559E-3</v>
      </c>
      <c r="I57" s="21">
        <f t="shared" si="4"/>
        <v>-1.5852783866721265E-9</v>
      </c>
      <c r="J57" s="21">
        <f t="shared" si="4"/>
        <v>-0.48672697725104541</v>
      </c>
      <c r="K57" s="21">
        <f t="shared" si="4"/>
        <v>-0.30397762160563069</v>
      </c>
      <c r="L57" s="21">
        <f t="shared" si="4"/>
        <v>-0.48359955457564929</v>
      </c>
      <c r="M57" s="21">
        <f t="shared" si="4"/>
        <v>-0.31474272763380684</v>
      </c>
      <c r="N57" s="21">
        <f t="shared" si="4"/>
        <v>-2.1945806308497815</v>
      </c>
      <c r="O57" s="21">
        <f t="shared" si="4"/>
        <v>-2.0892444100044187</v>
      </c>
      <c r="P57" s="21">
        <f t="shared" si="4"/>
        <v>4.4180918161778493E-2</v>
      </c>
      <c r="Q57" s="21">
        <f t="shared" si="4"/>
        <v>-4.4132762731615122E-2</v>
      </c>
      <c r="R57" s="21">
        <f t="shared" si="4"/>
        <v>0</v>
      </c>
      <c r="S57" s="21"/>
      <c r="T57" s="21">
        <f>T52-T54</f>
        <v>-3.9099545881660092E-4</v>
      </c>
      <c r="U57" s="21">
        <f>U52-U54</f>
        <v>2.6467800000002484E-2</v>
      </c>
    </row>
    <row r="58" spans="2:21">
      <c r="B58" s="13"/>
      <c r="E58" s="21"/>
      <c r="F58" s="21"/>
      <c r="G58" s="21"/>
      <c r="H58" s="21"/>
      <c r="L58" s="21"/>
      <c r="M58" s="21"/>
      <c r="N58" s="21"/>
      <c r="O58" s="21"/>
      <c r="P58" s="21"/>
      <c r="Q58" s="21"/>
      <c r="R58" s="21"/>
      <c r="S58" s="21"/>
      <c r="T58" s="21"/>
      <c r="U58" s="21"/>
    </row>
    <row r="59" spans="2:21" ht="14.5" hidden="1">
      <c r="B59" s="13" t="s">
        <v>99</v>
      </c>
      <c r="C59" s="9" t="s">
        <v>500</v>
      </c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</row>
    <row r="60" spans="2:21" hidden="1">
      <c r="B60" s="13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</row>
    <row r="61" spans="2:21" hidden="1">
      <c r="B61" s="13" t="s">
        <v>78</v>
      </c>
      <c r="C61" s="9" t="s">
        <v>384</v>
      </c>
      <c r="E61" s="21"/>
      <c r="F61" s="21">
        <f>'Allocation - Rate Base'!F110</f>
        <v>0</v>
      </c>
      <c r="G61" s="21">
        <f>'Allocation - Rate Base'!G110</f>
        <v>0</v>
      </c>
      <c r="H61" s="21">
        <f>'Allocation - Rate Base'!H110</f>
        <v>0</v>
      </c>
      <c r="I61" s="21">
        <f>'Allocation - Rate Base'!I110</f>
        <v>0</v>
      </c>
      <c r="J61" s="21">
        <f>'Allocation - Rate Base'!J110</f>
        <v>0</v>
      </c>
      <c r="K61" s="21">
        <f>'Allocation - Rate Base'!K110</f>
        <v>0</v>
      </c>
      <c r="L61" s="21">
        <f>'Allocation - Rate Base'!L110</f>
        <v>0</v>
      </c>
      <c r="M61" s="21">
        <f>'Allocation - Rate Base'!M110</f>
        <v>0</v>
      </c>
      <c r="N61" s="21">
        <f>'Allocation - Rate Base'!N110</f>
        <v>0</v>
      </c>
      <c r="O61" s="21">
        <f>'Allocation - Rate Base'!O110</f>
        <v>0</v>
      </c>
      <c r="P61" s="21">
        <f>'Allocation - Rate Base'!P110</f>
        <v>0</v>
      </c>
      <c r="Q61" s="21">
        <f>'Allocation - Rate Base'!Q110</f>
        <v>0</v>
      </c>
      <c r="R61" s="21">
        <f>'Allocation - Rate Base'!R110</f>
        <v>0</v>
      </c>
      <c r="S61" s="21"/>
      <c r="T61" s="21">
        <f>'Allocation - Rate Base'!S110</f>
        <v>0</v>
      </c>
      <c r="U61" s="21">
        <f>'Allocation - Rate Base'!T110</f>
        <v>0</v>
      </c>
    </row>
    <row r="62" spans="2:21" hidden="1">
      <c r="B62" s="13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spans="2:21" hidden="1">
      <c r="B63" s="13" t="s">
        <v>80</v>
      </c>
      <c r="C63" s="9" t="s">
        <v>501</v>
      </c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</row>
    <row r="64" spans="2:21" hidden="1">
      <c r="B64" s="13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</row>
    <row r="65" spans="2:21">
      <c r="B65" s="13" t="s">
        <v>99</v>
      </c>
      <c r="C65" s="9" t="s">
        <v>502</v>
      </c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</row>
    <row r="66" spans="2:21" ht="13" thickBot="1">
      <c r="B66" s="26"/>
      <c r="C66" s="26"/>
      <c r="D66" s="26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</row>
    <row r="67" spans="2:21" ht="13" thickTop="1"/>
    <row r="69" spans="2:21">
      <c r="G69" s="21"/>
      <c r="H69" s="21"/>
    </row>
  </sheetData>
  <mergeCells count="9">
    <mergeCell ref="B39:T39"/>
    <mergeCell ref="B40:T40"/>
    <mergeCell ref="B41:T41"/>
    <mergeCell ref="B38:T38"/>
    <mergeCell ref="B1:T1"/>
    <mergeCell ref="B2:T2"/>
    <mergeCell ref="B3:T3"/>
    <mergeCell ref="B4:T4"/>
    <mergeCell ref="B37:T37"/>
  </mergeCells>
  <pageMargins left="0.7" right="0.7" top="0.75" bottom="0.75" header="0.3" footer="0.3"/>
  <pageSetup scale="61" orientation="portrait" r:id="rId1"/>
  <headerFooter>
    <oddHeader>&amp;R&amp;"Arial,Regular"&amp;10Filed: 2023-03-08
EB-2022-0200
Exhibit I.7.1-VECC-62
Attachment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50"/>
  <sheetViews>
    <sheetView zoomScale="94" zoomScaleNormal="94" workbookViewId="0">
      <pane ySplit="9" topLeftCell="A10" activePane="bottomLeft" state="frozen"/>
      <selection pane="bottomLeft"/>
    </sheetView>
  </sheetViews>
  <sheetFormatPr defaultColWidth="9.1796875" defaultRowHeight="12.5"/>
  <cols>
    <col min="1" max="1" width="4.1796875" style="9" customWidth="1"/>
    <col min="2" max="2" width="4.54296875" style="9" bestFit="1" customWidth="1"/>
    <col min="3" max="3" width="25.54296875" style="9" bestFit="1" customWidth="1"/>
    <col min="4" max="4" width="5.1796875" style="9" customWidth="1"/>
    <col min="5" max="5" width="11.1796875" style="10" customWidth="1"/>
    <col min="6" max="6" width="5.1796875" style="10" hidden="1" customWidth="1"/>
    <col min="7" max="16" width="11.1796875" style="10" customWidth="1"/>
    <col min="17" max="17" width="12.54296875" style="10" customWidth="1"/>
    <col min="18" max="19" width="11.1796875" style="10" customWidth="1"/>
    <col min="20" max="20" width="11.1796875" style="9" customWidth="1"/>
    <col min="21" max="16384" width="9.1796875" style="9"/>
  </cols>
  <sheetData>
    <row r="1" spans="1:20">
      <c r="C1" s="90" t="s">
        <v>87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20">
      <c r="C2" s="90" t="s">
        <v>101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20">
      <c r="C3" s="90" t="str">
        <f>'Function - Factors'!C2</f>
        <v>Year Ended December 31, 2018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20">
      <c r="C4" s="91" t="s">
        <v>2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20">
      <c r="C5" s="90" t="s">
        <v>3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</row>
    <row r="7" spans="1:20">
      <c r="E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0" t="s">
        <v>9</v>
      </c>
      <c r="L7" s="10" t="s">
        <v>10</v>
      </c>
      <c r="M7" s="10" t="s">
        <v>11</v>
      </c>
      <c r="N7" s="10" t="s">
        <v>12</v>
      </c>
      <c r="O7" s="10" t="s">
        <v>13</v>
      </c>
      <c r="P7" s="10" t="s">
        <v>14</v>
      </c>
      <c r="Q7" s="10" t="s">
        <v>15</v>
      </c>
      <c r="R7" s="10" t="s">
        <v>16</v>
      </c>
      <c r="S7" s="10" t="s">
        <v>89</v>
      </c>
      <c r="T7" s="10" t="s">
        <v>102</v>
      </c>
    </row>
    <row r="8" spans="1:20">
      <c r="T8" s="10"/>
    </row>
    <row r="9" spans="1:20" ht="37.5">
      <c r="D9" s="11"/>
      <c r="E9" s="12" t="s">
        <v>103</v>
      </c>
      <c r="F9" s="12"/>
      <c r="G9" s="12" t="s">
        <v>18</v>
      </c>
      <c r="H9" s="12" t="s">
        <v>19</v>
      </c>
      <c r="I9" s="12" t="s">
        <v>20</v>
      </c>
      <c r="J9" s="12" t="s">
        <v>21</v>
      </c>
      <c r="K9" s="12" t="s">
        <v>22</v>
      </c>
      <c r="L9" s="12" t="s">
        <v>23</v>
      </c>
      <c r="M9" s="12" t="s">
        <v>24</v>
      </c>
      <c r="N9" s="12" t="s">
        <v>25</v>
      </c>
      <c r="O9" s="12" t="s">
        <v>26</v>
      </c>
      <c r="P9" s="12" t="s">
        <v>27</v>
      </c>
      <c r="Q9" s="12" t="s">
        <v>28</v>
      </c>
      <c r="R9" s="12" t="s">
        <v>29</v>
      </c>
      <c r="S9" s="12" t="s">
        <v>91</v>
      </c>
      <c r="T9" s="12" t="s">
        <v>93</v>
      </c>
    </row>
    <row r="10" spans="1:20" ht="16.5" customHeight="1">
      <c r="T10" s="10"/>
    </row>
    <row r="11" spans="1:20" ht="16.5" customHeight="1">
      <c r="A11" s="24"/>
      <c r="B11" s="13" t="s">
        <v>30</v>
      </c>
      <c r="C11" s="9" t="s">
        <v>18</v>
      </c>
      <c r="E11" s="21">
        <v>1.5578000000000001</v>
      </c>
      <c r="F11" s="21"/>
      <c r="G11" s="21">
        <f>$E$11*'Function - Factors'!G10</f>
        <v>0</v>
      </c>
      <c r="H11" s="21">
        <f>$E$11*'Function - Factors'!H10</f>
        <v>1.5578000000000001</v>
      </c>
      <c r="I11" s="21">
        <f>$E$11*'Function - Factors'!I10</f>
        <v>0</v>
      </c>
      <c r="J11" s="21">
        <f>$E$11*'Function - Factors'!J10</f>
        <v>0</v>
      </c>
      <c r="K11" s="21">
        <f>$E$11*'Function - Factors'!K10</f>
        <v>0</v>
      </c>
      <c r="L11" s="21">
        <f>$E$11*'Function - Factors'!L10</f>
        <v>0</v>
      </c>
      <c r="M11" s="21">
        <f>$E$11*'Function - Factors'!M10</f>
        <v>0</v>
      </c>
      <c r="N11" s="21">
        <f>$E$11*'Function - Factors'!N10</f>
        <v>0</v>
      </c>
      <c r="O11" s="21">
        <f>$E$11*'Function - Factors'!O10</f>
        <v>0</v>
      </c>
      <c r="P11" s="21">
        <f>$E$11*'Function - Factors'!P10</f>
        <v>0</v>
      </c>
      <c r="Q11" s="21">
        <f>$E$11*'Function - Factors'!Q10</f>
        <v>0</v>
      </c>
      <c r="R11" s="21"/>
      <c r="S11" s="21"/>
      <c r="T11" s="21"/>
    </row>
    <row r="12" spans="1:20" ht="16.5" customHeight="1"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16.5" customHeight="1">
      <c r="C13" s="9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ht="16.5" customHeight="1"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ht="16.5" customHeight="1">
      <c r="A15" s="24"/>
      <c r="B15" s="13" t="s">
        <v>32</v>
      </c>
      <c r="C15" s="9" t="s">
        <v>33</v>
      </c>
      <c r="E15" s="21">
        <v>130.61519999999999</v>
      </c>
      <c r="F15" s="21"/>
      <c r="G15" s="21">
        <f>$E$15*'Function - Factors'!G14</f>
        <v>1.2748043519999999</v>
      </c>
      <c r="H15" s="21">
        <f>$E$15*'Function - Factors'!H14</f>
        <v>0</v>
      </c>
      <c r="I15" s="21">
        <f>$E$15*'Function - Factors'!I14</f>
        <v>0.61911604799999997</v>
      </c>
      <c r="J15" s="21">
        <f>$E$15*'Function - Factors'!J14</f>
        <v>0.30041495999999995</v>
      </c>
      <c r="K15" s="21">
        <f>$E$15*'Function - Factors'!K14</f>
        <v>15.492268871999997</v>
      </c>
      <c r="L15" s="21">
        <f>$E$15*'Function - Factors'!L14</f>
        <v>51.739293023999998</v>
      </c>
      <c r="M15" s="21">
        <f>$E$15*'Function - Factors'!M14</f>
        <v>0.30041495999999995</v>
      </c>
      <c r="N15" s="21">
        <f>$E$15*'Function - Factors'!N14</f>
        <v>0</v>
      </c>
      <c r="O15" s="21">
        <f>$E$15*'Function - Factors'!O14</f>
        <v>7.9805887199999974</v>
      </c>
      <c r="P15" s="21">
        <f>$E$15*'Function - Factors'!P14</f>
        <v>29.571281279999997</v>
      </c>
      <c r="Q15" s="21">
        <f>$E$15*'Function - Factors'!Q14</f>
        <v>23.337017784000011</v>
      </c>
      <c r="R15" s="21"/>
      <c r="S15" s="21"/>
      <c r="T15" s="21"/>
    </row>
    <row r="16" spans="1:20" ht="16.5" customHeight="1">
      <c r="A16" s="24"/>
      <c r="B16" s="13" t="s">
        <v>34</v>
      </c>
      <c r="C16" s="9" t="s">
        <v>35</v>
      </c>
      <c r="E16" s="21">
        <v>97.586699999999993</v>
      </c>
      <c r="F16" s="21"/>
      <c r="G16" s="21">
        <f>$E$16*'Function - Factors'!G15</f>
        <v>0.95244619199999991</v>
      </c>
      <c r="H16" s="21">
        <f>$E$16*'Function - Factors'!H15</f>
        <v>0</v>
      </c>
      <c r="I16" s="21">
        <f>$E$16*'Function - Factors'!I15</f>
        <v>0.46256095800000002</v>
      </c>
      <c r="J16" s="21">
        <f>$E$16*'Function - Factors'!J15</f>
        <v>0.22444940999999999</v>
      </c>
      <c r="K16" s="21">
        <f>$E$16*'Function - Factors'!K15</f>
        <v>11.574758486999999</v>
      </c>
      <c r="L16" s="21">
        <f>$E$16*'Function - Factors'!L15</f>
        <v>9.3800336039999994</v>
      </c>
      <c r="M16" s="21">
        <f>$E$16*'Function - Factors'!M15</f>
        <v>0.22444940999999999</v>
      </c>
      <c r="N16" s="21">
        <f>$E$16*'Function - Factors'!N15</f>
        <v>0</v>
      </c>
      <c r="O16" s="21">
        <f>$E$16*'Function - Factors'!O15</f>
        <v>15.721217369999998</v>
      </c>
      <c r="P16" s="21">
        <f>$E$16*'Function - Factors'!P15</f>
        <v>41.610968879999994</v>
      </c>
      <c r="Q16" s="21">
        <f>$E$16*'Function - Factors'!Q15</f>
        <v>17.435815688999998</v>
      </c>
      <c r="R16" s="21"/>
      <c r="S16" s="21"/>
      <c r="T16" s="21"/>
    </row>
    <row r="17" spans="1:20" ht="16.5" customHeight="1">
      <c r="A17" s="24"/>
      <c r="B17" s="13" t="s">
        <v>36</v>
      </c>
      <c r="C17" s="9" t="s">
        <v>23</v>
      </c>
      <c r="E17" s="21">
        <v>2601.8459000000003</v>
      </c>
      <c r="F17" s="21"/>
      <c r="G17" s="21">
        <f>$E$17*'Function - Factors'!G16</f>
        <v>0</v>
      </c>
      <c r="H17" s="21">
        <f>$E$17*'Function - Factors'!H16</f>
        <v>0</v>
      </c>
      <c r="I17" s="21">
        <f>$E$17*'Function - Factors'!I16</f>
        <v>0</v>
      </c>
      <c r="J17" s="21">
        <f>$E$17*'Function - Factors'!J16</f>
        <v>0</v>
      </c>
      <c r="K17" s="21">
        <f>$E$17*'Function - Factors'!K16</f>
        <v>0</v>
      </c>
      <c r="L17" s="21">
        <f>$E$17*'Function - Factors'!L16</f>
        <v>2601.8459000000003</v>
      </c>
      <c r="M17" s="21">
        <f>$E$17*'Function - Factors'!M16</f>
        <v>0</v>
      </c>
      <c r="N17" s="21">
        <f>$E$17*'Function - Factors'!N16</f>
        <v>0</v>
      </c>
      <c r="O17" s="21">
        <f>$E$17*'Function - Factors'!O16</f>
        <v>0</v>
      </c>
      <c r="P17" s="21">
        <f>$E$17*'Function - Factors'!P16</f>
        <v>0</v>
      </c>
      <c r="Q17" s="21">
        <f>$E$17*'Function - Factors'!Q16</f>
        <v>0</v>
      </c>
      <c r="R17" s="21"/>
      <c r="S17" s="21"/>
      <c r="T17" s="21"/>
    </row>
    <row r="18" spans="1:20" ht="16.5" customHeight="1">
      <c r="A18" s="24"/>
      <c r="B18" s="13" t="s">
        <v>37</v>
      </c>
      <c r="C18" s="9" t="s">
        <v>38</v>
      </c>
      <c r="E18" s="21">
        <v>354.18000000000006</v>
      </c>
      <c r="F18" s="21"/>
      <c r="G18" s="21">
        <f>$E$18*'Function - Factors'!G17</f>
        <v>0</v>
      </c>
      <c r="H18" s="21">
        <f>$E$18*'Function - Factors'!H17</f>
        <v>0</v>
      </c>
      <c r="I18" s="21">
        <f>$E$18*'Function - Factors'!I17</f>
        <v>164.05891499699985</v>
      </c>
      <c r="J18" s="21">
        <f>$E$18*'Function - Factors'!J17</f>
        <v>190.12108500300022</v>
      </c>
      <c r="K18" s="21">
        <f>$E$18*'Function - Factors'!K17</f>
        <v>0</v>
      </c>
      <c r="L18" s="21">
        <f>$E$18*'Function - Factors'!L17</f>
        <v>0</v>
      </c>
      <c r="M18" s="21">
        <f>$E$18*'Function - Factors'!M17</f>
        <v>0</v>
      </c>
      <c r="N18" s="21">
        <f>$E$18*'Function - Factors'!N17</f>
        <v>0</v>
      </c>
      <c r="O18" s="21">
        <f>$E$18*'Function - Factors'!O17</f>
        <v>0</v>
      </c>
      <c r="P18" s="21">
        <f>$E$18*'Function - Factors'!P17</f>
        <v>0</v>
      </c>
      <c r="Q18" s="21">
        <f>$E$18*'Function - Factors'!Q17</f>
        <v>0</v>
      </c>
      <c r="R18" s="21"/>
      <c r="S18" s="21"/>
      <c r="T18" s="21"/>
    </row>
    <row r="19" spans="1:20" ht="16.5" customHeight="1">
      <c r="A19" s="24"/>
      <c r="B19" s="13" t="s">
        <v>39</v>
      </c>
      <c r="C19" s="9" t="s">
        <v>22</v>
      </c>
      <c r="E19" s="21">
        <v>1714.57</v>
      </c>
      <c r="F19" s="21"/>
      <c r="G19" s="21">
        <f>$E$19*'Function - Factors'!G18</f>
        <v>0</v>
      </c>
      <c r="H19" s="21">
        <f>$E$19*'Function - Factors'!H18</f>
        <v>0</v>
      </c>
      <c r="I19" s="21">
        <f>$E$19*'Function - Factors'!I18</f>
        <v>0</v>
      </c>
      <c r="J19" s="21">
        <f>$E$19*'Function - Factors'!J18</f>
        <v>0</v>
      </c>
      <c r="K19" s="21">
        <f>$E$19*'Function - Factors'!K18</f>
        <v>1714.57</v>
      </c>
      <c r="L19" s="21">
        <f>$E$19*'Function - Factors'!L18</f>
        <v>0</v>
      </c>
      <c r="M19" s="21">
        <f>$E$19*'Function - Factors'!M18</f>
        <v>0</v>
      </c>
      <c r="N19" s="21">
        <f>$E$19*'Function - Factors'!N18</f>
        <v>0</v>
      </c>
      <c r="O19" s="21">
        <f>$E$19*'Function - Factors'!O18</f>
        <v>0</v>
      </c>
      <c r="P19" s="21">
        <f>$E$19*'Function - Factors'!P18</f>
        <v>0</v>
      </c>
      <c r="Q19" s="21">
        <f>$E$19*'Function - Factors'!Q18</f>
        <v>0</v>
      </c>
      <c r="R19" s="21"/>
      <c r="S19" s="21"/>
      <c r="T19" s="21"/>
    </row>
    <row r="20" spans="1:20" ht="16.5" customHeight="1">
      <c r="A20" s="24"/>
      <c r="B20" s="13" t="s">
        <v>40</v>
      </c>
      <c r="C20" s="11" t="s">
        <v>24</v>
      </c>
      <c r="D20" s="11"/>
      <c r="E20" s="22">
        <v>214.77</v>
      </c>
      <c r="F20" s="22"/>
      <c r="G20" s="22">
        <f>$E$20*'Function - Factors'!G19</f>
        <v>0</v>
      </c>
      <c r="H20" s="22">
        <f>$E$20*'Function - Factors'!H19</f>
        <v>0</v>
      </c>
      <c r="I20" s="22">
        <f>$E$20*'Function - Factors'!I19</f>
        <v>0</v>
      </c>
      <c r="J20" s="22">
        <f>$E$20*'Function - Factors'!J19</f>
        <v>0</v>
      </c>
      <c r="K20" s="22">
        <f>$E$20*'Function - Factors'!K19</f>
        <v>0</v>
      </c>
      <c r="L20" s="22">
        <f>$E$20*'Function - Factors'!L19</f>
        <v>0</v>
      </c>
      <c r="M20" s="22">
        <f>$E$20*'Function - Factors'!M19</f>
        <v>214.77</v>
      </c>
      <c r="N20" s="22">
        <f>$E$20*'Function - Factors'!N19</f>
        <v>0</v>
      </c>
      <c r="O20" s="22">
        <f>$E$20*'Function - Factors'!O19</f>
        <v>0</v>
      </c>
      <c r="P20" s="22">
        <f>$E$20*'Function - Factors'!P19</f>
        <v>0</v>
      </c>
      <c r="Q20" s="22">
        <f>$E$20*'Function - Factors'!Q19</f>
        <v>0</v>
      </c>
      <c r="R20" s="22"/>
      <c r="S20" s="22"/>
      <c r="T20" s="22"/>
    </row>
    <row r="21" spans="1:20" ht="16.5" customHeight="1">
      <c r="A21" s="24"/>
      <c r="B21" s="13" t="s">
        <v>41</v>
      </c>
      <c r="C21" s="9" t="s">
        <v>42</v>
      </c>
      <c r="E21" s="25">
        <f>SUM(E15:E20)</f>
        <v>5113.5678000000007</v>
      </c>
      <c r="F21" s="21"/>
      <c r="G21" s="21">
        <f>SUM(G15:G20)</f>
        <v>2.2272505439999999</v>
      </c>
      <c r="H21" s="21">
        <f t="shared" ref="H21:S21" si="0">SUM(H15:H20)</f>
        <v>0</v>
      </c>
      <c r="I21" s="21">
        <f t="shared" si="0"/>
        <v>165.14059200299985</v>
      </c>
      <c r="J21" s="21">
        <f t="shared" si="0"/>
        <v>190.64594937300021</v>
      </c>
      <c r="K21" s="21">
        <f t="shared" si="0"/>
        <v>1741.6370273589998</v>
      </c>
      <c r="L21" s="21">
        <f t="shared" si="0"/>
        <v>2662.9652266280004</v>
      </c>
      <c r="M21" s="21">
        <f t="shared" si="0"/>
        <v>215.29486437</v>
      </c>
      <c r="N21" s="21">
        <f t="shared" si="0"/>
        <v>0</v>
      </c>
      <c r="O21" s="21">
        <f t="shared" si="0"/>
        <v>23.701806089999994</v>
      </c>
      <c r="P21" s="21">
        <f t="shared" si="0"/>
        <v>71.182250159999995</v>
      </c>
      <c r="Q21" s="21">
        <f t="shared" si="0"/>
        <v>40.772833473000006</v>
      </c>
      <c r="R21" s="21">
        <f t="shared" si="0"/>
        <v>0</v>
      </c>
      <c r="S21" s="21">
        <f t="shared" si="0"/>
        <v>0</v>
      </c>
      <c r="T21" s="21">
        <f t="shared" ref="T21" si="1">SUM(T15:T20)</f>
        <v>0</v>
      </c>
    </row>
    <row r="22" spans="1:20" ht="16.5" customHeight="1"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 ht="16.5" customHeight="1">
      <c r="C23" s="9" t="s">
        <v>43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0" ht="16.5" customHeight="1"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ht="16.5" customHeight="1">
      <c r="A25" s="24"/>
      <c r="B25" s="13" t="s">
        <v>44</v>
      </c>
      <c r="C25" s="9" t="s">
        <v>33</v>
      </c>
      <c r="E25" s="21">
        <v>0</v>
      </c>
      <c r="F25" s="21"/>
      <c r="G25" s="21">
        <f>$E25*'Function - Factors'!G24</f>
        <v>0</v>
      </c>
      <c r="H25" s="21">
        <f>$E25*'Function - Factors'!H24</f>
        <v>0</v>
      </c>
      <c r="I25" s="21">
        <f>$E25*'Function - Factors'!I24</f>
        <v>0</v>
      </c>
      <c r="J25" s="21">
        <f>$E25*'Function - Factors'!J24</f>
        <v>0</v>
      </c>
      <c r="K25" s="21">
        <f>$E25*'Function - Factors'!K24</f>
        <v>0</v>
      </c>
      <c r="L25" s="21">
        <f>$E25*'Function - Factors'!L24</f>
        <v>0</v>
      </c>
      <c r="M25" s="21">
        <f>$E25*'Function - Factors'!M24</f>
        <v>0</v>
      </c>
      <c r="N25" s="21">
        <f>$E25*'Function - Factors'!N24</f>
        <v>0</v>
      </c>
      <c r="O25" s="21">
        <f>$E25*'Function - Factors'!O24</f>
        <v>0</v>
      </c>
      <c r="P25" s="21">
        <f>$E25*'Function - Factors'!P24</f>
        <v>0</v>
      </c>
      <c r="Q25" s="21">
        <f>$E25*'Function - Factors'!Q24</f>
        <v>0</v>
      </c>
      <c r="R25" s="21"/>
      <c r="S25" s="21"/>
      <c r="T25" s="21"/>
    </row>
    <row r="26" spans="1:20" ht="16.5" customHeight="1">
      <c r="A26" s="24"/>
      <c r="B26" s="13" t="s">
        <v>45</v>
      </c>
      <c r="C26" s="9" t="s">
        <v>35</v>
      </c>
      <c r="E26" s="21">
        <v>7.59</v>
      </c>
      <c r="F26" s="21"/>
      <c r="G26" s="21">
        <f>$E26*'Function - Factors'!G25</f>
        <v>0</v>
      </c>
      <c r="H26" s="21">
        <f>$E26*'Function - Factors'!H25</f>
        <v>0</v>
      </c>
      <c r="I26" s="21">
        <f>$E26*'Function - Factors'!I25</f>
        <v>0</v>
      </c>
      <c r="J26" s="21">
        <f>$E26*'Function - Factors'!J25</f>
        <v>0</v>
      </c>
      <c r="K26" s="21">
        <f>$E26*'Function - Factors'!K25</f>
        <v>2.5487219999999997</v>
      </c>
      <c r="L26" s="21">
        <f>$E26*'Function - Factors'!L25</f>
        <v>0.34306799999999998</v>
      </c>
      <c r="M26" s="21">
        <f>$E26*'Function - Factors'!M25</f>
        <v>0</v>
      </c>
      <c r="N26" s="21">
        <f>$E26*'Function - Factors'!N25</f>
        <v>0</v>
      </c>
      <c r="O26" s="21">
        <f>$E26*'Function - Factors'!O25</f>
        <v>0.95429070000000005</v>
      </c>
      <c r="P26" s="21">
        <f>$E26*'Function - Factors'!P25</f>
        <v>2.6826095999999997</v>
      </c>
      <c r="Q26" s="21">
        <f>$E26*'Function - Factors'!Q25</f>
        <v>1.0613097</v>
      </c>
      <c r="R26" s="21"/>
      <c r="S26" s="21"/>
      <c r="T26" s="21"/>
    </row>
    <row r="27" spans="1:20" ht="16.5" customHeight="1">
      <c r="A27" s="24"/>
      <c r="B27" s="13" t="s">
        <v>46</v>
      </c>
      <c r="C27" s="9" t="s">
        <v>47</v>
      </c>
      <c r="E27" s="21">
        <v>18.2378</v>
      </c>
      <c r="F27" s="21"/>
      <c r="G27" s="21">
        <f>$E27*'Function - Factors'!G26</f>
        <v>2.5532920000000001E-2</v>
      </c>
      <c r="H27" s="21">
        <f>$E27*'Function - Factors'!H26</f>
        <v>2.188536E-2</v>
      </c>
      <c r="I27" s="21">
        <f>$E27*'Function - Factors'!I26</f>
        <v>2.370914E-2</v>
      </c>
      <c r="J27" s="21">
        <f>$E27*'Function - Factors'!J26</f>
        <v>2.2432493999999998</v>
      </c>
      <c r="K27" s="21">
        <f>$E27*'Function - Factors'!K26</f>
        <v>2.94175714</v>
      </c>
      <c r="L27" s="21">
        <f>$E27*'Function - Factors'!L26</f>
        <v>3.64938378</v>
      </c>
      <c r="M27" s="21">
        <f>$E27*'Function - Factors'!M26</f>
        <v>0.84441014000000003</v>
      </c>
      <c r="N27" s="21">
        <f>$E27*'Function - Factors'!N26</f>
        <v>0.30274748000000001</v>
      </c>
      <c r="O27" s="21">
        <f>$E27*'Function - Factors'!O26</f>
        <v>0.43588342000000002</v>
      </c>
      <c r="P27" s="21">
        <f>$E27*'Function - Factors'!P26</f>
        <v>0.57266691999999997</v>
      </c>
      <c r="Q27" s="21">
        <f>$E27*'Function - Factors'!Q26</f>
        <v>7.1765743000000004</v>
      </c>
      <c r="R27" s="21"/>
      <c r="S27" s="21"/>
      <c r="T27" s="21"/>
    </row>
    <row r="28" spans="1:20" ht="16.5" customHeight="1">
      <c r="A28" s="24"/>
      <c r="B28" s="13" t="s">
        <v>48</v>
      </c>
      <c r="C28" s="9" t="s">
        <v>49</v>
      </c>
      <c r="E28" s="21">
        <v>23.57</v>
      </c>
      <c r="F28" s="21"/>
      <c r="G28" s="21">
        <f>$E28*'Function - Factors'!G27</f>
        <v>0</v>
      </c>
      <c r="H28" s="21">
        <f>$E28*'Function - Factors'!H27</f>
        <v>0</v>
      </c>
      <c r="I28" s="21">
        <f>$E28*'Function - Factors'!I27</f>
        <v>0</v>
      </c>
      <c r="J28" s="21">
        <f>$E28*'Function - Factors'!J27</f>
        <v>5.501901021871701E-2</v>
      </c>
      <c r="K28" s="21">
        <f>$E28*'Function - Factors'!K27</f>
        <v>6.9902180193347281</v>
      </c>
      <c r="L28" s="21">
        <f>$E28*'Function - Factors'!L27</f>
        <v>15.757837608610696</v>
      </c>
      <c r="M28" s="21">
        <f>$E28*'Function - Factors'!M27</f>
        <v>0</v>
      </c>
      <c r="N28" s="21">
        <f>$E28*'Function - Factors'!N27</f>
        <v>0</v>
      </c>
      <c r="O28" s="21">
        <f>$E28*'Function - Factors'!O27</f>
        <v>0.76692536183585813</v>
      </c>
      <c r="P28" s="21">
        <f>$E28*'Function - Factors'!P27</f>
        <v>0</v>
      </c>
      <c r="Q28" s="21">
        <f>$E28*'Function - Factors'!Q27</f>
        <v>0</v>
      </c>
      <c r="R28" s="21"/>
      <c r="S28" s="21"/>
      <c r="T28" s="21"/>
    </row>
    <row r="29" spans="1:20" ht="16.5" customHeight="1">
      <c r="A29" s="24"/>
      <c r="B29" s="13" t="s">
        <v>50</v>
      </c>
      <c r="C29" s="9" t="s">
        <v>51</v>
      </c>
      <c r="E29" s="21">
        <v>14.749999999999998</v>
      </c>
      <c r="F29" s="21"/>
      <c r="G29" s="21">
        <f>$E29*'Function - Factors'!G28</f>
        <v>0</v>
      </c>
      <c r="H29" s="21">
        <f>$E29*'Function - Factors'!H28</f>
        <v>0</v>
      </c>
      <c r="I29" s="21">
        <f>$E29*'Function - Factors'!I28</f>
        <v>0</v>
      </c>
      <c r="J29" s="21">
        <f>$E29*'Function - Factors'!J28</f>
        <v>3.4430649161055399E-2</v>
      </c>
      <c r="K29" s="21">
        <f>$E29*'Function - Factors'!K28</f>
        <v>4.3744469997958095</v>
      </c>
      <c r="L29" s="21">
        <f>$E29*'Function - Factors'!L28</f>
        <v>9.8611839086553985</v>
      </c>
      <c r="M29" s="21">
        <f>$E29*'Function - Factors'!M28</f>
        <v>0</v>
      </c>
      <c r="N29" s="21">
        <f>$E29*'Function - Factors'!N28</f>
        <v>0</v>
      </c>
      <c r="O29" s="21">
        <f>$E29*'Function - Factors'!O28</f>
        <v>0.47993844238773464</v>
      </c>
      <c r="P29" s="21">
        <f>$E29*'Function - Factors'!P28</f>
        <v>0</v>
      </c>
      <c r="Q29" s="21">
        <f>$E29*'Function - Factors'!Q28</f>
        <v>0</v>
      </c>
      <c r="R29" s="21"/>
      <c r="S29" s="21"/>
      <c r="T29" s="21"/>
    </row>
    <row r="30" spans="1:20" ht="16.5" customHeight="1">
      <c r="A30" s="24"/>
      <c r="B30" s="13" t="s">
        <v>52</v>
      </c>
      <c r="C30" s="9" t="s">
        <v>53</v>
      </c>
      <c r="E30" s="21">
        <v>21.919999999999998</v>
      </c>
      <c r="F30" s="21"/>
      <c r="G30" s="21">
        <f>$E30*'Function - Factors'!G29</f>
        <v>0</v>
      </c>
      <c r="H30" s="21">
        <f>$E30*'Function - Factors'!H29</f>
        <v>0</v>
      </c>
      <c r="I30" s="21">
        <f>$E30*'Function - Factors'!I29</f>
        <v>0</v>
      </c>
      <c r="J30" s="21">
        <f>$E30*'Function - Factors'!J29</f>
        <v>0</v>
      </c>
      <c r="K30" s="21">
        <f>$E30*'Function - Factors'!K29</f>
        <v>10.959999999999999</v>
      </c>
      <c r="L30" s="21">
        <f>$E30*'Function - Factors'!L29</f>
        <v>10.959999999999999</v>
      </c>
      <c r="M30" s="21">
        <f>$E30*'Function - Factors'!M29</f>
        <v>0</v>
      </c>
      <c r="N30" s="21">
        <f>$E30*'Function - Factors'!N29</f>
        <v>0</v>
      </c>
      <c r="O30" s="21">
        <f>$E30*'Function - Factors'!O29</f>
        <v>0</v>
      </c>
      <c r="P30" s="21">
        <f>$E30*'Function - Factors'!P29</f>
        <v>0</v>
      </c>
      <c r="Q30" s="21">
        <f>$E30*'Function - Factors'!Q29</f>
        <v>0</v>
      </c>
      <c r="R30" s="21"/>
      <c r="S30" s="21"/>
      <c r="T30" s="21"/>
    </row>
    <row r="31" spans="1:20" ht="16.5" customHeight="1">
      <c r="A31" s="24"/>
      <c r="B31" s="13" t="s">
        <v>54</v>
      </c>
      <c r="C31" s="9" t="s">
        <v>25</v>
      </c>
      <c r="E31" s="21">
        <v>14.86</v>
      </c>
      <c r="F31" s="21"/>
      <c r="G31" s="21">
        <f>$E31*'Function - Factors'!G30</f>
        <v>0</v>
      </c>
      <c r="H31" s="21">
        <f>$E31*'Function - Factors'!H30</f>
        <v>0</v>
      </c>
      <c r="I31" s="21">
        <f>$E31*'Function - Factors'!I30</f>
        <v>0</v>
      </c>
      <c r="J31" s="21">
        <f>$E31*'Function - Factors'!J30</f>
        <v>0</v>
      </c>
      <c r="K31" s="21">
        <f>$E31*'Function - Factors'!K30</f>
        <v>0</v>
      </c>
      <c r="L31" s="21">
        <f>$E31*'Function - Factors'!L30</f>
        <v>0</v>
      </c>
      <c r="M31" s="21">
        <f>$E31*'Function - Factors'!M30</f>
        <v>0</v>
      </c>
      <c r="N31" s="21">
        <f>$E31*'Function - Factors'!N30</f>
        <v>14.86</v>
      </c>
      <c r="O31" s="21">
        <f>$E31*'Function - Factors'!O30</f>
        <v>0</v>
      </c>
      <c r="P31" s="21">
        <f>$E31*'Function - Factors'!P30</f>
        <v>0</v>
      </c>
      <c r="Q31" s="21">
        <f>$E31*'Function - Factors'!Q30</f>
        <v>0</v>
      </c>
      <c r="R31" s="21"/>
      <c r="S31" s="21"/>
      <c r="T31" s="21"/>
    </row>
    <row r="32" spans="1:20" ht="16.5" customHeight="1">
      <c r="A32" s="24"/>
      <c r="B32" s="13" t="s">
        <v>55</v>
      </c>
      <c r="C32" s="9" t="s">
        <v>56</v>
      </c>
      <c r="E32" s="21">
        <v>1.1100000000000003</v>
      </c>
      <c r="F32" s="21"/>
      <c r="G32" s="21">
        <f>$E32*'Function - Factors'!G31</f>
        <v>1.5540000000000005E-2</v>
      </c>
      <c r="H32" s="21">
        <f>$E32*'Function - Factors'!H31</f>
        <v>0</v>
      </c>
      <c r="I32" s="21">
        <f>$E32*'Function - Factors'!I31</f>
        <v>8.8800000000000025E-3</v>
      </c>
      <c r="J32" s="21">
        <f>$E32*'Function - Factors'!J31</f>
        <v>0.31413000000000008</v>
      </c>
      <c r="K32" s="21">
        <f>$E32*'Function - Factors'!K31</f>
        <v>9.5460000000000017E-2</v>
      </c>
      <c r="L32" s="21">
        <f>$E32*'Function - Factors'!L31</f>
        <v>0.13875000000000004</v>
      </c>
      <c r="M32" s="21">
        <f>$E32*'Function - Factors'!M31</f>
        <v>0</v>
      </c>
      <c r="N32" s="21">
        <f>$E32*'Function - Factors'!N31</f>
        <v>1.1100000000000003E-3</v>
      </c>
      <c r="O32" s="21">
        <f>$E32*'Function - Factors'!O31</f>
        <v>0.10434000000000003</v>
      </c>
      <c r="P32" s="21">
        <f>$E32*'Function - Factors'!P31</f>
        <v>0.18981000000000006</v>
      </c>
      <c r="Q32" s="21">
        <f>$E32*'Function - Factors'!Q31</f>
        <v>0.24198000000000006</v>
      </c>
      <c r="R32" s="21"/>
      <c r="S32" s="21"/>
      <c r="T32" s="21"/>
    </row>
    <row r="33" spans="1:20" ht="16.5" customHeight="1">
      <c r="A33" s="24"/>
      <c r="B33" s="13" t="s">
        <v>57</v>
      </c>
      <c r="C33" s="9" t="s">
        <v>58</v>
      </c>
      <c r="E33" s="21">
        <v>0.48999999999999977</v>
      </c>
      <c r="F33" s="21"/>
      <c r="G33" s="21">
        <f>$E33*'Function - Factors'!G32</f>
        <v>0</v>
      </c>
      <c r="H33" s="21">
        <f>$E33*'Function - Factors'!H32</f>
        <v>0</v>
      </c>
      <c r="I33" s="21">
        <f>$E33*'Function - Factors'!I32</f>
        <v>0</v>
      </c>
      <c r="J33" s="21">
        <f>$E33*'Function - Factors'!J32</f>
        <v>1.1437978365367552E-3</v>
      </c>
      <c r="K33" s="21">
        <f>$E33*'Function - Factors'!K32</f>
        <v>0.1453206121966065</v>
      </c>
      <c r="L33" s="21">
        <f>$E33*'Function - Factors'!L32</f>
        <v>0.32759187221973851</v>
      </c>
      <c r="M33" s="21">
        <f>$E33*'Function - Factors'!M32</f>
        <v>0</v>
      </c>
      <c r="N33" s="21">
        <f>$E33*'Function - Factors'!N32</f>
        <v>0</v>
      </c>
      <c r="O33" s="21">
        <f>$E33*'Function - Factors'!O32</f>
        <v>1.5943717747117961E-2</v>
      </c>
      <c r="P33" s="21">
        <f>$E33*'Function - Factors'!P32</f>
        <v>0</v>
      </c>
      <c r="Q33" s="21">
        <f>$E33*'Function - Factors'!Q32</f>
        <v>0</v>
      </c>
      <c r="R33" s="21"/>
      <c r="S33" s="21"/>
      <c r="T33" s="21"/>
    </row>
    <row r="34" spans="1:20" ht="16.5" customHeight="1">
      <c r="A34" s="24"/>
      <c r="B34" s="13" t="s">
        <v>59</v>
      </c>
      <c r="C34" s="9" t="s">
        <v>60</v>
      </c>
      <c r="E34" s="21">
        <v>-6.1199999999999974</v>
      </c>
      <c r="F34" s="21"/>
      <c r="G34" s="21">
        <f>$E34*'Function - Factors'!G33</f>
        <v>-0.14749199999999993</v>
      </c>
      <c r="H34" s="21">
        <f>$E34*'Function - Factors'!H33</f>
        <v>-2.080799999999999E-2</v>
      </c>
      <c r="I34" s="21">
        <f>$E34*'Function - Factors'!I33</f>
        <v>-0.14259599999999995</v>
      </c>
      <c r="J34" s="21">
        <f>$E34*'Function - Factors'!J33</f>
        <v>-0.51958799999999983</v>
      </c>
      <c r="K34" s="21">
        <f>$E34*'Function - Factors'!K33</f>
        <v>-0.98715599999999959</v>
      </c>
      <c r="L34" s="21">
        <f>$E34*'Function - Factors'!L33</f>
        <v>-1.5979319999999992</v>
      </c>
      <c r="M34" s="21">
        <f>$E34*'Function - Factors'!M33</f>
        <v>-0.51958799999999983</v>
      </c>
      <c r="N34" s="21">
        <f>$E34*'Function - Factors'!N33</f>
        <v>-9.1799999999999972E-3</v>
      </c>
      <c r="O34" s="21">
        <f>$E34*'Function - Factors'!O33</f>
        <v>-5.4467999999999975E-2</v>
      </c>
      <c r="P34" s="21">
        <f>$E34*'Function - Factors'!P33</f>
        <v>-1.4131079999999994</v>
      </c>
      <c r="Q34" s="21">
        <f>$E34*'Function - Factors'!Q33</f>
        <v>-0.70808399999999971</v>
      </c>
      <c r="R34" s="21"/>
      <c r="S34" s="21"/>
      <c r="T34" s="21"/>
    </row>
    <row r="35" spans="1:20" ht="16.5" customHeight="1">
      <c r="A35" s="24"/>
      <c r="B35" s="13" t="s">
        <v>61</v>
      </c>
      <c r="C35" s="9" t="s">
        <v>62</v>
      </c>
      <c r="E35" s="21">
        <v>50.72999999999999</v>
      </c>
      <c r="F35" s="21"/>
      <c r="G35" s="21">
        <f>$E35*'Function - Factors'!G34</f>
        <v>1.2225929999999998</v>
      </c>
      <c r="H35" s="21">
        <f>$E35*'Function - Factors'!H34</f>
        <v>0.17248199999999997</v>
      </c>
      <c r="I35" s="21">
        <f>$E35*'Function - Factors'!I34</f>
        <v>1.1820089999999999</v>
      </c>
      <c r="J35" s="21">
        <f>$E35*'Function - Factors'!J34</f>
        <v>4.3069769999999989</v>
      </c>
      <c r="K35" s="21">
        <f>$E35*'Function - Factors'!K34</f>
        <v>8.1827489999999976</v>
      </c>
      <c r="L35" s="21">
        <f>$E35*'Function - Factors'!L34</f>
        <v>13.245602999999997</v>
      </c>
      <c r="M35" s="21">
        <f>$E35*'Function - Factors'!M34</f>
        <v>4.3069769999999989</v>
      </c>
      <c r="N35" s="21">
        <f>$E35*'Function - Factors'!N34</f>
        <v>7.6094999999999982E-2</v>
      </c>
      <c r="O35" s="21">
        <f>$E35*'Function - Factors'!O34</f>
        <v>0.45149699999999993</v>
      </c>
      <c r="P35" s="21">
        <f>$E35*'Function - Factors'!P34</f>
        <v>11.713556999999998</v>
      </c>
      <c r="Q35" s="21">
        <f>$E35*'Function - Factors'!Q34</f>
        <v>5.8694609999999985</v>
      </c>
      <c r="R35" s="21"/>
      <c r="S35" s="21"/>
      <c r="T35" s="21"/>
    </row>
    <row r="36" spans="1:20" ht="16.5" customHeight="1">
      <c r="A36" s="24"/>
      <c r="B36" s="13" t="s">
        <v>63</v>
      </c>
      <c r="C36" s="9" t="s">
        <v>93</v>
      </c>
      <c r="E36" s="21">
        <v>53.699999999999996</v>
      </c>
      <c r="F36" s="21"/>
      <c r="G36" s="21">
        <f>$E36*'Function - Factors'!G34</f>
        <v>1.2941699999999998</v>
      </c>
      <c r="H36" s="21">
        <f>$E36*'Function - Factors'!H34</f>
        <v>0.18257999999999996</v>
      </c>
      <c r="I36" s="21">
        <f>$E36*'Function - Factors'!I34</f>
        <v>1.2512099999999999</v>
      </c>
      <c r="J36" s="21">
        <f>$E36*'Function - Factors'!J34</f>
        <v>4.5591299999999997</v>
      </c>
      <c r="K36" s="21">
        <f>$E36*'Function - Factors'!K34</f>
        <v>8.6618099999999991</v>
      </c>
      <c r="L36" s="21">
        <f>$E36*'Function - Factors'!L34</f>
        <v>14.021069999999998</v>
      </c>
      <c r="M36" s="21">
        <f>$E36*'Function - Factors'!M34</f>
        <v>4.5591299999999997</v>
      </c>
      <c r="N36" s="21">
        <f>$E36*'Function - Factors'!N34</f>
        <v>8.0549999999999997E-2</v>
      </c>
      <c r="O36" s="21">
        <f>$E36*'Function - Factors'!O34</f>
        <v>0.47792999999999997</v>
      </c>
      <c r="P36" s="21">
        <f>$E36*'Function - Factors'!P34</f>
        <v>12.399329999999999</v>
      </c>
      <c r="Q36" s="21">
        <f>$E36*'Function - Factors'!Q34</f>
        <v>6.2130899999999993</v>
      </c>
      <c r="R36" s="21"/>
      <c r="S36" s="21"/>
      <c r="T36" s="21"/>
    </row>
    <row r="37" spans="1:20" ht="16.5" customHeight="1">
      <c r="A37" s="24"/>
      <c r="B37" s="13" t="s">
        <v>92</v>
      </c>
      <c r="C37" s="11" t="s">
        <v>29</v>
      </c>
      <c r="D37" s="11"/>
      <c r="E37" s="22">
        <v>7</v>
      </c>
      <c r="F37" s="22"/>
      <c r="G37" s="22">
        <f>$E37*'Function - Factors'!G35</f>
        <v>0</v>
      </c>
      <c r="H37" s="22">
        <f>$E37*'Function - Factors'!H35</f>
        <v>0</v>
      </c>
      <c r="I37" s="22">
        <f>$E37*'Function - Factors'!I35</f>
        <v>0</v>
      </c>
      <c r="J37" s="22">
        <f>$E37*'Function - Factors'!J35</f>
        <v>0</v>
      </c>
      <c r="K37" s="22">
        <f>$E37*'Function - Factors'!K35</f>
        <v>0</v>
      </c>
      <c r="L37" s="22">
        <f>$E37*'Function - Factors'!L35</f>
        <v>0</v>
      </c>
      <c r="M37" s="22">
        <f>$E37*'Function - Factors'!M35</f>
        <v>0</v>
      </c>
      <c r="N37" s="22">
        <f>$E37*'Function - Factors'!N35</f>
        <v>0</v>
      </c>
      <c r="O37" s="22">
        <f>$E37*'Function - Factors'!O35</f>
        <v>0</v>
      </c>
      <c r="P37" s="22">
        <f>$E37*'Function - Factors'!P35</f>
        <v>0</v>
      </c>
      <c r="Q37" s="22">
        <f>$E37*'Function - Factors'!Q35</f>
        <v>0</v>
      </c>
      <c r="R37" s="22">
        <f>$E37*'Function - Factors'!R35</f>
        <v>7</v>
      </c>
      <c r="S37" s="22"/>
      <c r="T37" s="22"/>
    </row>
    <row r="38" spans="1:20" ht="16.5" customHeight="1">
      <c r="A38" s="24"/>
      <c r="B38" s="13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ht="16.5" customHeight="1">
      <c r="A39" s="24"/>
      <c r="B39" s="13" t="s">
        <v>64</v>
      </c>
      <c r="C39" s="9" t="s">
        <v>65</v>
      </c>
      <c r="E39" s="25">
        <f>SUM(E25:E37)</f>
        <v>207.83779999999999</v>
      </c>
      <c r="F39" s="21"/>
      <c r="G39" s="21">
        <f>SUM(G25:G37)</f>
        <v>2.4103439199999999</v>
      </c>
      <c r="H39" s="21">
        <f t="shared" ref="H39:S39" si="2">SUM(H25:H37)</f>
        <v>0.3561393599999999</v>
      </c>
      <c r="I39" s="21">
        <f t="shared" si="2"/>
        <v>2.3232121399999999</v>
      </c>
      <c r="J39" s="21">
        <f t="shared" si="2"/>
        <v>10.994491857216309</v>
      </c>
      <c r="K39" s="21">
        <f>SUM(K25:K37)</f>
        <v>43.913327771327147</v>
      </c>
      <c r="L39" s="21">
        <f t="shared" si="2"/>
        <v>66.706556169485836</v>
      </c>
      <c r="M39" s="21">
        <f t="shared" si="2"/>
        <v>9.1909291399999979</v>
      </c>
      <c r="N39" s="21">
        <f t="shared" si="2"/>
        <v>15.311322480000001</v>
      </c>
      <c r="O39" s="21">
        <f t="shared" si="2"/>
        <v>3.632280641970711</v>
      </c>
      <c r="P39" s="21">
        <f t="shared" si="2"/>
        <v>26.144865519999996</v>
      </c>
      <c r="Q39" s="21">
        <f t="shared" si="2"/>
        <v>19.854331000000002</v>
      </c>
      <c r="R39" s="21">
        <f t="shared" si="2"/>
        <v>7</v>
      </c>
      <c r="S39" s="21">
        <f t="shared" si="2"/>
        <v>0</v>
      </c>
      <c r="T39" s="21">
        <f t="shared" ref="T39" si="3">SUM(T25:T37)</f>
        <v>0</v>
      </c>
    </row>
    <row r="40" spans="1:20" ht="16.5" customHeight="1"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0" ht="16.5" customHeight="1">
      <c r="A41" s="24"/>
      <c r="B41" s="13" t="s">
        <v>66</v>
      </c>
      <c r="C41" s="9" t="s">
        <v>94</v>
      </c>
      <c r="E41" s="21">
        <v>0.32999999999999985</v>
      </c>
      <c r="F41" s="21"/>
      <c r="G41" s="21">
        <f>$E41*'Function - Factors'!G18</f>
        <v>0</v>
      </c>
      <c r="H41" s="21">
        <f>$E41*'Function - Factors'!H18</f>
        <v>0</v>
      </c>
      <c r="I41" s="21">
        <f>$E41*'Function - Factors'!I18</f>
        <v>0</v>
      </c>
      <c r="J41" s="21">
        <f>$E41*'Function - Factors'!J18</f>
        <v>0</v>
      </c>
      <c r="K41" s="21">
        <f>$E41*'Function - Factors'!K18</f>
        <v>0.32999999999999985</v>
      </c>
      <c r="L41" s="21">
        <f>$E41*'Function - Factors'!L18</f>
        <v>0</v>
      </c>
      <c r="M41" s="21">
        <f>$E41*'Function - Factors'!M18</f>
        <v>0</v>
      </c>
      <c r="N41" s="21">
        <f>$E41*'Function - Factors'!N18</f>
        <v>0</v>
      </c>
      <c r="O41" s="21">
        <f>$E41*'Function - Factors'!O18</f>
        <v>0</v>
      </c>
      <c r="P41" s="21">
        <f>$E41*'Function - Factors'!P18</f>
        <v>0</v>
      </c>
      <c r="Q41" s="21">
        <f>$E41*'Function - Factors'!Q18</f>
        <v>0</v>
      </c>
      <c r="R41" s="21"/>
      <c r="S41" s="21"/>
      <c r="T41" s="21"/>
    </row>
    <row r="42" spans="1:20" ht="16.5" customHeight="1"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20" ht="16.5" customHeight="1">
      <c r="C43" s="9" t="s">
        <v>95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0" ht="16.5" customHeight="1"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0" ht="16.5" customHeight="1">
      <c r="A45" s="24"/>
      <c r="B45" s="13" t="s">
        <v>96</v>
      </c>
      <c r="C45" s="11" t="s">
        <v>97</v>
      </c>
      <c r="D45" s="11"/>
      <c r="E45" s="22">
        <f>SUM(G45:S45)</f>
        <v>341.64424904109603</v>
      </c>
      <c r="F45" s="22"/>
      <c r="G45" s="22">
        <f>'Function - Working Capital'!H34</f>
        <v>393.85328620430005</v>
      </c>
      <c r="H45" s="22">
        <f>'Function - Working Capital'!I34</f>
        <v>5.415937295477125</v>
      </c>
      <c r="I45" s="22">
        <f>'Function - Working Capital'!J34</f>
        <v>-0.10905863304869494</v>
      </c>
      <c r="J45" s="22">
        <f>'Function - Working Capital'!K34</f>
        <v>-0.33558459191927026</v>
      </c>
      <c r="K45" s="22">
        <f>'Function - Working Capital'!L34</f>
        <v>15.382046842621412</v>
      </c>
      <c r="L45" s="22">
        <f>'Function - Working Capital'!M34</f>
        <v>23.799985811986783</v>
      </c>
      <c r="M45" s="22">
        <v>0</v>
      </c>
      <c r="N45" s="22">
        <v>0</v>
      </c>
      <c r="O45" s="22">
        <f>'Function - Working Capital'!N34</f>
        <v>-0.98026041471474867</v>
      </c>
      <c r="P45" s="22">
        <f>'Function - Working Capital'!O34</f>
        <v>-66.690513180149168</v>
      </c>
      <c r="Q45" s="22">
        <f>'Function - Working Capital'!P34</f>
        <v>0.72840970654241366</v>
      </c>
      <c r="R45" s="22">
        <v>0</v>
      </c>
      <c r="S45" s="22">
        <f>'Function - Working Capital'!Q34</f>
        <v>-29.42</v>
      </c>
      <c r="T45" s="22">
        <f>'Function - Working Capital'!R34</f>
        <v>0</v>
      </c>
    </row>
    <row r="46" spans="1:20" ht="16.5" customHeight="1">
      <c r="A46" s="24"/>
      <c r="B46" s="13" t="s">
        <v>68</v>
      </c>
      <c r="C46" s="9" t="s">
        <v>98</v>
      </c>
      <c r="E46" s="21">
        <f>SUM(E45)</f>
        <v>341.64424904109603</v>
      </c>
      <c r="F46" s="21"/>
      <c r="G46" s="21">
        <f t="shared" ref="G46:S46" si="4">SUM(G45)</f>
        <v>393.85328620430005</v>
      </c>
      <c r="H46" s="21">
        <f t="shared" si="4"/>
        <v>5.415937295477125</v>
      </c>
      <c r="I46" s="21">
        <f t="shared" si="4"/>
        <v>-0.10905863304869494</v>
      </c>
      <c r="J46" s="21">
        <f t="shared" si="4"/>
        <v>-0.33558459191927026</v>
      </c>
      <c r="K46" s="21">
        <f t="shared" si="4"/>
        <v>15.382046842621412</v>
      </c>
      <c r="L46" s="21">
        <f t="shared" si="4"/>
        <v>23.799985811986783</v>
      </c>
      <c r="M46" s="21">
        <f t="shared" si="4"/>
        <v>0</v>
      </c>
      <c r="N46" s="21">
        <f t="shared" si="4"/>
        <v>0</v>
      </c>
      <c r="O46" s="21">
        <f t="shared" si="4"/>
        <v>-0.98026041471474867</v>
      </c>
      <c r="P46" s="21">
        <f t="shared" si="4"/>
        <v>-66.690513180149168</v>
      </c>
      <c r="Q46" s="21">
        <f t="shared" si="4"/>
        <v>0.72840970654241366</v>
      </c>
      <c r="R46" s="21">
        <f t="shared" si="4"/>
        <v>0</v>
      </c>
      <c r="S46" s="21">
        <f t="shared" si="4"/>
        <v>-29.42</v>
      </c>
      <c r="T46" s="21">
        <f t="shared" ref="T46" si="5">SUM(T45)</f>
        <v>0</v>
      </c>
    </row>
    <row r="47" spans="1:20" ht="16.5" customHeight="1"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1:20" ht="16.5" customHeight="1" thickBot="1">
      <c r="A48" s="24"/>
      <c r="B48" s="13" t="s">
        <v>99</v>
      </c>
      <c r="C48" s="26" t="s">
        <v>104</v>
      </c>
      <c r="D48" s="26"/>
      <c r="E48" s="23">
        <f>E46+E41+E39+E21+E11</f>
        <v>5664.9376490410959</v>
      </c>
      <c r="F48" s="23"/>
      <c r="G48" s="23">
        <f t="shared" ref="G48:S48" si="6">G46+G41+G39+G21+G11</f>
        <v>398.49088066830006</v>
      </c>
      <c r="H48" s="23">
        <f t="shared" si="6"/>
        <v>7.3298766554771255</v>
      </c>
      <c r="I48" s="23">
        <f t="shared" si="6"/>
        <v>167.35474550995116</v>
      </c>
      <c r="J48" s="23">
        <f t="shared" si="6"/>
        <v>201.30485663829725</v>
      </c>
      <c r="K48" s="23">
        <f t="shared" si="6"/>
        <v>1801.2624019729483</v>
      </c>
      <c r="L48" s="23">
        <f>L46+L41+L39+L21+L11</f>
        <v>2753.4717686094732</v>
      </c>
      <c r="M48" s="23">
        <f t="shared" si="6"/>
        <v>224.48579351000001</v>
      </c>
      <c r="N48" s="23">
        <f t="shared" si="6"/>
        <v>15.311322480000001</v>
      </c>
      <c r="O48" s="23">
        <f t="shared" si="6"/>
        <v>26.353826317255958</v>
      </c>
      <c r="P48" s="23">
        <f t="shared" si="6"/>
        <v>30.636602499850824</v>
      </c>
      <c r="Q48" s="23">
        <f t="shared" si="6"/>
        <v>61.355574179542423</v>
      </c>
      <c r="R48" s="23">
        <f t="shared" si="6"/>
        <v>7</v>
      </c>
      <c r="S48" s="23">
        <f t="shared" si="6"/>
        <v>-29.42</v>
      </c>
      <c r="T48" s="23">
        <f t="shared" ref="T48" si="7">T46+T41+T39+T21+T11</f>
        <v>0</v>
      </c>
    </row>
    <row r="49" spans="1:20" ht="13" thickTop="1">
      <c r="T49" s="10"/>
    </row>
    <row r="50" spans="1:20">
      <c r="A50" s="24"/>
    </row>
  </sheetData>
  <mergeCells count="5">
    <mergeCell ref="C1:S1"/>
    <mergeCell ref="C2:S2"/>
    <mergeCell ref="C3:S3"/>
    <mergeCell ref="C4:S4"/>
    <mergeCell ref="C5:S5"/>
  </mergeCells>
  <pageMargins left="0.7" right="0.7" top="0.75" bottom="0.75" header="0.3" footer="0.3"/>
  <pageSetup scale="61" fitToHeight="0" orientation="landscape" r:id="rId1"/>
  <headerFooter>
    <oddHeader>&amp;R&amp;"Arial,Regular"&amp;10Filed: 2023-03-08
EB-2022-0200
Exhibit I.7.1-VECC-62
Attachment 1</oddHeader>
  </headerFooter>
  <ignoredErrors>
    <ignoredError sqref="B11 B15:B21 B39:B48 B25:B3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R32"/>
  <sheetViews>
    <sheetView zoomScale="88" zoomScaleNormal="88" workbookViewId="0"/>
  </sheetViews>
  <sheetFormatPr defaultColWidth="9.1796875" defaultRowHeight="12.5"/>
  <cols>
    <col min="1" max="1" width="3.54296875" style="9" customWidth="1"/>
    <col min="2" max="2" width="3.453125" style="9" bestFit="1" customWidth="1"/>
    <col min="3" max="3" width="25.26953125" style="9" bestFit="1" customWidth="1"/>
    <col min="4" max="4" width="0.54296875" style="9" customWidth="1"/>
    <col min="5" max="5" width="13" style="10" customWidth="1"/>
    <col min="6" max="6" width="0.1796875" style="10" hidden="1" customWidth="1"/>
    <col min="7" max="9" width="13" style="10" customWidth="1"/>
    <col min="10" max="10" width="14.26953125" style="10" customWidth="1"/>
    <col min="11" max="16" width="13" style="10" customWidth="1"/>
    <col min="17" max="17" width="14.26953125" style="10" customWidth="1"/>
    <col min="18" max="18" width="13" style="10" customWidth="1"/>
    <col min="19" max="16384" width="9.1796875" style="9"/>
  </cols>
  <sheetData>
    <row r="1" spans="1:18">
      <c r="C1" s="90" t="s">
        <v>87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>
      <c r="C2" s="90" t="s">
        <v>105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8">
      <c r="C3" s="90" t="str">
        <f>'Function - Factors'!C2</f>
        <v>Year Ended December 31, 2018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18">
      <c r="C4" s="91" t="s">
        <v>2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5" spans="1:18">
      <c r="C5" s="90" t="s">
        <v>3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7" spans="1:18">
      <c r="E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0" t="s">
        <v>9</v>
      </c>
      <c r="L7" s="10" t="s">
        <v>10</v>
      </c>
      <c r="M7" s="10" t="s">
        <v>11</v>
      </c>
      <c r="N7" s="10" t="s">
        <v>12</v>
      </c>
      <c r="O7" s="10" t="s">
        <v>13</v>
      </c>
      <c r="P7" s="10" t="s">
        <v>14</v>
      </c>
      <c r="Q7" s="10" t="s">
        <v>15</v>
      </c>
      <c r="R7" s="10" t="s">
        <v>16</v>
      </c>
    </row>
    <row r="9" spans="1:18" ht="25">
      <c r="D9" s="11"/>
      <c r="E9" s="12" t="s">
        <v>106</v>
      </c>
      <c r="F9" s="12"/>
      <c r="G9" s="12" t="s">
        <v>18</v>
      </c>
      <c r="H9" s="12" t="s">
        <v>19</v>
      </c>
      <c r="I9" s="12" t="s">
        <v>20</v>
      </c>
      <c r="J9" s="12" t="s">
        <v>21</v>
      </c>
      <c r="K9" s="12" t="s">
        <v>22</v>
      </c>
      <c r="L9" s="12" t="s">
        <v>23</v>
      </c>
      <c r="M9" s="12" t="s">
        <v>24</v>
      </c>
      <c r="N9" s="12" t="s">
        <v>25</v>
      </c>
      <c r="O9" s="12" t="s">
        <v>26</v>
      </c>
      <c r="P9" s="12" t="s">
        <v>27</v>
      </c>
      <c r="Q9" s="12" t="s">
        <v>28</v>
      </c>
      <c r="R9" s="12" t="s">
        <v>29</v>
      </c>
    </row>
    <row r="11" spans="1:18" ht="16.5" customHeight="1">
      <c r="C11" s="9" t="s">
        <v>107</v>
      </c>
      <c r="E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1:18" ht="16.5" customHeight="1">
      <c r="E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spans="1:18" ht="16.5" customHeight="1">
      <c r="A13" s="24"/>
      <c r="B13" s="13" t="s">
        <v>108</v>
      </c>
      <c r="C13" s="9" t="s">
        <v>88</v>
      </c>
      <c r="E13" s="28">
        <f>'Function - Depreciation'!E47</f>
        <v>290.33349999999996</v>
      </c>
      <c r="F13" s="28"/>
      <c r="G13" s="28">
        <f>'Function - Depreciation'!I47</f>
        <v>1.1837809960000001</v>
      </c>
      <c r="H13" s="28">
        <f>'Function - Depreciation'!J47</f>
        <v>0.155977</v>
      </c>
      <c r="I13" s="28">
        <f>'Function - Depreciation'!K47</f>
        <v>6.7179959368380429</v>
      </c>
      <c r="J13" s="28">
        <f>'Function - Depreciation'!L47</f>
        <v>10.893063134824413</v>
      </c>
      <c r="K13" s="28">
        <f>'Function - Depreciation'!M47</f>
        <v>74.615194258853649</v>
      </c>
      <c r="L13" s="28">
        <f>'Function - Depreciation'!N47</f>
        <v>108.79615421313714</v>
      </c>
      <c r="M13" s="28">
        <f>'Function - Depreciation'!O47</f>
        <v>47.027671329999997</v>
      </c>
      <c r="N13" s="28">
        <f>'Function - Depreciation'!P47</f>
        <v>2.2477113000000002</v>
      </c>
      <c r="O13" s="28">
        <f>'Function - Depreciation'!Q47</f>
        <v>2.4063528583467448</v>
      </c>
      <c r="P13" s="28">
        <f>'Function - Depreciation'!R47</f>
        <v>14.939412539999998</v>
      </c>
      <c r="Q13" s="28">
        <f>'Function - Depreciation'!S47</f>
        <v>8.6401864320000001</v>
      </c>
      <c r="R13" s="28">
        <f>'Function - Depreciation'!T47</f>
        <v>12.71</v>
      </c>
    </row>
    <row r="14" spans="1:18" ht="16.5" customHeight="1">
      <c r="A14" s="24"/>
      <c r="B14" s="13" t="s">
        <v>109</v>
      </c>
      <c r="C14" s="9" t="s">
        <v>79</v>
      </c>
      <c r="E14" s="28">
        <v>48.059399999999997</v>
      </c>
      <c r="G14" s="28">
        <f>$E14*'Function - Factors'!G50</f>
        <v>2.2937021481599998E-2</v>
      </c>
      <c r="H14" s="28">
        <f>$E14*'Function - Factors'!H50</f>
        <v>0</v>
      </c>
      <c r="I14" s="28">
        <f>$E14*'Function - Factors'!I50</f>
        <v>0.22740679608839998</v>
      </c>
      <c r="J14" s="28">
        <f>$E14*'Function - Factors'!J50</f>
        <v>0.22167254071799997</v>
      </c>
      <c r="K14" s="28">
        <f>$E14*'Function - Factors'!K50</f>
        <v>13.235560153722599</v>
      </c>
      <c r="L14" s="28">
        <f>$E14*'Function - Factors'!L50</f>
        <v>32.545838559919197</v>
      </c>
      <c r="M14" s="28">
        <f>$E14*'Function - Factors'!M50</f>
        <v>5.4052407179999993E-3</v>
      </c>
      <c r="N14" s="28">
        <f>$E14*'Function - Factors'!N50</f>
        <v>0</v>
      </c>
      <c r="O14" s="28">
        <f>$E14*'Function - Factors'!O50</f>
        <v>0.37860186072599994</v>
      </c>
      <c r="P14" s="28">
        <f>$E14*'Function - Factors'!P50</f>
        <v>1.0020846270239998</v>
      </c>
      <c r="Q14" s="28">
        <f>$E14*'Function - Factors'!Q50</f>
        <v>0.41989319960220001</v>
      </c>
      <c r="R14" s="28">
        <f>$E14*'Function - Factors'!R50</f>
        <v>0</v>
      </c>
    </row>
    <row r="15" spans="1:18" ht="16.5" customHeight="1">
      <c r="A15" s="24"/>
      <c r="B15" s="29" t="s">
        <v>110</v>
      </c>
      <c r="C15" s="11" t="s">
        <v>81</v>
      </c>
      <c r="D15" s="11"/>
      <c r="E15" s="31">
        <v>0</v>
      </c>
      <c r="F15" s="30"/>
      <c r="G15" s="31">
        <f>$E15*'Function - Factors'!G51</f>
        <v>0</v>
      </c>
      <c r="H15" s="31">
        <f>$E15*'Function - Factors'!H51</f>
        <v>0</v>
      </c>
      <c r="I15" s="31">
        <f>$E15*'Function - Factors'!I51</f>
        <v>0</v>
      </c>
      <c r="J15" s="31">
        <f>$E15*'Function - Factors'!J51</f>
        <v>0</v>
      </c>
      <c r="K15" s="31">
        <f>$E15*'Function - Factors'!K51</f>
        <v>0</v>
      </c>
      <c r="L15" s="31">
        <f>$E15*'Function - Factors'!L51</f>
        <v>0</v>
      </c>
      <c r="M15" s="31">
        <f>$E15*'Function - Factors'!M51</f>
        <v>0</v>
      </c>
      <c r="N15" s="31">
        <f>$E15*'Function - Factors'!N51</f>
        <v>0</v>
      </c>
      <c r="O15" s="31">
        <f>$E15*'Function - Factors'!O51</f>
        <v>0</v>
      </c>
      <c r="P15" s="31">
        <f>$E15*'Function - Factors'!P51</f>
        <v>0</v>
      </c>
      <c r="Q15" s="31">
        <f>$E15*'Function - Factors'!Q51</f>
        <v>0</v>
      </c>
      <c r="R15" s="31">
        <f>$E15*'Function - Factors'!R51</f>
        <v>0</v>
      </c>
    </row>
    <row r="16" spans="1:18" ht="16.5" customHeight="1">
      <c r="A16" s="24"/>
      <c r="B16" s="13" t="s">
        <v>30</v>
      </c>
      <c r="C16" s="9" t="s">
        <v>42</v>
      </c>
      <c r="E16" s="33">
        <f>SUM(E13:E15)</f>
        <v>338.39289999999994</v>
      </c>
      <c r="G16" s="28">
        <f t="shared" ref="G16:R16" si="0">SUM(G13:G15)</f>
        <v>1.2067180174816001</v>
      </c>
      <c r="H16" s="28">
        <f t="shared" si="0"/>
        <v>0.155977</v>
      </c>
      <c r="I16" s="28">
        <f t="shared" si="0"/>
        <v>6.9454027329264427</v>
      </c>
      <c r="J16" s="28">
        <f t="shared" si="0"/>
        <v>11.114735675542413</v>
      </c>
      <c r="K16" s="28">
        <f t="shared" si="0"/>
        <v>87.850754412576251</v>
      </c>
      <c r="L16" s="28">
        <f t="shared" si="0"/>
        <v>141.34199277305635</v>
      </c>
      <c r="M16" s="28">
        <f t="shared" si="0"/>
        <v>47.033076570717995</v>
      </c>
      <c r="N16" s="28">
        <f t="shared" si="0"/>
        <v>2.2477113000000002</v>
      </c>
      <c r="O16" s="28">
        <f t="shared" si="0"/>
        <v>2.7849547190727448</v>
      </c>
      <c r="P16" s="28">
        <f t="shared" si="0"/>
        <v>15.941497167023996</v>
      </c>
      <c r="Q16" s="28">
        <f t="shared" si="0"/>
        <v>9.0600796316021999</v>
      </c>
      <c r="R16" s="28">
        <f t="shared" si="0"/>
        <v>12.71</v>
      </c>
    </row>
    <row r="17" spans="1:18" ht="16.5" customHeight="1">
      <c r="A17" s="24"/>
      <c r="E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1:18" ht="16.5" customHeight="1">
      <c r="A18" s="24"/>
      <c r="C18" s="9" t="s">
        <v>111</v>
      </c>
      <c r="E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18" ht="16.5" customHeight="1">
      <c r="A19" s="24"/>
      <c r="E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1:18" ht="16.5" customHeight="1">
      <c r="A20" s="24"/>
      <c r="B20" s="13" t="s">
        <v>32</v>
      </c>
      <c r="C20" s="9" t="s">
        <v>112</v>
      </c>
      <c r="E20" s="34">
        <v>-1.1000000000000001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E20</f>
        <v>-1.1000000000000001</v>
      </c>
      <c r="O20" s="21">
        <f>0</f>
        <v>0</v>
      </c>
      <c r="P20" s="21">
        <f>0</f>
        <v>0</v>
      </c>
      <c r="Q20" s="21">
        <f>0</f>
        <v>0</v>
      </c>
      <c r="R20" s="21">
        <f>0</f>
        <v>0</v>
      </c>
    </row>
    <row r="21" spans="1:18" ht="16.5" customHeight="1">
      <c r="A21" s="24"/>
      <c r="B21" s="13" t="s">
        <v>34</v>
      </c>
      <c r="C21" s="9" t="s">
        <v>113</v>
      </c>
      <c r="E21" s="34">
        <v>-6</v>
      </c>
      <c r="G21" s="21">
        <f>E21-H21</f>
        <v>-6.1159999999999997</v>
      </c>
      <c r="H21" s="21">
        <v>0.11600000000000001</v>
      </c>
      <c r="I21" s="21">
        <f>0</f>
        <v>0</v>
      </c>
      <c r="J21" s="21">
        <f>0</f>
        <v>0</v>
      </c>
      <c r="K21" s="21">
        <f>0</f>
        <v>0</v>
      </c>
      <c r="L21" s="21">
        <f>0</f>
        <v>0</v>
      </c>
      <c r="M21" s="21">
        <f>0</f>
        <v>0</v>
      </c>
      <c r="N21" s="21">
        <f>0</f>
        <v>0</v>
      </c>
      <c r="O21" s="21">
        <f>0</f>
        <v>0</v>
      </c>
      <c r="P21" s="21">
        <f>0</f>
        <v>0</v>
      </c>
      <c r="Q21" s="21">
        <f>0</f>
        <v>0</v>
      </c>
      <c r="R21" s="21">
        <f>0</f>
        <v>0</v>
      </c>
    </row>
    <row r="22" spans="1:18" ht="16.5" customHeight="1">
      <c r="A22" s="24"/>
      <c r="B22" s="13" t="s">
        <v>36</v>
      </c>
      <c r="C22" s="9" t="s">
        <v>114</v>
      </c>
      <c r="E22" s="34">
        <f>-0.1-0.9</f>
        <v>-1</v>
      </c>
      <c r="G22" s="21">
        <f>0</f>
        <v>0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0</f>
        <v>0</v>
      </c>
      <c r="M22" s="21">
        <f>0</f>
        <v>0</v>
      </c>
      <c r="N22" s="21">
        <f>0</f>
        <v>0</v>
      </c>
      <c r="O22" s="21">
        <f>0</f>
        <v>0</v>
      </c>
      <c r="P22" s="21">
        <f>0</f>
        <v>0</v>
      </c>
      <c r="Q22" s="21">
        <f>E22</f>
        <v>-1</v>
      </c>
      <c r="R22" s="21">
        <f>0</f>
        <v>0</v>
      </c>
    </row>
    <row r="23" spans="1:18" ht="16.5" customHeight="1">
      <c r="A23" s="24"/>
      <c r="B23" s="13" t="s">
        <v>37</v>
      </c>
      <c r="C23" s="9" t="s">
        <v>115</v>
      </c>
      <c r="E23" s="34">
        <v>-10.1</v>
      </c>
      <c r="G23" s="21">
        <f>0</f>
        <v>0</v>
      </c>
      <c r="H23" s="21">
        <f>0</f>
        <v>0</v>
      </c>
      <c r="I23" s="21">
        <f>0</f>
        <v>0</v>
      </c>
      <c r="J23" s="21">
        <f>0</f>
        <v>0</v>
      </c>
      <c r="K23" s="21">
        <f>0</f>
        <v>0</v>
      </c>
      <c r="L23" s="21">
        <f>0</f>
        <v>0</v>
      </c>
      <c r="M23" s="21">
        <f>0</f>
        <v>0</v>
      </c>
      <c r="N23" s="21">
        <f>0</f>
        <v>0</v>
      </c>
      <c r="O23" s="21">
        <f>0</f>
        <v>0</v>
      </c>
      <c r="P23" s="21">
        <f>E23</f>
        <v>-10.1</v>
      </c>
      <c r="Q23" s="21">
        <f>0</f>
        <v>0</v>
      </c>
      <c r="R23" s="21">
        <f>0</f>
        <v>0</v>
      </c>
    </row>
    <row r="24" spans="1:18" ht="16.5" customHeight="1">
      <c r="A24" s="24"/>
      <c r="B24" s="13" t="s">
        <v>39</v>
      </c>
      <c r="C24" s="9" t="s">
        <v>116</v>
      </c>
      <c r="E24" s="34">
        <v>-5.4</v>
      </c>
      <c r="G24" s="21">
        <f>0</f>
        <v>0</v>
      </c>
      <c r="H24" s="21">
        <f>0</f>
        <v>0</v>
      </c>
      <c r="I24" s="21">
        <f>0</f>
        <v>0</v>
      </c>
      <c r="J24" s="21">
        <f>0</f>
        <v>0</v>
      </c>
      <c r="K24" s="21">
        <f>0</f>
        <v>0</v>
      </c>
      <c r="L24" s="21">
        <f>0</f>
        <v>0</v>
      </c>
      <c r="M24" s="21">
        <f>0</f>
        <v>0</v>
      </c>
      <c r="N24" s="21">
        <f>0</f>
        <v>0</v>
      </c>
      <c r="O24" s="21">
        <f>0</f>
        <v>0</v>
      </c>
      <c r="P24" s="21">
        <f>E24</f>
        <v>-5.4</v>
      </c>
      <c r="Q24" s="21">
        <f>0</f>
        <v>0</v>
      </c>
      <c r="R24" s="21">
        <f>0</f>
        <v>0</v>
      </c>
    </row>
    <row r="25" spans="1:18" ht="16.5" customHeight="1">
      <c r="A25" s="24"/>
      <c r="B25" s="13" t="s">
        <v>40</v>
      </c>
      <c r="C25" s="9" t="s">
        <v>117</v>
      </c>
      <c r="E25" s="34">
        <f>-(13.8-1.42-1.061731-0.730355-0.3-0.3-0.9)</f>
        <v>-9.0879139999999996</v>
      </c>
      <c r="G25" s="21">
        <f>0</f>
        <v>0</v>
      </c>
      <c r="H25" s="21">
        <f>0</f>
        <v>0</v>
      </c>
      <c r="I25" s="21">
        <f>0</f>
        <v>0</v>
      </c>
      <c r="J25" s="21">
        <f>0</f>
        <v>0</v>
      </c>
      <c r="K25" s="21">
        <f>0</f>
        <v>0</v>
      </c>
      <c r="L25" s="21">
        <f>0</f>
        <v>0</v>
      </c>
      <c r="M25" s="21">
        <f>0</f>
        <v>0</v>
      </c>
      <c r="N25" s="21">
        <f>0</f>
        <v>0</v>
      </c>
      <c r="O25" s="21">
        <f>0</f>
        <v>0</v>
      </c>
      <c r="P25" s="21">
        <f>E25</f>
        <v>-9.0879139999999996</v>
      </c>
      <c r="Q25" s="21">
        <f>0</f>
        <v>0</v>
      </c>
      <c r="R25" s="21">
        <f>0</f>
        <v>0</v>
      </c>
    </row>
    <row r="26" spans="1:18" ht="16.5" customHeight="1">
      <c r="A26" s="24"/>
      <c r="B26" s="13" t="s">
        <v>118</v>
      </c>
      <c r="C26" s="9" t="s">
        <v>119</v>
      </c>
      <c r="E26" s="34">
        <f>-0.730355-0.3</f>
        <v>-1.0303549999999999</v>
      </c>
      <c r="G26" s="21">
        <f>0</f>
        <v>0</v>
      </c>
      <c r="H26" s="21">
        <f>0</f>
        <v>0</v>
      </c>
      <c r="I26" s="21">
        <f>0</f>
        <v>0</v>
      </c>
      <c r="J26" s="21">
        <f>0</f>
        <v>0</v>
      </c>
      <c r="K26" s="21">
        <f>0</f>
        <v>0</v>
      </c>
      <c r="L26" s="21">
        <f>0</f>
        <v>0</v>
      </c>
      <c r="M26" s="21">
        <f>E26</f>
        <v>-1.0303549999999999</v>
      </c>
      <c r="N26" s="21">
        <f>0</f>
        <v>0</v>
      </c>
      <c r="O26" s="21">
        <f>0</f>
        <v>0</v>
      </c>
      <c r="P26" s="21">
        <f>0</f>
        <v>0</v>
      </c>
      <c r="Q26" s="21">
        <f>0</f>
        <v>0</v>
      </c>
      <c r="R26" s="21">
        <f>0</f>
        <v>0</v>
      </c>
    </row>
    <row r="27" spans="1:18" ht="16.5" customHeight="1">
      <c r="A27" s="24"/>
      <c r="B27" s="13" t="s">
        <v>120</v>
      </c>
      <c r="C27" s="11" t="s">
        <v>121</v>
      </c>
      <c r="D27" s="11"/>
      <c r="E27" s="35">
        <f>-1.061731-0.3</f>
        <v>-1.361731</v>
      </c>
      <c r="F27" s="30"/>
      <c r="G27" s="22">
        <f>0</f>
        <v>0</v>
      </c>
      <c r="H27" s="22">
        <f>0</f>
        <v>0</v>
      </c>
      <c r="I27" s="22">
        <f>0</f>
        <v>0</v>
      </c>
      <c r="J27" s="22">
        <f>0</f>
        <v>0</v>
      </c>
      <c r="K27" s="22">
        <f>E27</f>
        <v>-1.361731</v>
      </c>
      <c r="L27" s="22">
        <f>0</f>
        <v>0</v>
      </c>
      <c r="M27" s="22">
        <f>0</f>
        <v>0</v>
      </c>
      <c r="N27" s="22">
        <f>0</f>
        <v>0</v>
      </c>
      <c r="O27" s="22">
        <f>0</f>
        <v>0</v>
      </c>
      <c r="P27" s="22">
        <f>0</f>
        <v>0</v>
      </c>
      <c r="Q27" s="22">
        <f>0</f>
        <v>0</v>
      </c>
      <c r="R27" s="22">
        <f>0</f>
        <v>0</v>
      </c>
    </row>
    <row r="28" spans="1:18" ht="16.5" customHeight="1">
      <c r="A28" s="24"/>
      <c r="B28" s="13" t="s">
        <v>41</v>
      </c>
      <c r="C28" s="9" t="s">
        <v>122</v>
      </c>
      <c r="E28" s="36">
        <f>SUM(E20:E27)</f>
        <v>-35.08</v>
      </c>
      <c r="G28" s="21">
        <f t="shared" ref="G28:R28" si="1">SUM(G20:G27)</f>
        <v>-6.1159999999999997</v>
      </c>
      <c r="H28" s="21">
        <f t="shared" si="1"/>
        <v>0.11600000000000001</v>
      </c>
      <c r="I28" s="21">
        <f t="shared" si="1"/>
        <v>0</v>
      </c>
      <c r="J28" s="21">
        <f t="shared" si="1"/>
        <v>0</v>
      </c>
      <c r="K28" s="21">
        <f t="shared" si="1"/>
        <v>-1.361731</v>
      </c>
      <c r="L28" s="21">
        <f t="shared" si="1"/>
        <v>0</v>
      </c>
      <c r="M28" s="21">
        <f t="shared" si="1"/>
        <v>-1.0303549999999999</v>
      </c>
      <c r="N28" s="21">
        <f t="shared" si="1"/>
        <v>-1.1000000000000001</v>
      </c>
      <c r="O28" s="21">
        <f t="shared" si="1"/>
        <v>0</v>
      </c>
      <c r="P28" s="21">
        <f t="shared" si="1"/>
        <v>-24.587913999999998</v>
      </c>
      <c r="Q28" s="21">
        <f t="shared" si="1"/>
        <v>-1</v>
      </c>
      <c r="R28" s="21">
        <f t="shared" si="1"/>
        <v>0</v>
      </c>
    </row>
    <row r="29" spans="1:18" ht="16.5" customHeight="1">
      <c r="A29" s="24"/>
      <c r="E29" s="28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8" ht="16.5" customHeight="1" thickBot="1">
      <c r="A30" s="24"/>
      <c r="B30" s="13" t="s">
        <v>64</v>
      </c>
      <c r="C30" s="26" t="s">
        <v>123</v>
      </c>
      <c r="D30" s="26"/>
      <c r="E30" s="32">
        <f>E28+E16</f>
        <v>303.31289999999996</v>
      </c>
      <c r="F30" s="32"/>
      <c r="G30" s="23">
        <f t="shared" ref="G30:R30" si="2">G28+G16</f>
        <v>-4.9092819825183991</v>
      </c>
      <c r="H30" s="23">
        <f t="shared" si="2"/>
        <v>0.27197700000000002</v>
      </c>
      <c r="I30" s="23">
        <f t="shared" si="2"/>
        <v>6.9454027329264427</v>
      </c>
      <c r="J30" s="23">
        <f t="shared" si="2"/>
        <v>11.114735675542413</v>
      </c>
      <c r="K30" s="23">
        <f t="shared" si="2"/>
        <v>86.489023412576245</v>
      </c>
      <c r="L30" s="23">
        <f t="shared" si="2"/>
        <v>141.34199277305635</v>
      </c>
      <c r="M30" s="23">
        <f t="shared" si="2"/>
        <v>46.002721570717995</v>
      </c>
      <c r="N30" s="23">
        <f t="shared" si="2"/>
        <v>1.1477113000000001</v>
      </c>
      <c r="O30" s="23">
        <f t="shared" si="2"/>
        <v>2.7849547190727448</v>
      </c>
      <c r="P30" s="23">
        <f t="shared" si="2"/>
        <v>-8.6464168329760014</v>
      </c>
      <c r="Q30" s="23">
        <f t="shared" si="2"/>
        <v>8.0600796316021999</v>
      </c>
      <c r="R30" s="23">
        <f t="shared" si="2"/>
        <v>12.71</v>
      </c>
    </row>
    <row r="31" spans="1:18" ht="13" thickTop="1"/>
    <row r="32" spans="1:18">
      <c r="A32" s="24"/>
    </row>
  </sheetData>
  <mergeCells count="5">
    <mergeCell ref="C1:R1"/>
    <mergeCell ref="C2:R2"/>
    <mergeCell ref="C3:R3"/>
    <mergeCell ref="C4:R4"/>
    <mergeCell ref="C5:R5"/>
  </mergeCells>
  <pageMargins left="0.7" right="0.7" top="0.75" bottom="0.75" header="0.3" footer="0.3"/>
  <pageSetup scale="61" fitToHeight="0" orientation="landscape" r:id="rId1"/>
  <headerFooter>
    <oddHeader>&amp;R&amp;"Arial,Regular"&amp;10Filed: 2023-03-08
EB-2022-0200
Exhibit I.7.1-VECC-62
Attachment 1</oddHeader>
  </headerFooter>
  <ignoredErrors>
    <ignoredError sqref="B13:B30" numberStoredAsText="1"/>
    <ignoredError sqref="G21:R28 N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0" tint="-0.14999847407452621"/>
  </sheetPr>
  <dimension ref="B1:U39"/>
  <sheetViews>
    <sheetView tabSelected="1" view="pageLayout" zoomScaleNormal="91" workbookViewId="0"/>
  </sheetViews>
  <sheetFormatPr defaultColWidth="9.1796875" defaultRowHeight="14"/>
  <cols>
    <col min="1" max="1" width="4.26953125" style="6" customWidth="1"/>
    <col min="2" max="2" width="4.453125" style="6" hidden="1" customWidth="1"/>
    <col min="3" max="3" width="3.81640625" style="6" bestFit="1" customWidth="1"/>
    <col min="4" max="4" width="28.1796875" style="6" bestFit="1" customWidth="1"/>
    <col min="5" max="5" width="0.1796875" style="6" customWidth="1"/>
    <col min="6" max="6" width="14.26953125" style="1" customWidth="1"/>
    <col min="7" max="7" width="0.1796875" style="1" hidden="1" customWidth="1"/>
    <col min="8" max="17" width="14.26953125" style="1" customWidth="1"/>
    <col min="18" max="18" width="7.453125" style="6" customWidth="1"/>
    <col min="19" max="19" width="9.54296875" style="6" bestFit="1" customWidth="1"/>
    <col min="20" max="16384" width="9.1796875" style="6"/>
  </cols>
  <sheetData>
    <row r="1" spans="2:19">
      <c r="D1" s="92" t="s">
        <v>87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2:19">
      <c r="D2" s="92" t="s">
        <v>124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2:19">
      <c r="D3" s="92" t="str">
        <f>'Function - Factors'!C2</f>
        <v>Year Ended December 31, 2018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2:19">
      <c r="D4" s="93" t="s">
        <v>2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4"/>
    </row>
    <row r="5" spans="2:19">
      <c r="D5" s="92" t="s">
        <v>3</v>
      </c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</row>
    <row r="7" spans="2:19">
      <c r="F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</row>
    <row r="9" spans="2:19" ht="28">
      <c r="E9" s="7"/>
      <c r="F9" s="3" t="s">
        <v>125</v>
      </c>
      <c r="G9" s="3"/>
      <c r="H9" s="3" t="s">
        <v>18</v>
      </c>
      <c r="I9" s="3" t="s">
        <v>19</v>
      </c>
      <c r="J9" s="3" t="s">
        <v>20</v>
      </c>
      <c r="K9" s="3" t="s">
        <v>21</v>
      </c>
      <c r="L9" s="3" t="s">
        <v>22</v>
      </c>
      <c r="M9" s="3" t="s">
        <v>23</v>
      </c>
      <c r="N9" s="3" t="s">
        <v>26</v>
      </c>
      <c r="O9" s="3" t="s">
        <v>27</v>
      </c>
      <c r="P9" s="3" t="s">
        <v>28</v>
      </c>
      <c r="Q9" s="3" t="s">
        <v>91</v>
      </c>
    </row>
    <row r="11" spans="2:19">
      <c r="D11" s="6" t="s">
        <v>97</v>
      </c>
      <c r="F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2:19">
      <c r="F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2:19">
      <c r="B13" s="20"/>
      <c r="C13" s="8" t="s">
        <v>30</v>
      </c>
      <c r="D13" s="6" t="s">
        <v>69</v>
      </c>
      <c r="F13" s="27">
        <v>1</v>
      </c>
      <c r="G13" s="27"/>
      <c r="H13" s="27">
        <f>$F13*'Function - Factors'!G40</f>
        <v>0</v>
      </c>
      <c r="I13" s="27">
        <f>$F13*'Function - Factors'!H40</f>
        <v>0</v>
      </c>
      <c r="J13" s="27">
        <f>$F13*'Function - Factors'!I40</f>
        <v>0</v>
      </c>
      <c r="K13" s="27">
        <f>$F13*'Function - Factors'!J40</f>
        <v>0</v>
      </c>
      <c r="L13" s="27">
        <f>$F13*'Function - Factors'!K40</f>
        <v>0.1225</v>
      </c>
      <c r="M13" s="27">
        <f>$F13*'Function - Factors'!L40</f>
        <v>0.1225</v>
      </c>
      <c r="N13" s="27">
        <f>$F13*'Function - Factors'!O40</f>
        <v>9.1000000000000004E-3</v>
      </c>
      <c r="O13" s="27">
        <f>$F13*'Function - Factors'!P40</f>
        <v>0</v>
      </c>
      <c r="P13" s="27">
        <f>$F13*'Function - Factors'!Q40</f>
        <v>0.74590000000000001</v>
      </c>
      <c r="Q13" s="27">
        <v>0</v>
      </c>
    </row>
    <row r="14" spans="2:19">
      <c r="B14" s="20"/>
      <c r="F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2:19">
      <c r="B15" s="20"/>
      <c r="D15" s="6" t="s">
        <v>70</v>
      </c>
      <c r="F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S15" s="1"/>
    </row>
    <row r="16" spans="2:19">
      <c r="B16" s="20"/>
      <c r="F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S16" s="37"/>
    </row>
    <row r="17" spans="2:21">
      <c r="B17" s="20"/>
      <c r="C17" s="8" t="s">
        <v>32</v>
      </c>
      <c r="D17" s="6" t="s">
        <v>126</v>
      </c>
      <c r="F17" s="38">
        <v>0.64067652146014387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f>F17</f>
        <v>0.64067652146014387</v>
      </c>
      <c r="O17" s="5">
        <v>0</v>
      </c>
      <c r="P17" s="5">
        <v>0</v>
      </c>
      <c r="Q17" s="5">
        <v>0</v>
      </c>
      <c r="U17" s="39"/>
    </row>
    <row r="18" spans="2:21">
      <c r="B18" s="20"/>
      <c r="C18" s="8" t="s">
        <v>34</v>
      </c>
      <c r="D18" s="6" t="s">
        <v>72</v>
      </c>
      <c r="F18" s="38">
        <v>6.2683820196127593</v>
      </c>
      <c r="H18" s="5">
        <f>$F18*'Function - Factors'!G44</f>
        <v>0</v>
      </c>
      <c r="I18" s="5">
        <f>$F18*'Function - Factors'!H44</f>
        <v>0</v>
      </c>
      <c r="J18" s="5">
        <f>$F18*'Function - Factors'!I44</f>
        <v>0</v>
      </c>
      <c r="K18" s="5">
        <f>$F18*'Function - Factors'!J44</f>
        <v>0</v>
      </c>
      <c r="L18" s="5">
        <f>$F18*'Function - Factors'!K44</f>
        <v>1.4257719830064657</v>
      </c>
      <c r="M18" s="5">
        <f>$F18*'Function - Factors'!L44</f>
        <v>4.8426100366062936</v>
      </c>
      <c r="N18" s="5">
        <f>$F18*'Function - Factors'!O44</f>
        <v>0</v>
      </c>
      <c r="O18" s="5">
        <f>$F18*'Function - Factors'!P44</f>
        <v>0</v>
      </c>
      <c r="P18" s="5">
        <f>$F18*'Function - Factors'!Q44</f>
        <v>0</v>
      </c>
      <c r="Q18" s="5">
        <v>0</v>
      </c>
      <c r="U18" s="39"/>
    </row>
    <row r="19" spans="2:21">
      <c r="B19" s="20"/>
      <c r="C19" s="8" t="s">
        <v>36</v>
      </c>
      <c r="D19" s="6" t="s">
        <v>127</v>
      </c>
      <c r="F19" s="38">
        <v>5.7703445204218289</v>
      </c>
      <c r="H19" s="5">
        <f>$F19*'Function - Factors'!G45</f>
        <v>0</v>
      </c>
      <c r="I19" s="5">
        <f>$F19*'Function - Factors'!H45</f>
        <v>0</v>
      </c>
      <c r="J19" s="5">
        <f>$F19*'Function - Factors'!I45</f>
        <v>0</v>
      </c>
      <c r="K19" s="5">
        <f>$F19*'Function - Factors'!J45</f>
        <v>0</v>
      </c>
      <c r="L19" s="5">
        <f>$F19*'Function - Factors'!K45</f>
        <v>2.8851722602109144</v>
      </c>
      <c r="M19" s="5">
        <f>$F19*'Function - Factors'!L45</f>
        <v>2.8851722602109144</v>
      </c>
      <c r="N19" s="5">
        <f>$F19*'Function - Factors'!O45</f>
        <v>0</v>
      </c>
      <c r="O19" s="5">
        <f>$F19*'Function - Factors'!P45</f>
        <v>0</v>
      </c>
      <c r="P19" s="5">
        <f>$F19*'Function - Factors'!Q45</f>
        <v>0</v>
      </c>
      <c r="Q19" s="5">
        <v>0</v>
      </c>
      <c r="U19" s="39"/>
    </row>
    <row r="20" spans="2:21">
      <c r="B20" s="20"/>
      <c r="C20" s="8" t="s">
        <v>37</v>
      </c>
      <c r="D20" s="7" t="s">
        <v>128</v>
      </c>
      <c r="E20" s="7"/>
      <c r="F20" s="40">
        <v>18.835896938505272</v>
      </c>
      <c r="G20" s="2"/>
      <c r="H20" s="18">
        <f>$F20*'Function - Factors'!G46</f>
        <v>0</v>
      </c>
      <c r="I20" s="18">
        <f>$F20*'Function - Factors'!H46</f>
        <v>0</v>
      </c>
      <c r="J20" s="18">
        <f>$F20*'Function - Factors'!I46</f>
        <v>0</v>
      </c>
      <c r="K20" s="18">
        <f>$F20*'Function - Factors'!J46</f>
        <v>0</v>
      </c>
      <c r="L20" s="18">
        <f>$F20*'Function - Factors'!K46</f>
        <v>9.4179484692526358</v>
      </c>
      <c r="M20" s="18">
        <f>$F20*'Function - Factors'!L46</f>
        <v>9.4179484692526358</v>
      </c>
      <c r="N20" s="18">
        <f>$F20*'Function - Factors'!O46</f>
        <v>0</v>
      </c>
      <c r="O20" s="18">
        <f>$F20*'Function - Factors'!P46</f>
        <v>0</v>
      </c>
      <c r="P20" s="18">
        <f>$F20*'Function - Factors'!Q46</f>
        <v>0</v>
      </c>
      <c r="Q20" s="18">
        <v>0</v>
      </c>
      <c r="U20" s="39"/>
    </row>
    <row r="21" spans="2:21">
      <c r="B21" s="20"/>
      <c r="C21" s="8" t="s">
        <v>41</v>
      </c>
      <c r="D21" s="6" t="s">
        <v>129</v>
      </c>
      <c r="F21" s="41">
        <f>SUM(F17:F20)</f>
        <v>31.515300000000003</v>
      </c>
      <c r="G21" s="41"/>
      <c r="H21" s="41">
        <f t="shared" ref="H21:P21" si="0">SUM(H17:H20)</f>
        <v>0</v>
      </c>
      <c r="I21" s="41">
        <f t="shared" si="0"/>
        <v>0</v>
      </c>
      <c r="J21" s="41">
        <f t="shared" si="0"/>
        <v>0</v>
      </c>
      <c r="K21" s="41">
        <f t="shared" si="0"/>
        <v>0</v>
      </c>
      <c r="L21" s="41">
        <f t="shared" si="0"/>
        <v>13.728892712470016</v>
      </c>
      <c r="M21" s="41">
        <f t="shared" si="0"/>
        <v>17.145730766069846</v>
      </c>
      <c r="N21" s="41">
        <f t="shared" si="0"/>
        <v>0.64067652146014387</v>
      </c>
      <c r="O21" s="41">
        <f t="shared" si="0"/>
        <v>0</v>
      </c>
      <c r="P21" s="41">
        <f t="shared" si="0"/>
        <v>0</v>
      </c>
      <c r="Q21" s="41">
        <f>SUM(Q17:Q20)</f>
        <v>0</v>
      </c>
      <c r="U21" s="39"/>
    </row>
    <row r="22" spans="2:21">
      <c r="B22" s="20"/>
      <c r="C22" s="8"/>
      <c r="F22" s="41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21">
      <c r="B23" s="20"/>
      <c r="C23" s="8" t="s">
        <v>64</v>
      </c>
      <c r="D23" s="6" t="s">
        <v>130</v>
      </c>
      <c r="F23" s="41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f>F23</f>
        <v>0</v>
      </c>
      <c r="Q23" s="5">
        <v>0</v>
      </c>
    </row>
    <row r="24" spans="2:21">
      <c r="B24" s="20"/>
      <c r="C24" s="8" t="s">
        <v>66</v>
      </c>
      <c r="D24" s="6" t="s">
        <v>131</v>
      </c>
      <c r="F24" s="41">
        <v>1.4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f>F24</f>
        <v>1.4</v>
      </c>
      <c r="N24" s="5">
        <v>0</v>
      </c>
      <c r="O24" s="5">
        <v>0</v>
      </c>
      <c r="P24" s="5">
        <v>0</v>
      </c>
      <c r="Q24" s="5">
        <v>0</v>
      </c>
    </row>
    <row r="25" spans="2:21">
      <c r="B25" s="20"/>
      <c r="C25" s="8" t="s">
        <v>68</v>
      </c>
      <c r="D25" s="6" t="s">
        <v>132</v>
      </c>
      <c r="F25" s="41">
        <v>370.9</v>
      </c>
      <c r="H25" s="5">
        <f>F25</f>
        <v>370.9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</row>
    <row r="26" spans="2:21">
      <c r="B26" s="20"/>
      <c r="C26" s="8" t="s">
        <v>99</v>
      </c>
      <c r="D26" s="6" t="s">
        <v>133</v>
      </c>
      <c r="F26" s="41">
        <v>-64.599999999999994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f>F26</f>
        <v>-64.599999999999994</v>
      </c>
      <c r="P26" s="5">
        <v>0</v>
      </c>
      <c r="Q26" s="5">
        <v>0</v>
      </c>
    </row>
    <row r="27" spans="2:21">
      <c r="B27" s="20"/>
      <c r="C27" s="8"/>
      <c r="F27" s="41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21">
      <c r="B28" s="20"/>
      <c r="C28" s="8"/>
      <c r="D28" s="6" t="s">
        <v>134</v>
      </c>
      <c r="F28" s="41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21">
      <c r="B29" s="20"/>
      <c r="C29" s="8"/>
      <c r="F29" s="41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21">
      <c r="B30" s="20"/>
      <c r="C30" s="8" t="s">
        <v>135</v>
      </c>
      <c r="D30" s="6" t="s">
        <v>136</v>
      </c>
      <c r="F30" s="41">
        <f>SUM(H30:Q30)</f>
        <v>-0.9710509589041143</v>
      </c>
      <c r="G30" s="41"/>
      <c r="H30" s="41">
        <v>7.5481916893477541</v>
      </c>
      <c r="I30" s="41">
        <v>1.7810318104294136</v>
      </c>
      <c r="J30" s="41">
        <v>-0.1797255240415753</v>
      </c>
      <c r="K30" s="41">
        <v>-0.553033858548723</v>
      </c>
      <c r="L30" s="41">
        <v>-0.78281667987418668</v>
      </c>
      <c r="M30" s="41">
        <v>-2.6245141654404716</v>
      </c>
      <c r="N30" s="41">
        <v>-2.6862544887239639</v>
      </c>
      <c r="O30" s="41">
        <v>-3.4451062361140274</v>
      </c>
      <c r="P30" s="41">
        <v>-2.8823505938333972E-2</v>
      </c>
      <c r="Q30" s="41">
        <v>0</v>
      </c>
    </row>
    <row r="31" spans="2:21">
      <c r="B31" s="20"/>
      <c r="C31" s="8" t="s">
        <v>137</v>
      </c>
      <c r="D31" s="7" t="s">
        <v>138</v>
      </c>
      <c r="E31" s="7"/>
      <c r="F31" s="42">
        <v>2.4</v>
      </c>
      <c r="G31" s="2"/>
      <c r="H31" s="18">
        <v>15.405094514952287</v>
      </c>
      <c r="I31" s="18">
        <v>3.6349054850477112</v>
      </c>
      <c r="J31" s="18">
        <v>7.0666890992880357E-2</v>
      </c>
      <c r="K31" s="18">
        <v>0.21744926662945274</v>
      </c>
      <c r="L31" s="18">
        <v>2.3134708100255832</v>
      </c>
      <c r="M31" s="18">
        <v>7.7562692113574112</v>
      </c>
      <c r="N31" s="18">
        <v>1.0562175525490713</v>
      </c>
      <c r="O31" s="18">
        <v>1.3545930559648542</v>
      </c>
      <c r="P31" s="18">
        <v>1.1333212480747614E-2</v>
      </c>
      <c r="Q31" s="18">
        <v>-29.42</v>
      </c>
    </row>
    <row r="32" spans="2:21">
      <c r="B32" s="20"/>
      <c r="C32" s="8"/>
      <c r="D32" s="6" t="s">
        <v>139</v>
      </c>
      <c r="F32" s="41">
        <f>SUM(F30:F31)</f>
        <v>1.4289490410958856</v>
      </c>
      <c r="G32" s="41"/>
      <c r="H32" s="41">
        <f>SUM(H30:H31)</f>
        <v>22.953286204300042</v>
      </c>
      <c r="I32" s="41">
        <f t="shared" ref="I32:P32" si="1">SUM(I30:I31)</f>
        <v>5.415937295477125</v>
      </c>
      <c r="J32" s="41">
        <f t="shared" si="1"/>
        <v>-0.10905863304869494</v>
      </c>
      <c r="K32" s="41">
        <f t="shared" si="1"/>
        <v>-0.33558459191927026</v>
      </c>
      <c r="L32" s="41">
        <f t="shared" si="1"/>
        <v>1.5306541301513965</v>
      </c>
      <c r="M32" s="41">
        <f t="shared" si="1"/>
        <v>5.1317550459169397</v>
      </c>
      <c r="N32" s="41">
        <f t="shared" si="1"/>
        <v>-1.6300369361748925</v>
      </c>
      <c r="O32" s="41">
        <f t="shared" si="1"/>
        <v>-2.0905131801491734</v>
      </c>
      <c r="P32" s="41">
        <f t="shared" si="1"/>
        <v>-1.7490293457586358E-2</v>
      </c>
      <c r="Q32" s="41">
        <f>SUM(Q30:Q31)</f>
        <v>-29.42</v>
      </c>
      <c r="U32" s="20"/>
    </row>
    <row r="33" spans="2:17" ht="14.25" customHeight="1">
      <c r="B33" s="20"/>
      <c r="F33" s="27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ht="14.5" thickBot="1">
      <c r="B34" s="20"/>
      <c r="C34" s="8" t="s">
        <v>80</v>
      </c>
      <c r="D34" s="43" t="s">
        <v>140</v>
      </c>
      <c r="E34" s="43"/>
      <c r="F34" s="19">
        <f>F32+F26+F25+F24+F23+F21+F13</f>
        <v>341.64424904109586</v>
      </c>
      <c r="G34" s="19"/>
      <c r="H34" s="19">
        <f t="shared" ref="H34:Q34" si="2">H32+H26+H25+H24+H23+H21+H13</f>
        <v>393.85328620430005</v>
      </c>
      <c r="I34" s="19">
        <f t="shared" si="2"/>
        <v>5.415937295477125</v>
      </c>
      <c r="J34" s="19">
        <f t="shared" si="2"/>
        <v>-0.10905863304869494</v>
      </c>
      <c r="K34" s="19">
        <f t="shared" si="2"/>
        <v>-0.33558459191927026</v>
      </c>
      <c r="L34" s="19">
        <f t="shared" si="2"/>
        <v>15.382046842621412</v>
      </c>
      <c r="M34" s="19">
        <f t="shared" si="2"/>
        <v>23.799985811986783</v>
      </c>
      <c r="N34" s="19">
        <f t="shared" si="2"/>
        <v>-0.98026041471474867</v>
      </c>
      <c r="O34" s="19">
        <f t="shared" si="2"/>
        <v>-66.690513180149168</v>
      </c>
      <c r="P34" s="19">
        <f t="shared" si="2"/>
        <v>0.72840970654241366</v>
      </c>
      <c r="Q34" s="19">
        <f t="shared" si="2"/>
        <v>-29.42</v>
      </c>
    </row>
    <row r="35" spans="2:17" ht="14.5" thickTop="1"/>
    <row r="36" spans="2:17">
      <c r="B36" s="20"/>
    </row>
    <row r="37" spans="2:17">
      <c r="K37" s="44"/>
    </row>
    <row r="38" spans="2:17">
      <c r="H38" s="5"/>
      <c r="I38" s="4"/>
      <c r="K38" s="45"/>
    </row>
    <row r="39" spans="2:17">
      <c r="I39" s="5"/>
    </row>
  </sheetData>
  <mergeCells count="5">
    <mergeCell ref="D1:P1"/>
    <mergeCell ref="D2:P2"/>
    <mergeCell ref="D3:P3"/>
    <mergeCell ref="D4:P4"/>
    <mergeCell ref="D5:P5"/>
  </mergeCells>
  <pageMargins left="0.7" right="0.7" top="0.75" bottom="0.75" header="0.3" footer="0.3"/>
  <pageSetup scale="61" fitToHeight="0" orientation="landscape" r:id="rId1"/>
  <headerFooter>
    <oddHeader>&amp;R&amp;"Arial,Regular"&amp;10Filed: 2023-03-08
EB-2022-0200
Exhibit I.7.1-VECC-62
Attachment 1</oddHeader>
  </headerFooter>
  <ignoredErrors>
    <ignoredError sqref="C33:C34 C30:C31 C13:C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AZ49"/>
  <sheetViews>
    <sheetView topLeftCell="C1" zoomScale="91" zoomScaleNormal="91" workbookViewId="0">
      <pane ySplit="9" topLeftCell="A10" activePane="bottomLeft" state="frozen"/>
      <selection pane="bottomLeft"/>
    </sheetView>
  </sheetViews>
  <sheetFormatPr defaultColWidth="9.1796875" defaultRowHeight="12.5"/>
  <cols>
    <col min="1" max="1" width="3.54296875" style="9" customWidth="1"/>
    <col min="2" max="2" width="5" style="9" customWidth="1"/>
    <col min="3" max="3" width="24.7265625" style="9" bestFit="1" customWidth="1"/>
    <col min="4" max="4" width="0.81640625" style="9" customWidth="1"/>
    <col min="5" max="5" width="12.54296875" style="10" customWidth="1"/>
    <col min="6" max="6" width="2.453125" style="10" customWidth="1"/>
    <col min="7" max="12" width="12.54296875" style="10" customWidth="1"/>
    <col min="13" max="19" width="9.1796875" style="47"/>
    <col min="20" max="21" width="9.1796875" style="9"/>
    <col min="22" max="24" width="9.1796875" style="47"/>
    <col min="25" max="25" width="13.453125" style="47" bestFit="1" customWidth="1"/>
    <col min="26" max="27" width="9.1796875" style="47" customWidth="1"/>
    <col min="28" max="52" width="9.1796875" style="47"/>
    <col min="53" max="16384" width="9.1796875" style="9"/>
  </cols>
  <sheetData>
    <row r="1" spans="2:12">
      <c r="C1" s="90" t="s">
        <v>87</v>
      </c>
      <c r="D1" s="90"/>
      <c r="E1" s="90"/>
      <c r="F1" s="90"/>
      <c r="G1" s="90"/>
      <c r="H1" s="90"/>
      <c r="I1" s="90"/>
      <c r="J1" s="90"/>
      <c r="K1" s="90"/>
      <c r="L1" s="90"/>
    </row>
    <row r="2" spans="2:12">
      <c r="C2" s="90" t="s">
        <v>141</v>
      </c>
      <c r="D2" s="90"/>
      <c r="E2" s="90"/>
      <c r="F2" s="90"/>
      <c r="G2" s="90"/>
      <c r="H2" s="90"/>
      <c r="I2" s="90"/>
      <c r="J2" s="90"/>
      <c r="K2" s="90"/>
      <c r="L2" s="90"/>
    </row>
    <row r="3" spans="2:12">
      <c r="C3" s="90" t="str">
        <f>'Function - Factors'!C2</f>
        <v>Year Ended December 31, 2018</v>
      </c>
      <c r="D3" s="90"/>
      <c r="E3" s="90"/>
      <c r="F3" s="90"/>
      <c r="G3" s="90"/>
      <c r="H3" s="90"/>
      <c r="I3" s="90"/>
      <c r="J3" s="90"/>
      <c r="K3" s="90"/>
      <c r="L3" s="90"/>
    </row>
    <row r="4" spans="2:12">
      <c r="C4" s="91" t="s">
        <v>2</v>
      </c>
      <c r="D4" s="91"/>
      <c r="E4" s="91"/>
      <c r="F4" s="91"/>
      <c r="G4" s="91"/>
      <c r="H4" s="91"/>
      <c r="I4" s="91"/>
      <c r="J4" s="91"/>
      <c r="K4" s="91"/>
      <c r="L4" s="91"/>
    </row>
    <row r="5" spans="2:12">
      <c r="C5" s="90" t="s">
        <v>3</v>
      </c>
      <c r="D5" s="90"/>
      <c r="E5" s="90"/>
      <c r="F5" s="90"/>
      <c r="G5" s="90"/>
      <c r="H5" s="90"/>
      <c r="I5" s="90"/>
      <c r="J5" s="90"/>
      <c r="K5" s="90"/>
      <c r="L5" s="90"/>
    </row>
    <row r="7" spans="2:12">
      <c r="E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0" t="s">
        <v>9</v>
      </c>
      <c r="L7" s="10" t="s">
        <v>10</v>
      </c>
    </row>
    <row r="8" spans="2:12" ht="9" customHeight="1"/>
    <row r="9" spans="2:12" ht="25">
      <c r="D9" s="11"/>
      <c r="E9" s="12" t="s">
        <v>142</v>
      </c>
      <c r="F9" s="12"/>
      <c r="G9" s="12" t="s">
        <v>143</v>
      </c>
      <c r="H9" s="12" t="s">
        <v>144</v>
      </c>
      <c r="I9" s="12" t="s">
        <v>145</v>
      </c>
      <c r="J9" s="12" t="s">
        <v>144</v>
      </c>
      <c r="K9" s="12" t="s">
        <v>146</v>
      </c>
      <c r="L9" s="12" t="s">
        <v>17</v>
      </c>
    </row>
    <row r="10" spans="2:12" ht="15.75" customHeight="1"/>
    <row r="11" spans="2:12" ht="15.75" customHeight="1">
      <c r="C11" s="9" t="s">
        <v>18</v>
      </c>
      <c r="E11" s="28"/>
      <c r="G11" s="28"/>
      <c r="H11" s="28"/>
      <c r="I11" s="28"/>
      <c r="J11" s="28"/>
      <c r="K11" s="28"/>
      <c r="L11" s="28"/>
    </row>
    <row r="12" spans="2:12" ht="15.75" customHeight="1">
      <c r="E12" s="21"/>
      <c r="F12" s="21"/>
      <c r="G12" s="21"/>
      <c r="H12" s="21"/>
      <c r="I12" s="21"/>
      <c r="J12" s="21"/>
      <c r="K12" s="21"/>
      <c r="L12" s="21"/>
    </row>
    <row r="13" spans="2:12" ht="15.75" customHeight="1">
      <c r="B13" s="13" t="s">
        <v>108</v>
      </c>
      <c r="C13" s="9" t="s">
        <v>147</v>
      </c>
      <c r="E13" s="21">
        <v>1592.9508276530262</v>
      </c>
      <c r="F13" s="21"/>
      <c r="G13" s="21">
        <v>0</v>
      </c>
      <c r="H13" s="21">
        <f>E13+G13</f>
        <v>1592.9508276530262</v>
      </c>
      <c r="I13" s="21">
        <v>0</v>
      </c>
      <c r="J13" s="21">
        <f>I13+H13</f>
        <v>1592.9508276530262</v>
      </c>
      <c r="K13" s="21">
        <v>0</v>
      </c>
      <c r="L13" s="21">
        <f>K13+J13</f>
        <v>1592.9508276530262</v>
      </c>
    </row>
    <row r="14" spans="2:12" ht="15.75" customHeight="1">
      <c r="B14" s="13" t="s">
        <v>109</v>
      </c>
      <c r="C14" s="9" t="s">
        <v>148</v>
      </c>
      <c r="E14" s="21">
        <v>192.37062256851834</v>
      </c>
      <c r="F14" s="21"/>
      <c r="G14" s="21">
        <v>2.4290312057070822</v>
      </c>
      <c r="H14" s="21">
        <f>E14+G14</f>
        <v>194.79965377422542</v>
      </c>
      <c r="I14" s="21">
        <v>0</v>
      </c>
      <c r="J14" s="21">
        <f t="shared" ref="J14:L17" si="0">I14+H14</f>
        <v>194.79965377422542</v>
      </c>
      <c r="K14" s="21">
        <v>0</v>
      </c>
      <c r="L14" s="21">
        <f t="shared" si="0"/>
        <v>194.79965377422542</v>
      </c>
    </row>
    <row r="15" spans="2:12" ht="15.75" customHeight="1">
      <c r="B15" s="13" t="s">
        <v>110</v>
      </c>
      <c r="C15" s="9" t="s">
        <v>149</v>
      </c>
      <c r="E15" s="21">
        <v>0</v>
      </c>
      <c r="F15" s="21"/>
      <c r="G15" s="21">
        <v>0</v>
      </c>
      <c r="H15" s="21">
        <f>E15+G15</f>
        <v>0</v>
      </c>
      <c r="I15" s="21">
        <v>0</v>
      </c>
      <c r="J15" s="21">
        <f t="shared" si="0"/>
        <v>0</v>
      </c>
      <c r="K15" s="21">
        <f>'Function - O&amp;M3'!$J$25*(0.03*J18)/'Function - Factors'!$E$54</f>
        <v>10.470928725471362</v>
      </c>
      <c r="L15" s="21">
        <f t="shared" si="0"/>
        <v>10.470928725471362</v>
      </c>
    </row>
    <row r="16" spans="2:12" ht="15.75" customHeight="1">
      <c r="B16" s="13" t="s">
        <v>150</v>
      </c>
      <c r="C16" s="9" t="s">
        <v>151</v>
      </c>
      <c r="E16" s="21">
        <v>0.96739789753747663</v>
      </c>
      <c r="F16" s="21"/>
      <c r="G16" s="21">
        <v>0.58043166218709596</v>
      </c>
      <c r="H16" s="21">
        <f>E16+G16</f>
        <v>1.5478295597245726</v>
      </c>
      <c r="I16" s="21">
        <v>0</v>
      </c>
      <c r="J16" s="21">
        <f t="shared" si="0"/>
        <v>1.5478295597245726</v>
      </c>
      <c r="K16" s="21">
        <v>0</v>
      </c>
      <c r="L16" s="21">
        <f t="shared" si="0"/>
        <v>1.5478295597245726</v>
      </c>
    </row>
    <row r="17" spans="2:12" ht="15.75" customHeight="1">
      <c r="B17" s="13" t="s">
        <v>152</v>
      </c>
      <c r="C17" s="11" t="s">
        <v>153</v>
      </c>
      <c r="D17" s="11"/>
      <c r="E17" s="22">
        <v>1.0658290460653641</v>
      </c>
      <c r="F17" s="22"/>
      <c r="G17" s="22">
        <v>0.35764692619501076</v>
      </c>
      <c r="H17" s="22">
        <f>E17+G17</f>
        <v>1.4234759722603749</v>
      </c>
      <c r="I17" s="22">
        <v>0</v>
      </c>
      <c r="J17" s="22">
        <f t="shared" si="0"/>
        <v>1.4234759722603749</v>
      </c>
      <c r="K17" s="22">
        <v>0</v>
      </c>
      <c r="L17" s="22">
        <f t="shared" si="0"/>
        <v>1.4234759722603749</v>
      </c>
    </row>
    <row r="18" spans="2:12" ht="15.75" customHeight="1">
      <c r="B18" s="13" t="s">
        <v>30</v>
      </c>
      <c r="C18" s="9" t="s">
        <v>154</v>
      </c>
      <c r="E18" s="25">
        <f>SUM(E13:E17)</f>
        <v>1787.3546771651475</v>
      </c>
      <c r="F18" s="25"/>
      <c r="G18" s="25">
        <f t="shared" ref="G18:L18" si="1">SUM(G13:G17)</f>
        <v>3.3671097940891888</v>
      </c>
      <c r="H18" s="21">
        <f t="shared" si="1"/>
        <v>1790.7217869592364</v>
      </c>
      <c r="I18" s="21">
        <f t="shared" si="1"/>
        <v>0</v>
      </c>
      <c r="J18" s="21">
        <f t="shared" si="1"/>
        <v>1790.7217869592364</v>
      </c>
      <c r="K18" s="21">
        <f t="shared" si="1"/>
        <v>10.470928725471362</v>
      </c>
      <c r="L18" s="21">
        <f t="shared" si="1"/>
        <v>1801.1927156847078</v>
      </c>
    </row>
    <row r="19" spans="2:12" ht="15.75" customHeight="1">
      <c r="E19" s="21"/>
      <c r="F19" s="21"/>
      <c r="G19" s="21"/>
      <c r="H19" s="21"/>
      <c r="I19" s="21"/>
      <c r="J19" s="21"/>
      <c r="K19" s="21"/>
      <c r="L19" s="21"/>
    </row>
    <row r="20" spans="2:12" ht="15.75" customHeight="1">
      <c r="C20" s="9" t="s">
        <v>155</v>
      </c>
      <c r="E20" s="21"/>
      <c r="F20" s="21"/>
      <c r="G20" s="21"/>
      <c r="H20" s="21"/>
      <c r="I20" s="21"/>
      <c r="J20" s="21"/>
      <c r="K20" s="21"/>
      <c r="L20" s="21"/>
    </row>
    <row r="21" spans="2:12" ht="15.75" customHeight="1">
      <c r="E21" s="21"/>
      <c r="F21" s="21"/>
      <c r="G21" s="21"/>
      <c r="H21" s="21"/>
      <c r="I21" s="21"/>
      <c r="J21" s="21"/>
      <c r="K21" s="21"/>
      <c r="L21" s="21"/>
    </row>
    <row r="22" spans="2:12" ht="15.75" customHeight="1">
      <c r="C22" s="48" t="s">
        <v>156</v>
      </c>
      <c r="E22" s="21"/>
      <c r="F22" s="21"/>
      <c r="G22" s="21"/>
      <c r="H22" s="21"/>
      <c r="I22" s="21"/>
      <c r="J22" s="21"/>
      <c r="K22" s="21"/>
      <c r="L22" s="21"/>
    </row>
    <row r="23" spans="2:12" ht="15.75" customHeight="1">
      <c r="E23" s="21"/>
      <c r="F23" s="21"/>
      <c r="G23" s="21"/>
      <c r="H23" s="21"/>
      <c r="I23" s="21"/>
      <c r="J23" s="21"/>
      <c r="K23" s="21"/>
      <c r="L23" s="21"/>
    </row>
    <row r="24" spans="2:12" ht="15.75" customHeight="1">
      <c r="B24" s="13" t="s">
        <v>157</v>
      </c>
      <c r="C24" s="9" t="s">
        <v>158</v>
      </c>
      <c r="E24" s="21">
        <v>4.3423368127072072E-2</v>
      </c>
      <c r="F24" s="21"/>
      <c r="G24" s="21">
        <v>0</v>
      </c>
      <c r="H24" s="21">
        <f t="shared" ref="H24:H30" si="2">E24+G24</f>
        <v>4.3423368127072072E-2</v>
      </c>
      <c r="I24" s="21">
        <f>H24/H$26*H$27+H24/(H$29-H$27)*H$30</f>
        <v>2.5546387020996708E-2</v>
      </c>
      <c r="J24" s="21">
        <f t="shared" ref="J24:L26" si="3">I24+H24</f>
        <v>6.8969755148068773E-2</v>
      </c>
      <c r="K24" s="21">
        <f>'Function - O&amp;M3'!$J$25*J24/'Function - Factors'!$E$54</f>
        <v>1.3442947896351608E-2</v>
      </c>
      <c r="L24" s="21">
        <f t="shared" si="3"/>
        <v>8.2412703044420388E-2</v>
      </c>
    </row>
    <row r="25" spans="2:12" ht="15.75" customHeight="1">
      <c r="B25" s="13" t="s">
        <v>159</v>
      </c>
      <c r="C25" s="9" t="s">
        <v>160</v>
      </c>
      <c r="E25" s="21">
        <v>1.2889273939218884</v>
      </c>
      <c r="F25" s="21"/>
      <c r="G25" s="21">
        <v>0.7005544013595193</v>
      </c>
      <c r="H25" s="21">
        <f t="shared" si="2"/>
        <v>1.9894817952814077</v>
      </c>
      <c r="I25" s="21">
        <f>H25/H$26*H$27+H25/(H$29-H$27)*H$30</f>
        <v>1.1704313623198699</v>
      </c>
      <c r="J25" s="21">
        <f t="shared" si="3"/>
        <v>3.1599131576012773</v>
      </c>
      <c r="K25" s="21">
        <f>'Function - O&amp;M3'!$J$25*J25/'Function - Factors'!$E$54</f>
        <v>0.61590109814706662</v>
      </c>
      <c r="L25" s="21">
        <f t="shared" si="3"/>
        <v>3.7758142557483438</v>
      </c>
    </row>
    <row r="26" spans="2:12" ht="15.75" customHeight="1">
      <c r="B26" s="13" t="s">
        <v>161</v>
      </c>
      <c r="C26" s="48" t="s">
        <v>144</v>
      </c>
      <c r="D26" s="48"/>
      <c r="E26" s="49">
        <f>E25+E24</f>
        <v>1.3323507620489605</v>
      </c>
      <c r="F26" s="49"/>
      <c r="G26" s="49">
        <f>G25+G24</f>
        <v>0.7005544013595193</v>
      </c>
      <c r="H26" s="21">
        <f t="shared" si="2"/>
        <v>2.03290516340848</v>
      </c>
      <c r="I26" s="49">
        <f>SUM(I24:I25)</f>
        <v>1.1959777493408665</v>
      </c>
      <c r="J26" s="21">
        <f t="shared" si="3"/>
        <v>3.2288829127493468</v>
      </c>
      <c r="K26" s="21">
        <f>K25+K24</f>
        <v>0.6293440460434182</v>
      </c>
      <c r="L26" s="21">
        <f t="shared" si="3"/>
        <v>3.8582269587927649</v>
      </c>
    </row>
    <row r="27" spans="2:12" ht="15.75" customHeight="1">
      <c r="B27" s="13" t="s">
        <v>162</v>
      </c>
      <c r="C27" s="9" t="s">
        <v>163</v>
      </c>
      <c r="E27" s="21">
        <f>432397.915296/1000000*1.022*1.03</f>
        <v>0.45516798951548743</v>
      </c>
      <c r="F27" s="21"/>
      <c r="G27" s="21">
        <f>347443.835296/1000000*1.022*1.03</f>
        <v>0.36574022766268732</v>
      </c>
      <c r="H27" s="21">
        <f t="shared" si="2"/>
        <v>0.82090821717817475</v>
      </c>
      <c r="I27" s="21">
        <f>-H27</f>
        <v>-0.82090821717817475</v>
      </c>
      <c r="J27" s="21">
        <f>I27+H27</f>
        <v>0</v>
      </c>
      <c r="K27" s="21">
        <v>0</v>
      </c>
      <c r="L27" s="21">
        <f>K27+J27</f>
        <v>0</v>
      </c>
    </row>
    <row r="28" spans="2:12" ht="15.75" customHeight="1">
      <c r="B28" s="13" t="s">
        <v>164</v>
      </c>
      <c r="C28" s="9" t="s">
        <v>165</v>
      </c>
      <c r="E28" s="21">
        <v>46.467577235809408</v>
      </c>
      <c r="F28" s="21"/>
      <c r="G28" s="21">
        <v>10.42468330017315</v>
      </c>
      <c r="H28" s="21">
        <f t="shared" si="2"/>
        <v>56.892260535982558</v>
      </c>
      <c r="I28" s="21">
        <f>H28/(H29-H27)*H30</f>
        <v>10.496580916313663</v>
      </c>
      <c r="J28" s="21">
        <f t="shared" ref="J28:L31" si="4">I28+H28</f>
        <v>67.388841452296219</v>
      </c>
      <c r="K28" s="21">
        <f>'Function - O&amp;M3'!$J$25*J28/'Function - Factors'!$E$54</f>
        <v>13.134810794874683</v>
      </c>
      <c r="L28" s="21">
        <f t="shared" si="4"/>
        <v>80.523652247170901</v>
      </c>
    </row>
    <row r="29" spans="2:12" ht="15.75" customHeight="1">
      <c r="B29" s="13" t="s">
        <v>166</v>
      </c>
      <c r="C29" s="48" t="s">
        <v>144</v>
      </c>
      <c r="D29" s="48"/>
      <c r="E29" s="49">
        <f>E28+E27+E26</f>
        <v>48.255095987373856</v>
      </c>
      <c r="F29" s="49"/>
      <c r="G29" s="49">
        <f>G28+G27+G26</f>
        <v>11.490977929195356</v>
      </c>
      <c r="H29" s="49">
        <f t="shared" si="2"/>
        <v>59.746073916569216</v>
      </c>
      <c r="I29" s="49">
        <f>I28+I27+I26</f>
        <v>10.871650448476354</v>
      </c>
      <c r="J29" s="49">
        <f t="shared" si="4"/>
        <v>70.617724365045575</v>
      </c>
      <c r="K29" s="49">
        <f>K28+K26</f>
        <v>13.764154840918101</v>
      </c>
      <c r="L29" s="49">
        <f t="shared" si="4"/>
        <v>84.381879205963671</v>
      </c>
    </row>
    <row r="30" spans="2:12" ht="15.75" customHeight="1">
      <c r="B30" s="13" t="s">
        <v>167</v>
      </c>
      <c r="C30" s="9" t="s">
        <v>168</v>
      </c>
      <c r="E30" s="21">
        <v>7.1614327840955392</v>
      </c>
      <c r="F30" s="21"/>
      <c r="G30" s="21">
        <v>3.710217664380818</v>
      </c>
      <c r="H30" s="21">
        <f t="shared" si="2"/>
        <v>10.871650448476357</v>
      </c>
      <c r="I30" s="21">
        <f>-H30</f>
        <v>-10.871650448476357</v>
      </c>
      <c r="J30" s="21">
        <f t="shared" si="4"/>
        <v>0</v>
      </c>
      <c r="K30" s="21">
        <v>0</v>
      </c>
      <c r="L30" s="21">
        <f t="shared" si="4"/>
        <v>0</v>
      </c>
    </row>
    <row r="31" spans="2:12" ht="15.75" customHeight="1">
      <c r="B31" s="13" t="s">
        <v>169</v>
      </c>
      <c r="C31" s="11" t="s">
        <v>170</v>
      </c>
      <c r="D31" s="11"/>
      <c r="E31" s="22">
        <v>4.9685162838620558</v>
      </c>
      <c r="F31" s="22"/>
      <c r="G31" s="22">
        <v>2.0684742909144829</v>
      </c>
      <c r="H31" s="22">
        <f>E31+G31</f>
        <v>7.0369905747765387</v>
      </c>
      <c r="I31" s="22">
        <v>0</v>
      </c>
      <c r="J31" s="22">
        <f t="shared" si="4"/>
        <v>7.0369905747765387</v>
      </c>
      <c r="K31" s="22">
        <f>'Function - O&amp;M3'!$J$25*J31/'Function - Factors'!$E$54</f>
        <v>1.3715852324072983</v>
      </c>
      <c r="L31" s="22">
        <f t="shared" si="4"/>
        <v>8.408575807183837</v>
      </c>
    </row>
    <row r="32" spans="2:12" ht="15.75" customHeight="1">
      <c r="B32" s="13" t="s">
        <v>32</v>
      </c>
      <c r="C32" s="9" t="s">
        <v>171</v>
      </c>
      <c r="E32" s="25">
        <f>E31+E30+E29</f>
        <v>60.385045055331453</v>
      </c>
      <c r="F32" s="25"/>
      <c r="G32" s="25">
        <f t="shared" ref="G32:L32" si="5">G31+G30+G29</f>
        <v>17.269669884490657</v>
      </c>
      <c r="H32" s="25">
        <f t="shared" si="5"/>
        <v>77.654714939822114</v>
      </c>
      <c r="I32" s="25">
        <f t="shared" si="5"/>
        <v>0</v>
      </c>
      <c r="J32" s="25">
        <f t="shared" si="5"/>
        <v>77.654714939822114</v>
      </c>
      <c r="K32" s="25">
        <f t="shared" si="5"/>
        <v>15.135740073325399</v>
      </c>
      <c r="L32" s="25">
        <f t="shared" si="5"/>
        <v>92.790455013147508</v>
      </c>
    </row>
    <row r="33" spans="2:12" ht="15.75" customHeight="1">
      <c r="B33" s="13"/>
      <c r="E33" s="25"/>
      <c r="F33" s="21"/>
      <c r="G33" s="21"/>
      <c r="H33" s="21"/>
      <c r="I33" s="21"/>
      <c r="J33" s="21"/>
      <c r="K33" s="21"/>
      <c r="L33" s="21"/>
    </row>
    <row r="34" spans="2:12" ht="15.75" customHeight="1">
      <c r="C34" s="48" t="s">
        <v>172</v>
      </c>
      <c r="E34" s="21"/>
      <c r="F34" s="21"/>
      <c r="G34" s="21"/>
      <c r="H34" s="21"/>
      <c r="I34" s="21"/>
      <c r="J34" s="21"/>
      <c r="K34" s="21"/>
      <c r="L34" s="21"/>
    </row>
    <row r="35" spans="2:12" ht="15.75" customHeight="1">
      <c r="E35" s="21"/>
      <c r="F35" s="21"/>
      <c r="G35" s="21"/>
      <c r="H35" s="21"/>
      <c r="I35" s="21"/>
      <c r="J35" s="21"/>
      <c r="K35" s="21"/>
      <c r="L35" s="21"/>
    </row>
    <row r="36" spans="2:12" ht="15.75" customHeight="1">
      <c r="B36" s="13" t="s">
        <v>173</v>
      </c>
      <c r="C36" s="9" t="s">
        <v>174</v>
      </c>
      <c r="E36" s="21">
        <v>1.1914306065954987</v>
      </c>
      <c r="F36" s="21"/>
      <c r="G36" s="21">
        <v>6.9513360574388769E-2</v>
      </c>
      <c r="H36" s="21">
        <f t="shared" ref="H36:H45" si="6">E36+G36</f>
        <v>1.2609439671698874</v>
      </c>
      <c r="I36" s="21">
        <f>(H36/H$40*H$41)+(H36/(H$44-H$41)*H$45)</f>
        <v>3.1699636712849109</v>
      </c>
      <c r="J36" s="21">
        <f>I36+H36</f>
        <v>4.4309076384547978</v>
      </c>
      <c r="K36" s="21">
        <f>'Function - O&amp;M3'!$J$25*J36/'Function - Factors'!$E$54</f>
        <v>0.86363160764334046</v>
      </c>
      <c r="L36" s="21">
        <f>K36+J36</f>
        <v>5.2945392460981386</v>
      </c>
    </row>
    <row r="37" spans="2:12" ht="15.75" customHeight="1">
      <c r="B37" s="13" t="s">
        <v>175</v>
      </c>
      <c r="C37" s="9" t="s">
        <v>176</v>
      </c>
      <c r="E37" s="21">
        <v>0.82865716313461157</v>
      </c>
      <c r="F37" s="21"/>
      <c r="G37" s="21">
        <v>0.34236274251206439</v>
      </c>
      <c r="H37" s="21">
        <f t="shared" si="6"/>
        <v>1.1710199056466759</v>
      </c>
      <c r="I37" s="21">
        <f>(H37/H$40*H$41)+(H37/(H$44-H$41)*H$45)</f>
        <v>2.9438981080047588</v>
      </c>
      <c r="J37" s="21">
        <f t="shared" ref="J37:L45" si="7">I37+H37</f>
        <v>4.1149180136514349</v>
      </c>
      <c r="K37" s="21">
        <f>'Function - O&amp;M3'!$J$25*J37/'Function - Factors'!$E$54</f>
        <v>0.80204182741431429</v>
      </c>
      <c r="L37" s="21">
        <f t="shared" si="7"/>
        <v>4.9169598410657489</v>
      </c>
    </row>
    <row r="38" spans="2:12" ht="15.75" customHeight="1">
      <c r="B38" s="13" t="s">
        <v>177</v>
      </c>
      <c r="C38" s="9" t="s">
        <v>178</v>
      </c>
      <c r="E38" s="21">
        <v>1.8633773472578037</v>
      </c>
      <c r="F38" s="21"/>
      <c r="G38" s="21">
        <v>0.9308470265917681</v>
      </c>
      <c r="H38" s="21">
        <f t="shared" si="6"/>
        <v>2.7942243738495716</v>
      </c>
      <c r="I38" s="21">
        <f>(H38/H$40*H$41)+(H38/(H$44-H$41)*H$45)</f>
        <v>7.0245704687435833</v>
      </c>
      <c r="J38" s="21">
        <f t="shared" si="7"/>
        <v>9.8187948425931548</v>
      </c>
      <c r="K38" s="21">
        <f>'Function - O&amp;M3'!$J$25*J38/'Function - Factors'!$E$54</f>
        <v>1.9137888367237681</v>
      </c>
      <c r="L38" s="21">
        <f t="shared" si="7"/>
        <v>11.732583679316923</v>
      </c>
    </row>
    <row r="39" spans="2:12" ht="15.75" customHeight="1">
      <c r="B39" s="13" t="s">
        <v>179</v>
      </c>
      <c r="C39" s="9" t="s">
        <v>180</v>
      </c>
      <c r="E39" s="21">
        <v>0.86875380688341508</v>
      </c>
      <c r="F39" s="21"/>
      <c r="G39" s="21">
        <v>0.37400634998828058</v>
      </c>
      <c r="H39" s="21">
        <f t="shared" si="6"/>
        <v>1.2427601568716957</v>
      </c>
      <c r="I39" s="21">
        <f>(H39/H$40*H$41)+(H39/(H$44-H$41)*H$45)</f>
        <v>3.1242502854790541</v>
      </c>
      <c r="J39" s="21">
        <f t="shared" si="7"/>
        <v>4.3670104423507503</v>
      </c>
      <c r="K39" s="21">
        <f>'Function - O&amp;M3'!$J$25*J39/'Function - Factors'!$E$54</f>
        <v>0.85117735612242984</v>
      </c>
      <c r="L39" s="21">
        <f t="shared" si="7"/>
        <v>5.2181877984731804</v>
      </c>
    </row>
    <row r="40" spans="2:12" ht="15.75" customHeight="1">
      <c r="B40" s="13" t="s">
        <v>181</v>
      </c>
      <c r="C40" s="48" t="s">
        <v>182</v>
      </c>
      <c r="D40" s="48"/>
      <c r="E40" s="49">
        <f>SUM(E36:E39)</f>
        <v>4.7522189238713288</v>
      </c>
      <c r="F40" s="49"/>
      <c r="G40" s="49">
        <f>SUM(G36:G39)</f>
        <v>1.716729479666502</v>
      </c>
      <c r="H40" s="21">
        <f t="shared" si="6"/>
        <v>6.4689484035378308</v>
      </c>
      <c r="I40" s="49">
        <f>SUM(I36:I39)</f>
        <v>16.262682533512308</v>
      </c>
      <c r="J40" s="49">
        <f>SUM(J36:J39)</f>
        <v>22.731630937050138</v>
      </c>
      <c r="K40" s="49">
        <f>SUM(K36:K39)</f>
        <v>4.4306396279038527</v>
      </c>
      <c r="L40" s="49">
        <f>SUM(L36:L39)</f>
        <v>27.162270564953992</v>
      </c>
    </row>
    <row r="41" spans="2:12" ht="15.75" customHeight="1">
      <c r="B41" s="13" t="s">
        <v>183</v>
      </c>
      <c r="C41" s="9" t="s">
        <v>163</v>
      </c>
      <c r="E41" s="21">
        <v>6.1813742314100057</v>
      </c>
      <c r="F41" s="21"/>
      <c r="G41" s="21">
        <v>2.550517396917654</v>
      </c>
      <c r="H41" s="21">
        <f t="shared" si="6"/>
        <v>8.7318916283276593</v>
      </c>
      <c r="I41" s="21">
        <f>-H41</f>
        <v>-8.7318916283276593</v>
      </c>
      <c r="J41" s="21">
        <f t="shared" si="7"/>
        <v>0</v>
      </c>
      <c r="K41" s="21">
        <v>0</v>
      </c>
      <c r="L41" s="21">
        <f t="shared" si="7"/>
        <v>0</v>
      </c>
    </row>
    <row r="42" spans="2:12" ht="15.75" customHeight="1">
      <c r="B42" s="13" t="s">
        <v>184</v>
      </c>
      <c r="C42" s="9" t="s">
        <v>23</v>
      </c>
      <c r="E42" s="21">
        <v>9.1408137219972332</v>
      </c>
      <c r="F42" s="21"/>
      <c r="G42" s="21">
        <v>2.6853708382658397</v>
      </c>
      <c r="H42" s="21">
        <f t="shared" si="6"/>
        <v>11.826184560263073</v>
      </c>
      <c r="I42" s="21">
        <f>+(H42/(H$44-H$41)*H$45)</f>
        <v>13.767388078216479</v>
      </c>
      <c r="J42" s="21">
        <f t="shared" si="7"/>
        <v>25.59357263847955</v>
      </c>
      <c r="K42" s="21">
        <f>'Function - O&amp;M3'!$J$25*J42/'Function - Factors'!$E$54</f>
        <v>4.9884628808951854</v>
      </c>
      <c r="L42" s="21">
        <f t="shared" si="7"/>
        <v>30.582035519374735</v>
      </c>
    </row>
    <row r="43" spans="2:12" ht="15.75" customHeight="1">
      <c r="B43" s="13" t="s">
        <v>185</v>
      </c>
      <c r="C43" s="9" t="s">
        <v>186</v>
      </c>
      <c r="E43" s="21">
        <v>0.30662966909913131</v>
      </c>
      <c r="F43" s="21"/>
      <c r="G43" s="21">
        <v>0.16522954481804042</v>
      </c>
      <c r="H43" s="21">
        <f t="shared" si="6"/>
        <v>0.47185921391717173</v>
      </c>
      <c r="I43" s="21">
        <f>+(H43/(H$44-H$41)*H$45)</f>
        <v>0.54931232327523905</v>
      </c>
      <c r="J43" s="21">
        <f t="shared" si="7"/>
        <v>1.0211715371924108</v>
      </c>
      <c r="K43" s="21">
        <f>'Function - O&amp;M3'!$J$25*J43/'Function - Factors'!$E$54</f>
        <v>0.19903732785832925</v>
      </c>
      <c r="L43" s="21">
        <f t="shared" si="7"/>
        <v>1.2202088650507401</v>
      </c>
    </row>
    <row r="44" spans="2:12" ht="15.75" customHeight="1">
      <c r="B44" s="13" t="s">
        <v>187</v>
      </c>
      <c r="C44" s="48" t="s">
        <v>188</v>
      </c>
      <c r="D44" s="48"/>
      <c r="E44" s="49">
        <f>SUM(E40:E43)</f>
        <v>20.3810365463777</v>
      </c>
      <c r="F44" s="49"/>
      <c r="G44" s="49">
        <f>SUM(G40:G43)</f>
        <v>7.1178472596680367</v>
      </c>
      <c r="H44" s="21">
        <f t="shared" si="6"/>
        <v>27.498883806045736</v>
      </c>
      <c r="I44" s="49">
        <f>SUM(I40:I43)</f>
        <v>21.847491306676368</v>
      </c>
      <c r="J44" s="49">
        <f>SUM(J40:J43)</f>
        <v>49.346375112722093</v>
      </c>
      <c r="K44" s="49">
        <f>SUM(K40:K43)</f>
        <v>9.6181398366573685</v>
      </c>
      <c r="L44" s="49">
        <f>SUM(L40:L43)</f>
        <v>58.96451494937947</v>
      </c>
    </row>
    <row r="45" spans="2:12" ht="15.75" customHeight="1">
      <c r="B45" s="13" t="s">
        <v>189</v>
      </c>
      <c r="C45" s="11" t="s">
        <v>190</v>
      </c>
      <c r="D45" s="11"/>
      <c r="E45" s="22">
        <v>15.063886843653236</v>
      </c>
      <c r="F45" s="22"/>
      <c r="G45" s="22">
        <v>6.7836044630231305</v>
      </c>
      <c r="H45" s="22">
        <f t="shared" si="6"/>
        <v>21.847491306676368</v>
      </c>
      <c r="I45" s="22">
        <f>-H45</f>
        <v>-21.847491306676368</v>
      </c>
      <c r="J45" s="22">
        <f t="shared" si="7"/>
        <v>0</v>
      </c>
      <c r="K45" s="22">
        <v>0</v>
      </c>
      <c r="L45" s="22">
        <f t="shared" si="7"/>
        <v>0</v>
      </c>
    </row>
    <row r="46" spans="2:12" ht="15.75" customHeight="1">
      <c r="B46" s="13" t="s">
        <v>34</v>
      </c>
      <c r="C46" s="9" t="s">
        <v>191</v>
      </c>
      <c r="E46" s="25">
        <f>E45+E44</f>
        <v>35.444923390030937</v>
      </c>
      <c r="F46" s="25"/>
      <c r="G46" s="25">
        <f t="shared" ref="G46:L46" si="8">G45+G44</f>
        <v>13.901451722691167</v>
      </c>
      <c r="H46" s="25">
        <f t="shared" si="8"/>
        <v>49.3463751127221</v>
      </c>
      <c r="I46" s="25">
        <f t="shared" si="8"/>
        <v>0</v>
      </c>
      <c r="J46" s="25">
        <f t="shared" si="8"/>
        <v>49.346375112722093</v>
      </c>
      <c r="K46" s="25">
        <f t="shared" si="8"/>
        <v>9.6181398366573685</v>
      </c>
      <c r="L46" s="25">
        <f t="shared" si="8"/>
        <v>58.96451494937947</v>
      </c>
    </row>
    <row r="47" spans="2:12" ht="15.75" customHeight="1">
      <c r="B47" s="13"/>
      <c r="E47" s="25"/>
      <c r="F47" s="25"/>
      <c r="G47" s="25"/>
      <c r="H47" s="21"/>
      <c r="I47" s="21"/>
      <c r="J47" s="21"/>
      <c r="K47" s="21"/>
      <c r="L47" s="21"/>
    </row>
    <row r="48" spans="2:12" ht="15.75" customHeight="1" thickBot="1">
      <c r="B48" s="13" t="s">
        <v>41</v>
      </c>
      <c r="C48" s="26" t="s">
        <v>192</v>
      </c>
      <c r="D48" s="26"/>
      <c r="E48" s="23">
        <f>E46+E32</f>
        <v>95.829968445362397</v>
      </c>
      <c r="F48" s="23"/>
      <c r="G48" s="23">
        <f t="shared" ref="G48:L48" si="9">G46+G32</f>
        <v>31.171121607181824</v>
      </c>
      <c r="H48" s="23">
        <f t="shared" si="9"/>
        <v>127.00109005254421</v>
      </c>
      <c r="I48" s="23">
        <f t="shared" si="9"/>
        <v>0</v>
      </c>
      <c r="J48" s="23">
        <f t="shared" si="9"/>
        <v>127.00109005254421</v>
      </c>
      <c r="K48" s="23">
        <f t="shared" si="9"/>
        <v>24.753879909982768</v>
      </c>
      <c r="L48" s="23">
        <f t="shared" si="9"/>
        <v>151.75496996252699</v>
      </c>
    </row>
    <row r="49" ht="13" thickTop="1"/>
  </sheetData>
  <mergeCells count="5">
    <mergeCell ref="C1:L1"/>
    <mergeCell ref="C2:L2"/>
    <mergeCell ref="C3:L3"/>
    <mergeCell ref="C4:L4"/>
    <mergeCell ref="C5:L5"/>
  </mergeCells>
  <pageMargins left="0.7" right="0.7" top="0.75" bottom="0.75" header="0.3" footer="0.3"/>
  <pageSetup scale="61" orientation="portrait" r:id="rId1"/>
  <headerFooter>
    <oddHeader>&amp;R&amp;"Arial,Regular"&amp;10Filed: 2023-03-08
EB-2022-0200
Exhibit I.7.1-VECC-62
Attachment 1</oddHeader>
  </headerFooter>
  <ignoredErrors>
    <ignoredError sqref="B13:B48" numberStoredAsText="1"/>
    <ignoredError sqref="L16:L23 H29:H35 L15 L26:L27 L24 L25 L29:L30 L28 L32:L35 L31 L40:L41 L36 L37 L38 L39 K45:L48 L42 L43 L44 K44 K40:K41 K32:K35 K29:K30 K26:K27 K16:K23 K24:K25 K28 K31 K36:K39 K42:K43 H40:H41 H36 J36 H37:H39 J37:J39 H44:H47 H42 J42 H43 J43 J29:J35 J40:J41 J44:J4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L48"/>
  <sheetViews>
    <sheetView zoomScale="89" zoomScaleNormal="89" zoomScaleSheetLayoutView="80" workbookViewId="0">
      <pane ySplit="9" topLeftCell="A37" activePane="bottomLeft" state="frozen"/>
      <selection pane="bottomLeft"/>
    </sheetView>
  </sheetViews>
  <sheetFormatPr defaultColWidth="9.1796875" defaultRowHeight="14"/>
  <cols>
    <col min="1" max="1" width="5.1796875" style="6" customWidth="1"/>
    <col min="2" max="2" width="5.453125" style="6" bestFit="1" customWidth="1"/>
    <col min="3" max="3" width="34.453125" style="6" bestFit="1" customWidth="1"/>
    <col min="4" max="4" width="5.1796875" style="6" customWidth="1"/>
    <col min="5" max="5" width="11.81640625" style="1" customWidth="1"/>
    <col min="6" max="6" width="3" style="1" customWidth="1"/>
    <col min="7" max="12" width="11.81640625" style="1" customWidth="1"/>
    <col min="13" max="16384" width="9.1796875" style="6"/>
  </cols>
  <sheetData>
    <row r="1" spans="2:12">
      <c r="C1" s="92" t="s">
        <v>87</v>
      </c>
      <c r="D1" s="92"/>
      <c r="E1" s="92"/>
      <c r="F1" s="92"/>
      <c r="G1" s="92"/>
      <c r="H1" s="92"/>
      <c r="I1" s="92"/>
      <c r="J1" s="92"/>
      <c r="K1" s="92"/>
      <c r="L1" s="92"/>
    </row>
    <row r="2" spans="2:12">
      <c r="C2" s="92" t="s">
        <v>141</v>
      </c>
      <c r="D2" s="92"/>
      <c r="E2" s="92"/>
      <c r="F2" s="92"/>
      <c r="G2" s="92"/>
      <c r="H2" s="92"/>
      <c r="I2" s="92"/>
      <c r="J2" s="92"/>
      <c r="K2" s="92"/>
      <c r="L2" s="92"/>
    </row>
    <row r="3" spans="2:12">
      <c r="C3" s="92" t="str">
        <f>'Function - Factors'!C2</f>
        <v>Year Ended December 31, 2018</v>
      </c>
      <c r="D3" s="92"/>
      <c r="E3" s="92"/>
      <c r="F3" s="92"/>
      <c r="G3" s="92"/>
      <c r="H3" s="92"/>
      <c r="I3" s="92"/>
      <c r="J3" s="92"/>
      <c r="K3" s="92"/>
      <c r="L3" s="92"/>
    </row>
    <row r="4" spans="2:12">
      <c r="C4" s="93" t="s">
        <v>2</v>
      </c>
      <c r="D4" s="93"/>
      <c r="E4" s="93"/>
      <c r="F4" s="93"/>
      <c r="G4" s="93"/>
      <c r="H4" s="93"/>
      <c r="I4" s="93"/>
      <c r="J4" s="93"/>
      <c r="K4" s="93"/>
      <c r="L4" s="93"/>
    </row>
    <row r="5" spans="2:12">
      <c r="C5" s="92" t="s">
        <v>3</v>
      </c>
      <c r="D5" s="92"/>
      <c r="E5" s="92"/>
      <c r="F5" s="92"/>
      <c r="G5" s="92"/>
      <c r="H5" s="92"/>
      <c r="I5" s="92"/>
      <c r="J5" s="92"/>
      <c r="K5" s="92"/>
      <c r="L5" s="92"/>
    </row>
    <row r="7" spans="2:12">
      <c r="E7" s="1" t="s">
        <v>4</v>
      </c>
      <c r="G7" s="1" t="s">
        <v>5</v>
      </c>
      <c r="H7" s="1" t="s">
        <v>6</v>
      </c>
      <c r="I7" s="1" t="s">
        <v>7</v>
      </c>
      <c r="J7" s="1" t="s">
        <v>8</v>
      </c>
      <c r="K7" s="1" t="s">
        <v>9</v>
      </c>
      <c r="L7" s="1" t="s">
        <v>10</v>
      </c>
    </row>
    <row r="8" spans="2:12" ht="9" customHeight="1"/>
    <row r="9" spans="2:12" ht="28">
      <c r="D9" s="7"/>
      <c r="E9" s="3" t="s">
        <v>142</v>
      </c>
      <c r="F9" s="3"/>
      <c r="G9" s="3" t="s">
        <v>143</v>
      </c>
      <c r="H9" s="3" t="s">
        <v>144</v>
      </c>
      <c r="I9" s="3" t="s">
        <v>145</v>
      </c>
      <c r="J9" s="3" t="s">
        <v>144</v>
      </c>
      <c r="K9" s="3" t="s">
        <v>146</v>
      </c>
      <c r="L9" s="3" t="s">
        <v>17</v>
      </c>
    </row>
    <row r="10" spans="2:12" ht="15.75" customHeight="1"/>
    <row r="11" spans="2:12" ht="15.75" customHeight="1">
      <c r="C11" s="6" t="s">
        <v>193</v>
      </c>
      <c r="E11" s="27"/>
      <c r="G11" s="27"/>
      <c r="H11" s="27"/>
      <c r="I11" s="27"/>
      <c r="J11" s="27"/>
      <c r="K11" s="27"/>
      <c r="L11" s="27"/>
    </row>
    <row r="12" spans="2:12" ht="15.75" customHeight="1">
      <c r="E12" s="27"/>
      <c r="G12" s="27"/>
      <c r="H12" s="27"/>
      <c r="I12" s="27"/>
      <c r="J12" s="27"/>
      <c r="K12" s="27"/>
      <c r="L12" s="27"/>
    </row>
    <row r="13" spans="2:12" ht="15.75" customHeight="1">
      <c r="C13" s="6" t="s">
        <v>156</v>
      </c>
      <c r="E13" s="27"/>
      <c r="G13" s="27"/>
      <c r="H13" s="27"/>
      <c r="I13" s="27"/>
      <c r="J13" s="27"/>
      <c r="K13" s="27"/>
      <c r="L13" s="27"/>
    </row>
    <row r="14" spans="2:12" ht="15.75" customHeight="1">
      <c r="E14" s="5"/>
      <c r="F14" s="5"/>
      <c r="G14" s="5"/>
      <c r="H14" s="5"/>
      <c r="I14" s="5"/>
      <c r="J14" s="5"/>
      <c r="K14" s="5"/>
      <c r="L14" s="5"/>
    </row>
    <row r="15" spans="2:12" ht="15.75" customHeight="1">
      <c r="B15" s="8" t="s">
        <v>194</v>
      </c>
      <c r="C15" s="6" t="s">
        <v>195</v>
      </c>
      <c r="E15" s="5">
        <v>0</v>
      </c>
      <c r="F15" s="5"/>
      <c r="G15" s="5">
        <v>0</v>
      </c>
      <c r="H15" s="5">
        <f>G15+E15</f>
        <v>0</v>
      </c>
      <c r="I15" s="5">
        <f>H15/(H$21+H$29)*H$22</f>
        <v>0</v>
      </c>
      <c r="J15" s="5">
        <f>I15+H15</f>
        <v>0</v>
      </c>
      <c r="K15" s="5">
        <f>'Function - O&amp;M3'!$J$25*J15/'Function - Factors'!$E$54</f>
        <v>0</v>
      </c>
      <c r="L15" s="5">
        <f>K15+J15</f>
        <v>0</v>
      </c>
    </row>
    <row r="16" spans="2:12" ht="15.75" customHeight="1">
      <c r="B16" s="8" t="s">
        <v>196</v>
      </c>
      <c r="C16" s="6" t="s">
        <v>197</v>
      </c>
      <c r="E16" s="5">
        <v>0</v>
      </c>
      <c r="F16" s="5"/>
      <c r="G16" s="5">
        <v>0</v>
      </c>
      <c r="H16" s="5">
        <f t="shared" ref="H16:H22" si="0">G16+E16</f>
        <v>0</v>
      </c>
      <c r="I16" s="5">
        <f>H16/(H$21+H$29)*H$22</f>
        <v>0</v>
      </c>
      <c r="J16" s="5">
        <f>I16+H16</f>
        <v>0</v>
      </c>
      <c r="K16" s="5">
        <f>'Function - O&amp;M3'!$J$25*J16/'Function - Factors'!$E$54</f>
        <v>0</v>
      </c>
      <c r="L16" s="5">
        <f>K16+J16</f>
        <v>0</v>
      </c>
    </row>
    <row r="17" spans="2:12" ht="15.75" customHeight="1">
      <c r="B17" s="8" t="s">
        <v>198</v>
      </c>
      <c r="C17" s="6" t="s">
        <v>199</v>
      </c>
      <c r="E17" s="5">
        <v>2.2806065063237981</v>
      </c>
      <c r="F17" s="5"/>
      <c r="G17" s="5">
        <v>0.52866174564287338</v>
      </c>
      <c r="H17" s="5">
        <f t="shared" si="0"/>
        <v>2.8092682519666714</v>
      </c>
      <c r="I17" s="5">
        <f>H17/(H$21+H$29)*H$22</f>
        <v>1.1033485277029715</v>
      </c>
      <c r="J17" s="5">
        <f>I17+H17</f>
        <v>3.9126167796696429</v>
      </c>
      <c r="K17" s="5">
        <f>'Function - O&amp;M3'!$J$25*J17/'Function - Factors'!$E$54</f>
        <v>0.76261113867333774</v>
      </c>
      <c r="L17" s="5">
        <f>K17+J17</f>
        <v>4.6752279183429808</v>
      </c>
    </row>
    <row r="18" spans="2:12" ht="15.75" customHeight="1">
      <c r="B18" s="8" t="s">
        <v>200</v>
      </c>
      <c r="C18" s="50" t="s">
        <v>201</v>
      </c>
      <c r="D18" s="50"/>
      <c r="E18" s="51">
        <f>SUM(E15:E17)</f>
        <v>2.2806065063237981</v>
      </c>
      <c r="F18" s="51"/>
      <c r="G18" s="51">
        <f t="shared" ref="G18:L18" si="1">SUM(G15:G17)</f>
        <v>0.52866174564287338</v>
      </c>
      <c r="H18" s="51">
        <f t="shared" si="1"/>
        <v>2.8092682519666714</v>
      </c>
      <c r="I18" s="51">
        <f t="shared" si="1"/>
        <v>1.1033485277029715</v>
      </c>
      <c r="J18" s="51">
        <f t="shared" si="1"/>
        <v>3.9126167796696429</v>
      </c>
      <c r="K18" s="51">
        <f t="shared" si="1"/>
        <v>0.76261113867333774</v>
      </c>
      <c r="L18" s="51">
        <f t="shared" si="1"/>
        <v>4.6752279183429808</v>
      </c>
    </row>
    <row r="19" spans="2:12" ht="15.75" customHeight="1">
      <c r="B19" s="8" t="s">
        <v>202</v>
      </c>
      <c r="C19" s="6" t="s">
        <v>203</v>
      </c>
      <c r="E19" s="5">
        <v>9.8581700925593907</v>
      </c>
      <c r="F19" s="5"/>
      <c r="G19" s="5">
        <v>0.8386755608937897</v>
      </c>
      <c r="H19" s="5">
        <f t="shared" si="0"/>
        <v>10.696845653453181</v>
      </c>
      <c r="I19" s="5">
        <f>H19/(H$21+H$29)*H$22</f>
        <v>4.2012181978495935</v>
      </c>
      <c r="J19" s="5">
        <f>I19+H19</f>
        <v>14.898063851302775</v>
      </c>
      <c r="K19" s="5">
        <f>'Function - O&amp;M3'!$J$25*J19/'Function - Factors'!$E$54</f>
        <v>2.9037930565306707</v>
      </c>
      <c r="L19" s="5">
        <f>K19+J19</f>
        <v>17.801856907833447</v>
      </c>
    </row>
    <row r="20" spans="2:12" ht="15.75" customHeight="1">
      <c r="B20" s="8" t="s">
        <v>204</v>
      </c>
      <c r="C20" s="6" t="s">
        <v>205</v>
      </c>
      <c r="E20" s="5">
        <v>0</v>
      </c>
      <c r="F20" s="5"/>
      <c r="G20" s="5">
        <v>0</v>
      </c>
      <c r="H20" s="5">
        <f t="shared" si="0"/>
        <v>0</v>
      </c>
      <c r="I20" s="5">
        <f>H20/(H$21+H$29)*H$22</f>
        <v>0</v>
      </c>
      <c r="J20" s="5">
        <f>I20+H20</f>
        <v>0</v>
      </c>
      <c r="K20" s="5">
        <f>'Function - O&amp;M3'!$J$25*J20/'Function - Factors'!$E$54</f>
        <v>0</v>
      </c>
      <c r="L20" s="5">
        <f>K20+J20</f>
        <v>0</v>
      </c>
    </row>
    <row r="21" spans="2:12" ht="15.75" customHeight="1">
      <c r="B21" s="8" t="s">
        <v>206</v>
      </c>
      <c r="C21" s="50" t="s">
        <v>144</v>
      </c>
      <c r="D21" s="50"/>
      <c r="E21" s="51">
        <f>SUM(E18:E20)</f>
        <v>12.138776598883188</v>
      </c>
      <c r="F21" s="51"/>
      <c r="G21" s="51">
        <f t="shared" ref="G21:L21" si="2">SUM(G18:G20)</f>
        <v>1.3673373065366632</v>
      </c>
      <c r="H21" s="51">
        <f t="shared" si="2"/>
        <v>13.506113905419852</v>
      </c>
      <c r="I21" s="51">
        <f t="shared" si="2"/>
        <v>5.304566725552565</v>
      </c>
      <c r="J21" s="51">
        <f t="shared" si="2"/>
        <v>18.810680630972417</v>
      </c>
      <c r="K21" s="51">
        <f t="shared" si="2"/>
        <v>3.6664041952040085</v>
      </c>
      <c r="L21" s="51">
        <f t="shared" si="2"/>
        <v>22.477084826176426</v>
      </c>
    </row>
    <row r="22" spans="2:12" ht="15.75" customHeight="1">
      <c r="B22" s="8" t="s">
        <v>207</v>
      </c>
      <c r="C22" s="7" t="s">
        <v>208</v>
      </c>
      <c r="D22" s="7"/>
      <c r="E22" s="18">
        <v>5.2498401964926096</v>
      </c>
      <c r="F22" s="18"/>
      <c r="G22" s="18">
        <v>2.5710713465255934</v>
      </c>
      <c r="H22" s="18">
        <f t="shared" si="0"/>
        <v>7.8209115430182035</v>
      </c>
      <c r="I22" s="18">
        <f>-H22</f>
        <v>-7.8209115430182035</v>
      </c>
      <c r="J22" s="18">
        <f>I22+H22</f>
        <v>0</v>
      </c>
      <c r="K22" s="18">
        <v>0</v>
      </c>
      <c r="L22" s="18">
        <f>K22+J22</f>
        <v>0</v>
      </c>
    </row>
    <row r="23" spans="2:12" ht="15.75" customHeight="1">
      <c r="B23" s="8" t="s">
        <v>44</v>
      </c>
      <c r="C23" s="6" t="s">
        <v>171</v>
      </c>
      <c r="E23" s="45">
        <f>SUM(E21:E22)</f>
        <v>17.388616795375796</v>
      </c>
      <c r="F23" s="5"/>
      <c r="G23" s="45">
        <f t="shared" ref="G23:L23" si="3">SUM(G21:G22)</f>
        <v>3.9384086530622566</v>
      </c>
      <c r="H23" s="45">
        <f t="shared" si="3"/>
        <v>21.327025448438057</v>
      </c>
      <c r="I23" s="45">
        <f t="shared" si="3"/>
        <v>-2.5163448174656384</v>
      </c>
      <c r="J23" s="45">
        <f t="shared" si="3"/>
        <v>18.810680630972417</v>
      </c>
      <c r="K23" s="45">
        <f t="shared" si="3"/>
        <v>3.6664041952040085</v>
      </c>
      <c r="L23" s="45">
        <f t="shared" si="3"/>
        <v>22.477084826176426</v>
      </c>
    </row>
    <row r="24" spans="2:12" ht="15.75" customHeight="1">
      <c r="E24" s="5"/>
      <c r="F24" s="5"/>
      <c r="G24" s="5"/>
      <c r="H24" s="5"/>
      <c r="I24" s="5"/>
      <c r="J24" s="5"/>
      <c r="K24" s="5"/>
      <c r="L24" s="5"/>
    </row>
    <row r="25" spans="2:12" ht="15.75" customHeight="1">
      <c r="C25" s="6" t="s">
        <v>172</v>
      </c>
      <c r="E25" s="5"/>
      <c r="F25" s="5"/>
      <c r="G25" s="5"/>
      <c r="H25" s="5"/>
      <c r="I25" s="5"/>
      <c r="J25" s="5"/>
      <c r="K25" s="5"/>
      <c r="L25" s="5"/>
    </row>
    <row r="26" spans="2:12" ht="15.75" customHeight="1">
      <c r="E26" s="5"/>
      <c r="F26" s="5"/>
      <c r="G26" s="5"/>
      <c r="H26" s="5"/>
      <c r="I26" s="5"/>
      <c r="J26" s="5"/>
      <c r="K26" s="5"/>
      <c r="L26" s="5"/>
    </row>
    <row r="27" spans="2:12" ht="15.75" customHeight="1">
      <c r="B27" s="8" t="s">
        <v>209</v>
      </c>
      <c r="C27" s="6" t="s">
        <v>210</v>
      </c>
      <c r="E27" s="5">
        <v>0</v>
      </c>
      <c r="F27" s="5"/>
      <c r="G27" s="5">
        <v>0</v>
      </c>
      <c r="H27" s="5">
        <f>G27+E27</f>
        <v>0</v>
      </c>
      <c r="I27" s="5">
        <f>H27/(H$21+H$29)*H$22</f>
        <v>0</v>
      </c>
      <c r="J27" s="5">
        <f>H27+I27</f>
        <v>0</v>
      </c>
      <c r="K27" s="5">
        <f>'Function - O&amp;M3'!$J$25*J27/'Function - Factors'!$E$54</f>
        <v>0</v>
      </c>
      <c r="L27" s="5">
        <f>J27+K27</f>
        <v>0</v>
      </c>
    </row>
    <row r="28" spans="2:12" ht="15.75" customHeight="1">
      <c r="B28" s="8" t="s">
        <v>211</v>
      </c>
      <c r="C28" s="7" t="s">
        <v>212</v>
      </c>
      <c r="D28" s="7"/>
      <c r="E28" s="18">
        <v>4.6914725617387969</v>
      </c>
      <c r="F28" s="18"/>
      <c r="G28" s="18">
        <v>1.7154672484986935</v>
      </c>
      <c r="H28" s="18">
        <f>G28+E28</f>
        <v>6.4069398102374908</v>
      </c>
      <c r="I28" s="18">
        <f>H28/(H$21+H$29)*H$22</f>
        <v>2.5163448174656398</v>
      </c>
      <c r="J28" s="18">
        <f>I28+H28</f>
        <v>8.923284627703131</v>
      </c>
      <c r="K28" s="18">
        <f>'Function - O&amp;M3'!$J$25*J28/'Function - Factors'!$E$54</f>
        <v>1.7392442536152357</v>
      </c>
      <c r="L28" s="18">
        <f>K28+J28</f>
        <v>10.662528881318366</v>
      </c>
    </row>
    <row r="29" spans="2:12" ht="15.75" customHeight="1">
      <c r="B29" s="8" t="s">
        <v>45</v>
      </c>
      <c r="C29" s="6" t="s">
        <v>191</v>
      </c>
      <c r="E29" s="45">
        <f>SUM(E27:E28)</f>
        <v>4.6914725617387969</v>
      </c>
      <c r="F29" s="5"/>
      <c r="G29" s="45">
        <f t="shared" ref="G29:L29" si="4">SUM(G27:G28)</f>
        <v>1.7154672484986935</v>
      </c>
      <c r="H29" s="45">
        <f t="shared" si="4"/>
        <v>6.4069398102374908</v>
      </c>
      <c r="I29" s="45">
        <f t="shared" si="4"/>
        <v>2.5163448174656398</v>
      </c>
      <c r="J29" s="45">
        <f t="shared" si="4"/>
        <v>8.923284627703131</v>
      </c>
      <c r="K29" s="45">
        <f t="shared" si="4"/>
        <v>1.7392442536152357</v>
      </c>
      <c r="L29" s="45">
        <f t="shared" si="4"/>
        <v>10.662528881318366</v>
      </c>
    </row>
    <row r="30" spans="2:12" ht="15.75" customHeight="1">
      <c r="B30" s="8"/>
      <c r="E30" s="45"/>
      <c r="F30" s="5"/>
      <c r="G30" s="45"/>
      <c r="H30" s="5"/>
      <c r="I30" s="5"/>
      <c r="J30" s="5"/>
      <c r="K30" s="5"/>
      <c r="L30" s="5"/>
    </row>
    <row r="31" spans="2:12" ht="15.75" customHeight="1" thickBot="1">
      <c r="B31" s="8">
        <v>3</v>
      </c>
      <c r="C31" s="43" t="s">
        <v>213</v>
      </c>
      <c r="D31" s="43"/>
      <c r="E31" s="52">
        <f>E29+E23</f>
        <v>22.080089357114595</v>
      </c>
      <c r="F31" s="52"/>
      <c r="G31" s="52">
        <f t="shared" ref="G31:L31" si="5">G29+G23</f>
        <v>5.6538759015609497</v>
      </c>
      <c r="H31" s="52">
        <f t="shared" si="5"/>
        <v>27.733965258675546</v>
      </c>
      <c r="I31" s="52">
        <f t="shared" si="5"/>
        <v>0</v>
      </c>
      <c r="J31" s="52">
        <f t="shared" si="5"/>
        <v>27.733965258675546</v>
      </c>
      <c r="K31" s="52">
        <f t="shared" si="5"/>
        <v>5.4056484488192442</v>
      </c>
      <c r="L31" s="52">
        <f t="shared" si="5"/>
        <v>33.139613707494789</v>
      </c>
    </row>
    <row r="32" spans="2:12" ht="15.75" customHeight="1" thickTop="1">
      <c r="B32" s="8"/>
      <c r="E32" s="45"/>
      <c r="F32" s="5"/>
      <c r="G32" s="45"/>
      <c r="H32" s="5"/>
      <c r="I32" s="5"/>
      <c r="J32" s="5"/>
      <c r="K32" s="5"/>
      <c r="L32" s="5"/>
    </row>
    <row r="33" spans="2:12" ht="15.75" customHeight="1">
      <c r="C33" s="50" t="s">
        <v>214</v>
      </c>
      <c r="E33" s="5"/>
      <c r="F33" s="5"/>
      <c r="G33" s="5"/>
      <c r="H33" s="5"/>
      <c r="I33" s="5"/>
      <c r="J33" s="5"/>
      <c r="K33" s="5"/>
      <c r="L33" s="5"/>
    </row>
    <row r="34" spans="2:12" ht="15.75" customHeight="1">
      <c r="E34" s="5"/>
      <c r="F34" s="5"/>
      <c r="G34" s="5"/>
      <c r="H34" s="5"/>
      <c r="I34" s="5"/>
      <c r="J34" s="5"/>
      <c r="K34" s="5"/>
      <c r="L34" s="5"/>
    </row>
    <row r="35" spans="2:12" ht="15.75" customHeight="1">
      <c r="B35" s="8" t="s">
        <v>215</v>
      </c>
      <c r="C35" s="6" t="s">
        <v>216</v>
      </c>
      <c r="E35" s="5">
        <v>2.7289678166692992</v>
      </c>
      <c r="F35" s="5"/>
      <c r="G35" s="5">
        <v>0.65301558916738556</v>
      </c>
      <c r="H35" s="5">
        <f>G35+E35</f>
        <v>3.3819834058366847</v>
      </c>
      <c r="I35" s="5">
        <f>H35/H$42*H$43</f>
        <v>1.1922257226411954</v>
      </c>
      <c r="J35" s="5">
        <f>I35+H35</f>
        <v>4.5742091284778805</v>
      </c>
      <c r="K35" s="5">
        <f>'Function - O&amp;M3'!$J$25*J35/'Function - Factors'!$E$54</f>
        <v>0.89156261101886569</v>
      </c>
      <c r="L35" s="5">
        <f>K35+J35</f>
        <v>5.4657717394967467</v>
      </c>
    </row>
    <row r="36" spans="2:12" ht="15.75" customHeight="1">
      <c r="B36" s="8" t="s">
        <v>217</v>
      </c>
      <c r="C36" s="6" t="s">
        <v>218</v>
      </c>
      <c r="E36" s="5">
        <v>1.1077668740872364</v>
      </c>
      <c r="F36" s="5"/>
      <c r="G36" s="5">
        <v>1.1642392088310085</v>
      </c>
      <c r="H36" s="5">
        <f t="shared" ref="H36:H45" si="6">G36+E36</f>
        <v>2.2720060829182449</v>
      </c>
      <c r="I36" s="5">
        <f t="shared" ref="I36:I41" si="7">H36/H$42*H$43</f>
        <v>0.80093358511978485</v>
      </c>
      <c r="J36" s="5">
        <f t="shared" ref="J36:L45" si="8">I36+H36</f>
        <v>3.0729396680380296</v>
      </c>
      <c r="K36" s="5">
        <f>'Function - O&amp;M3'!$J$25*J36/'Function - Factors'!$E$54</f>
        <v>0.59894902856160048</v>
      </c>
      <c r="L36" s="5">
        <f t="shared" si="8"/>
        <v>3.67188869659963</v>
      </c>
    </row>
    <row r="37" spans="2:12" ht="15.75" customHeight="1">
      <c r="B37" s="8" t="s">
        <v>219</v>
      </c>
      <c r="C37" s="6" t="s">
        <v>220</v>
      </c>
      <c r="E37" s="5">
        <v>0.80908771845499539</v>
      </c>
      <c r="F37" s="5"/>
      <c r="G37" s="5">
        <v>0.81683988125460116</v>
      </c>
      <c r="H37" s="5">
        <f t="shared" si="6"/>
        <v>1.6259275997095965</v>
      </c>
      <c r="I37" s="5">
        <f t="shared" si="7"/>
        <v>0.57317629181165963</v>
      </c>
      <c r="J37" s="5">
        <f t="shared" si="8"/>
        <v>2.199103891521256</v>
      </c>
      <c r="K37" s="5">
        <f>'Function - O&amp;M3'!$J$25*J37/'Function - Factors'!$E$54</f>
        <v>0.42862902686717863</v>
      </c>
      <c r="L37" s="5">
        <f t="shared" si="8"/>
        <v>2.6277329183884346</v>
      </c>
    </row>
    <row r="38" spans="2:12" ht="15.75" customHeight="1">
      <c r="B38" s="8" t="s">
        <v>221</v>
      </c>
      <c r="C38" s="6" t="s">
        <v>222</v>
      </c>
      <c r="E38" s="5">
        <v>2.7667509719432486</v>
      </c>
      <c r="F38" s="5"/>
      <c r="G38" s="5">
        <v>1.5859309278298612</v>
      </c>
      <c r="H38" s="5">
        <f t="shared" si="6"/>
        <v>4.3526818997731098</v>
      </c>
      <c r="I38" s="5">
        <f t="shared" si="7"/>
        <v>1.5344189195098732</v>
      </c>
      <c r="J38" s="5">
        <f t="shared" si="8"/>
        <v>5.887100819282983</v>
      </c>
      <c r="K38" s="5">
        <f>'Function - O&amp;M3'!$J$25*J38/'Function - Factors'!$E$54</f>
        <v>1.1474593378545002</v>
      </c>
      <c r="L38" s="5">
        <f t="shared" si="8"/>
        <v>7.0345601571374834</v>
      </c>
    </row>
    <row r="39" spans="2:12" ht="15.75" customHeight="1">
      <c r="B39" s="8" t="s">
        <v>223</v>
      </c>
      <c r="C39" s="6" t="s">
        <v>224</v>
      </c>
      <c r="E39" s="5">
        <v>0</v>
      </c>
      <c r="F39" s="5"/>
      <c r="G39" s="5">
        <v>0</v>
      </c>
      <c r="H39" s="5">
        <f t="shared" si="6"/>
        <v>0</v>
      </c>
      <c r="I39" s="5">
        <f t="shared" si="7"/>
        <v>0</v>
      </c>
      <c r="J39" s="5">
        <f t="shared" si="8"/>
        <v>0</v>
      </c>
      <c r="K39" s="5">
        <f>'Function - O&amp;M3'!$J$25*J39/'Function - Factors'!$E$54</f>
        <v>0</v>
      </c>
      <c r="L39" s="5">
        <f t="shared" si="8"/>
        <v>0</v>
      </c>
    </row>
    <row r="40" spans="2:12" ht="15.75" customHeight="1">
      <c r="B40" s="8" t="s">
        <v>225</v>
      </c>
      <c r="C40" s="6" t="s">
        <v>226</v>
      </c>
      <c r="E40" s="5">
        <v>0.76439218365182882</v>
      </c>
      <c r="F40" s="5"/>
      <c r="G40" s="5">
        <v>0.37769754990863719</v>
      </c>
      <c r="H40" s="5">
        <f t="shared" si="6"/>
        <v>1.1420897335604661</v>
      </c>
      <c r="I40" s="5">
        <f t="shared" si="7"/>
        <v>0.40261248933548716</v>
      </c>
      <c r="J40" s="5">
        <f t="shared" si="8"/>
        <v>1.5447022228959533</v>
      </c>
      <c r="K40" s="5">
        <f>'Function - O&amp;M3'!$J$25*J40/'Function - Factors'!$E$54</f>
        <v>0.3010790955135102</v>
      </c>
      <c r="L40" s="5">
        <f t="shared" si="8"/>
        <v>1.8457813184094634</v>
      </c>
    </row>
    <row r="41" spans="2:12" ht="15.75" customHeight="1">
      <c r="B41" s="8" t="s">
        <v>227</v>
      </c>
      <c r="C41" s="6" t="s">
        <v>228</v>
      </c>
      <c r="E41" s="5">
        <v>2.3871437604536392</v>
      </c>
      <c r="F41" s="5"/>
      <c r="G41" s="5">
        <v>1.429755208773771</v>
      </c>
      <c r="H41" s="5">
        <f t="shared" si="6"/>
        <v>3.8168989692274105</v>
      </c>
      <c r="I41" s="5">
        <f t="shared" si="7"/>
        <v>1.3455433057365305</v>
      </c>
      <c r="J41" s="5">
        <f t="shared" si="8"/>
        <v>5.1624422749639409</v>
      </c>
      <c r="K41" s="5">
        <f>'Function - O&amp;M3'!$J$25*J41/'Function - Factors'!$E$54</f>
        <v>1.0062155849513168</v>
      </c>
      <c r="L41" s="5">
        <f t="shared" si="8"/>
        <v>6.1686578599152577</v>
      </c>
    </row>
    <row r="42" spans="2:12" ht="15.75" customHeight="1">
      <c r="B42" s="8" t="s">
        <v>229</v>
      </c>
      <c r="C42" s="50" t="s">
        <v>144</v>
      </c>
      <c r="D42" s="50"/>
      <c r="E42" s="51">
        <f>SUM(E35:E41)</f>
        <v>10.564109325260247</v>
      </c>
      <c r="F42" s="51"/>
      <c r="G42" s="51">
        <f t="shared" ref="G42:L42" si="9">SUM(G35:G41)</f>
        <v>6.0274783657652646</v>
      </c>
      <c r="H42" s="51">
        <f t="shared" si="9"/>
        <v>16.591587691025513</v>
      </c>
      <c r="I42" s="51">
        <f t="shared" si="9"/>
        <v>5.8489103141545309</v>
      </c>
      <c r="J42" s="51">
        <f t="shared" si="9"/>
        <v>22.440498005180043</v>
      </c>
      <c r="K42" s="51">
        <f t="shared" si="9"/>
        <v>4.373894684766972</v>
      </c>
      <c r="L42" s="51">
        <f t="shared" si="9"/>
        <v>26.814392689947017</v>
      </c>
    </row>
    <row r="43" spans="2:12" ht="15.75" customHeight="1">
      <c r="B43" s="8" t="s">
        <v>230</v>
      </c>
      <c r="C43" s="6" t="s">
        <v>231</v>
      </c>
      <c r="E43" s="5">
        <v>3.9451476472987714</v>
      </c>
      <c r="F43" s="5"/>
      <c r="G43" s="5">
        <v>1.9037626668557597</v>
      </c>
      <c r="H43" s="5">
        <f t="shared" si="6"/>
        <v>5.8489103141545309</v>
      </c>
      <c r="I43" s="5">
        <f>-H43</f>
        <v>-5.8489103141545309</v>
      </c>
      <c r="J43" s="5">
        <f t="shared" si="8"/>
        <v>0</v>
      </c>
      <c r="K43" s="5">
        <v>0</v>
      </c>
      <c r="L43" s="5">
        <f t="shared" si="8"/>
        <v>0</v>
      </c>
    </row>
    <row r="44" spans="2:12" ht="15.75" customHeight="1">
      <c r="B44" s="8" t="s">
        <v>232</v>
      </c>
      <c r="C44" s="6" t="s">
        <v>233</v>
      </c>
      <c r="E44" s="5">
        <v>55.648873000000002</v>
      </c>
      <c r="F44" s="5"/>
      <c r="G44" s="5">
        <v>0</v>
      </c>
      <c r="H44" s="5">
        <f t="shared" si="6"/>
        <v>55.648873000000002</v>
      </c>
      <c r="I44" s="5">
        <v>0</v>
      </c>
      <c r="J44" s="5">
        <f t="shared" si="8"/>
        <v>55.648873000000002</v>
      </c>
      <c r="K44" s="5">
        <f>'Function - O&amp;M3'!$J$25*J44/'Function - Factors'!$E$54</f>
        <v>10.846564535768616</v>
      </c>
      <c r="L44" s="5">
        <f t="shared" si="8"/>
        <v>66.495437535768616</v>
      </c>
    </row>
    <row r="45" spans="2:12" ht="15.75" customHeight="1">
      <c r="B45" s="8" t="s">
        <v>234</v>
      </c>
      <c r="C45" s="7" t="s">
        <v>235</v>
      </c>
      <c r="D45" s="7"/>
      <c r="E45" s="18">
        <v>11.905213999999999</v>
      </c>
      <c r="F45" s="18"/>
      <c r="G45" s="18">
        <v>5.1751917530327241</v>
      </c>
      <c r="H45" s="18">
        <f t="shared" si="6"/>
        <v>17.080405753032721</v>
      </c>
      <c r="I45" s="18">
        <v>0</v>
      </c>
      <c r="J45" s="18">
        <f t="shared" si="8"/>
        <v>17.080405753032721</v>
      </c>
      <c r="K45" s="18">
        <f>'Function - O&amp;M3'!$J$25*J45/'Function - Factors'!$E$54</f>
        <v>3.3291549911061624</v>
      </c>
      <c r="L45" s="18">
        <f t="shared" si="8"/>
        <v>20.409560744138883</v>
      </c>
    </row>
    <row r="46" spans="2:12" ht="15.75" customHeight="1">
      <c r="B46" s="8" t="s">
        <v>66</v>
      </c>
      <c r="C46" s="53" t="s">
        <v>236</v>
      </c>
      <c r="D46" s="53"/>
      <c r="E46" s="54">
        <f>SUM(E42:E45)</f>
        <v>82.063343972559025</v>
      </c>
      <c r="F46" s="55"/>
      <c r="G46" s="54">
        <f t="shared" ref="G46:L46" si="10">SUM(G42:G45)</f>
        <v>13.106432785653748</v>
      </c>
      <c r="H46" s="54">
        <f t="shared" si="10"/>
        <v>95.169776758212763</v>
      </c>
      <c r="I46" s="54">
        <f t="shared" si="10"/>
        <v>0</v>
      </c>
      <c r="J46" s="54">
        <f t="shared" si="10"/>
        <v>95.169776758212763</v>
      </c>
      <c r="K46" s="54">
        <f t="shared" si="10"/>
        <v>18.54961421164175</v>
      </c>
      <c r="L46" s="54">
        <f t="shared" si="10"/>
        <v>113.71939096985452</v>
      </c>
    </row>
    <row r="47" spans="2:12" ht="14.5" thickBot="1">
      <c r="C47" s="43"/>
      <c r="D47" s="43"/>
      <c r="E47" s="56"/>
      <c r="F47" s="56"/>
      <c r="G47" s="56"/>
      <c r="H47" s="56"/>
      <c r="I47" s="56"/>
      <c r="J47" s="56"/>
      <c r="K47" s="56"/>
      <c r="L47" s="56"/>
    </row>
    <row r="48" spans="2:12" ht="14.5" thickTop="1"/>
  </sheetData>
  <mergeCells count="5">
    <mergeCell ref="C1:L1"/>
    <mergeCell ref="C2:L2"/>
    <mergeCell ref="C3:L3"/>
    <mergeCell ref="C4:L4"/>
    <mergeCell ref="C5:L5"/>
  </mergeCells>
  <pageMargins left="0.7" right="0.7" top="0.75" bottom="0.75" header="0.3" footer="0.3"/>
  <pageSetup scale="61" fitToHeight="0" orientation="landscape" r:id="rId1"/>
  <headerFooter>
    <oddHeader>&amp;R&amp;"Arial,Regular"&amp;10Filed: 2023-03-08
EB-2022-0200
Exhibit I.7.1-VECC-62
Attachment 1</oddHeader>
  </headerFooter>
  <ignoredErrors>
    <ignoredError sqref="B44:B46 B23:B37 B38:B43" numberStoredAsText="1"/>
    <ignoredError sqref="L18 H18:H46 L15 L16 L17 L21:L26 L19 L20 L29:L34 L27 L28 L42:L43 L35 L36 L37 L38 L39 L40 L41 K46:L46 L44 L45 K42:K43 K29:K34 K21:K26 K18 K15:K17 K19:K20 K27:K28 K35:K41 K44:K45 J18:J4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L45"/>
  <sheetViews>
    <sheetView zoomScaleNormal="100" zoomScaleSheetLayoutView="91" workbookViewId="0">
      <pane ySplit="9" topLeftCell="A10" activePane="bottomLeft" state="frozen"/>
      <selection pane="bottomLeft"/>
    </sheetView>
  </sheetViews>
  <sheetFormatPr defaultColWidth="9.1796875" defaultRowHeight="12.5"/>
  <cols>
    <col min="1" max="1" width="4.1796875" style="9" customWidth="1"/>
    <col min="2" max="2" width="4.54296875" style="9" customWidth="1"/>
    <col min="3" max="3" width="26" style="9" bestFit="1" customWidth="1"/>
    <col min="4" max="4" width="5.1796875" style="9" customWidth="1"/>
    <col min="5" max="5" width="11.26953125" style="10" customWidth="1"/>
    <col min="6" max="6" width="2.453125" style="10" customWidth="1"/>
    <col min="7" max="12" width="11.26953125" style="10" customWidth="1"/>
    <col min="13" max="16384" width="9.1796875" style="9"/>
  </cols>
  <sheetData>
    <row r="1" spans="2:12">
      <c r="C1" s="90" t="s">
        <v>87</v>
      </c>
      <c r="D1" s="90"/>
      <c r="E1" s="90"/>
      <c r="F1" s="90"/>
      <c r="G1" s="90"/>
      <c r="H1" s="90"/>
      <c r="I1" s="90"/>
      <c r="J1" s="90"/>
      <c r="K1" s="90"/>
      <c r="L1" s="90"/>
    </row>
    <row r="2" spans="2:12">
      <c r="C2" s="90" t="s">
        <v>141</v>
      </c>
      <c r="D2" s="90"/>
      <c r="E2" s="90"/>
      <c r="F2" s="90"/>
      <c r="G2" s="90"/>
      <c r="H2" s="90"/>
      <c r="I2" s="90"/>
      <c r="J2" s="90"/>
      <c r="K2" s="90"/>
      <c r="L2" s="90"/>
    </row>
    <row r="3" spans="2:12">
      <c r="C3" s="90" t="str">
        <f>'Function - Factors'!C2</f>
        <v>Year Ended December 31, 2018</v>
      </c>
      <c r="D3" s="90"/>
      <c r="E3" s="90"/>
      <c r="F3" s="90"/>
      <c r="G3" s="90"/>
      <c r="H3" s="90"/>
      <c r="I3" s="90"/>
      <c r="J3" s="90"/>
      <c r="K3" s="90"/>
      <c r="L3" s="90"/>
    </row>
    <row r="4" spans="2:12">
      <c r="C4" s="91" t="s">
        <v>2</v>
      </c>
      <c r="D4" s="91"/>
      <c r="E4" s="91"/>
      <c r="F4" s="91"/>
      <c r="G4" s="91"/>
      <c r="H4" s="91"/>
      <c r="I4" s="91"/>
      <c r="J4" s="91"/>
      <c r="K4" s="91"/>
      <c r="L4" s="91"/>
    </row>
    <row r="5" spans="2:12">
      <c r="C5" s="90" t="s">
        <v>3</v>
      </c>
      <c r="D5" s="90"/>
      <c r="E5" s="90"/>
      <c r="F5" s="90"/>
      <c r="G5" s="90"/>
      <c r="H5" s="90"/>
      <c r="I5" s="90"/>
      <c r="J5" s="90"/>
      <c r="K5" s="90"/>
      <c r="L5" s="90"/>
    </row>
    <row r="7" spans="2:12">
      <c r="E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0" t="s">
        <v>9</v>
      </c>
      <c r="L7" s="10" t="s">
        <v>10</v>
      </c>
    </row>
    <row r="8" spans="2:12" ht="9" customHeight="1"/>
    <row r="9" spans="2:12" ht="25">
      <c r="D9" s="11"/>
      <c r="E9" s="12" t="s">
        <v>142</v>
      </c>
      <c r="F9" s="12"/>
      <c r="G9" s="12" t="s">
        <v>143</v>
      </c>
      <c r="H9" s="12" t="s">
        <v>144</v>
      </c>
      <c r="I9" s="12" t="s">
        <v>145</v>
      </c>
      <c r="J9" s="12" t="s">
        <v>144</v>
      </c>
      <c r="K9" s="12" t="s">
        <v>146</v>
      </c>
      <c r="L9" s="12" t="s">
        <v>17</v>
      </c>
    </row>
    <row r="10" spans="2:12" ht="9.75" customHeight="1"/>
    <row r="11" spans="2:12" ht="15.75" customHeight="1">
      <c r="C11" s="9" t="s">
        <v>237</v>
      </c>
      <c r="E11" s="28"/>
      <c r="G11" s="28"/>
      <c r="H11" s="28"/>
      <c r="I11" s="28"/>
      <c r="J11" s="28"/>
      <c r="K11" s="28"/>
      <c r="L11" s="28"/>
    </row>
    <row r="12" spans="2:12" ht="15.75" customHeight="1">
      <c r="E12" s="21"/>
      <c r="F12" s="21"/>
      <c r="G12" s="21"/>
      <c r="H12" s="21"/>
      <c r="I12" s="21"/>
      <c r="J12" s="21"/>
      <c r="K12" s="21"/>
      <c r="L12" s="21"/>
    </row>
    <row r="13" spans="2:12" ht="15.75" customHeight="1">
      <c r="B13" s="13" t="s">
        <v>96</v>
      </c>
      <c r="C13" s="9" t="s">
        <v>238</v>
      </c>
      <c r="E13" s="21">
        <v>46.630283502021754</v>
      </c>
      <c r="F13" s="21"/>
      <c r="G13" s="21">
        <v>1.2553243725656535</v>
      </c>
      <c r="H13" s="21">
        <f>G13+E13</f>
        <v>47.885607874587407</v>
      </c>
      <c r="I13" s="21">
        <f>H13/H$17*H$18</f>
        <v>12.349221955731702</v>
      </c>
      <c r="J13" s="21">
        <f>I13+H13</f>
        <v>60.234829830319107</v>
      </c>
      <c r="K13" s="21">
        <f>'Function - O&amp;M3'!$J$25*J13/'Function - Factors'!$E$54</f>
        <v>11.740416900367359</v>
      </c>
      <c r="L13" s="21">
        <f>K13+J13</f>
        <v>71.975246730686465</v>
      </c>
    </row>
    <row r="14" spans="2:12" ht="15.75" customHeight="1">
      <c r="B14" s="13" t="s">
        <v>239</v>
      </c>
      <c r="C14" s="9" t="s">
        <v>240</v>
      </c>
      <c r="E14" s="21">
        <v>10.704157431300363</v>
      </c>
      <c r="F14" s="21"/>
      <c r="G14" s="21">
        <v>0</v>
      </c>
      <c r="H14" s="21">
        <f t="shared" ref="H14:H20" si="0">G14+E14</f>
        <v>10.704157431300363</v>
      </c>
      <c r="I14" s="21">
        <f>H14/H$17*H$18</f>
        <v>2.7604957279528333</v>
      </c>
      <c r="J14" s="21">
        <f t="shared" ref="J14:L20" si="1">I14+H14</f>
        <v>13.464653159253196</v>
      </c>
      <c r="K14" s="21">
        <f>'Function - O&amp;M3'!$J$25*J14/'Function - Factors'!$E$54</f>
        <v>2.6244058786883353</v>
      </c>
      <c r="L14" s="21">
        <f t="shared" si="1"/>
        <v>16.089059037941531</v>
      </c>
    </row>
    <row r="15" spans="2:12" ht="15.75" customHeight="1">
      <c r="B15" s="13" t="s">
        <v>241</v>
      </c>
      <c r="C15" s="9" t="s">
        <v>242</v>
      </c>
      <c r="E15" s="21">
        <v>11.345389641502218</v>
      </c>
      <c r="F15" s="21"/>
      <c r="G15" s="21">
        <v>0</v>
      </c>
      <c r="H15" s="21">
        <f t="shared" si="0"/>
        <v>11.345389641502218</v>
      </c>
      <c r="I15" s="21">
        <f>H15/H$17*H$18</f>
        <v>2.9258631366674992</v>
      </c>
      <c r="J15" s="21">
        <f t="shared" si="1"/>
        <v>14.271252778169718</v>
      </c>
      <c r="K15" s="21">
        <f>'Function - O&amp;M3'!$J$25*J15/'Function - Factors'!$E$54</f>
        <v>2.7816208293146389</v>
      </c>
      <c r="L15" s="21">
        <f t="shared" si="1"/>
        <v>17.052873607484358</v>
      </c>
    </row>
    <row r="16" spans="2:12" ht="15.75" customHeight="1">
      <c r="B16" s="13" t="s">
        <v>243</v>
      </c>
      <c r="C16" s="9" t="s">
        <v>244</v>
      </c>
      <c r="E16" s="21">
        <v>17.290672941411366</v>
      </c>
      <c r="F16" s="21"/>
      <c r="G16" s="21">
        <v>0</v>
      </c>
      <c r="H16" s="21">
        <f t="shared" si="0"/>
        <v>17.290672941411366</v>
      </c>
      <c r="I16" s="21">
        <f>H16/H$17*H$18</f>
        <v>4.4590925623556803</v>
      </c>
      <c r="J16" s="21">
        <f t="shared" si="1"/>
        <v>21.749765503767044</v>
      </c>
      <c r="K16" s="21">
        <f>'Function - O&amp;M3'!$J$25*J16/'Function - Factors'!$E$54</f>
        <v>4.239263482918032</v>
      </c>
      <c r="L16" s="21">
        <f t="shared" si="1"/>
        <v>25.989028986685078</v>
      </c>
    </row>
    <row r="17" spans="2:12" ht="15.75" customHeight="1">
      <c r="B17" s="13" t="s">
        <v>245</v>
      </c>
      <c r="C17" s="48" t="s">
        <v>144</v>
      </c>
      <c r="D17" s="48"/>
      <c r="E17" s="49">
        <f>SUM(E13:E16)</f>
        <v>85.970503516235709</v>
      </c>
      <c r="F17" s="49"/>
      <c r="G17" s="49">
        <f t="shared" ref="G17:L17" si="2">SUM(G13:G16)</f>
        <v>1.2553243725656535</v>
      </c>
      <c r="H17" s="49">
        <f t="shared" si="2"/>
        <v>87.225827888801348</v>
      </c>
      <c r="I17" s="49">
        <f t="shared" si="2"/>
        <v>22.494673382707717</v>
      </c>
      <c r="J17" s="49">
        <f t="shared" si="2"/>
        <v>109.72050127150905</v>
      </c>
      <c r="K17" s="49">
        <f t="shared" si="2"/>
        <v>21.385707091288367</v>
      </c>
      <c r="L17" s="49">
        <f t="shared" si="2"/>
        <v>131.10620836279745</v>
      </c>
    </row>
    <row r="18" spans="2:12" ht="15.75" customHeight="1">
      <c r="B18" s="13" t="s">
        <v>246</v>
      </c>
      <c r="C18" s="9" t="s">
        <v>145</v>
      </c>
      <c r="E18" s="21">
        <v>22.230727593000331</v>
      </c>
      <c r="F18" s="21"/>
      <c r="G18" s="21">
        <v>0.26394578970738114</v>
      </c>
      <c r="H18" s="21">
        <f t="shared" si="0"/>
        <v>22.494673382707713</v>
      </c>
      <c r="I18" s="21">
        <f>-H18</f>
        <v>-22.494673382707713</v>
      </c>
      <c r="J18" s="21">
        <f t="shared" si="1"/>
        <v>0</v>
      </c>
      <c r="K18" s="21">
        <v>0</v>
      </c>
      <c r="L18" s="21">
        <f t="shared" si="1"/>
        <v>0</v>
      </c>
    </row>
    <row r="19" spans="2:12" ht="15.75" customHeight="1">
      <c r="B19" s="13" t="s">
        <v>247</v>
      </c>
      <c r="C19" s="9" t="s">
        <v>248</v>
      </c>
      <c r="E19" s="21">
        <f>2.5824685</f>
        <v>2.5824685000000001</v>
      </c>
      <c r="F19" s="21"/>
      <c r="G19" s="21">
        <v>3.0661690436149185E-2</v>
      </c>
      <c r="H19" s="21">
        <f t="shared" si="0"/>
        <v>2.613130190436149</v>
      </c>
      <c r="I19" s="21">
        <v>0</v>
      </c>
      <c r="J19" s="21">
        <f t="shared" si="1"/>
        <v>2.613130190436149</v>
      </c>
      <c r="K19" s="21">
        <f>'Function - O&amp;M3'!$J$25*J19/'Function - Factors'!$E$54</f>
        <v>0.5093272104707498</v>
      </c>
      <c r="L19" s="21">
        <f t="shared" si="1"/>
        <v>3.1224574009068986</v>
      </c>
    </row>
    <row r="20" spans="2:12" ht="15.75" customHeight="1">
      <c r="B20" s="13" t="s">
        <v>249</v>
      </c>
      <c r="C20" s="11" t="s">
        <v>250</v>
      </c>
      <c r="D20" s="11"/>
      <c r="E20" s="22">
        <v>9.7210706430086322</v>
      </c>
      <c r="F20" s="22"/>
      <c r="G20" s="22">
        <v>0</v>
      </c>
      <c r="H20" s="22">
        <f t="shared" si="0"/>
        <v>9.7210706430086322</v>
      </c>
      <c r="I20" s="22">
        <v>0</v>
      </c>
      <c r="J20" s="22">
        <f t="shared" si="1"/>
        <v>9.7210706430086322</v>
      </c>
      <c r="K20" s="22">
        <f>'Function - O&amp;M3'!$J$25*J20/'Function - Factors'!$E$54</f>
        <v>1.8947413379990437</v>
      </c>
      <c r="L20" s="22">
        <f t="shared" si="1"/>
        <v>11.615811981007676</v>
      </c>
    </row>
    <row r="21" spans="2:12" ht="15.75" customHeight="1">
      <c r="B21" s="13" t="s">
        <v>68</v>
      </c>
      <c r="C21" s="9" t="s">
        <v>251</v>
      </c>
      <c r="E21" s="25">
        <f>SUM(E17:E20)</f>
        <v>120.50477025224467</v>
      </c>
      <c r="F21" s="25"/>
      <c r="G21" s="25">
        <f t="shared" ref="G21:L21" si="3">SUM(G17:G20)</f>
        <v>1.5499318527091839</v>
      </c>
      <c r="H21" s="25">
        <f t="shared" si="3"/>
        <v>122.05470210495385</v>
      </c>
      <c r="I21" s="25">
        <f t="shared" si="3"/>
        <v>3.5527136788005009E-15</v>
      </c>
      <c r="J21" s="25">
        <f t="shared" si="3"/>
        <v>122.05470210495383</v>
      </c>
      <c r="K21" s="25">
        <f t="shared" si="3"/>
        <v>23.789775639758162</v>
      </c>
      <c r="L21" s="25">
        <f t="shared" si="3"/>
        <v>145.84447774471204</v>
      </c>
    </row>
    <row r="22" spans="2:12" ht="15.75" customHeight="1">
      <c r="E22" s="21"/>
      <c r="F22" s="21"/>
      <c r="G22" s="21"/>
      <c r="H22" s="21"/>
      <c r="I22" s="21"/>
      <c r="J22" s="21"/>
      <c r="K22" s="21"/>
      <c r="L22" s="21"/>
    </row>
    <row r="23" spans="2:12" ht="15.75" customHeight="1">
      <c r="B23" s="13" t="s">
        <v>99</v>
      </c>
      <c r="C23" s="9" t="s">
        <v>143</v>
      </c>
      <c r="E23" s="21">
        <v>74.215567286088032</v>
      </c>
      <c r="F23" s="21"/>
      <c r="G23" s="21">
        <f>E23*-1</f>
        <v>-74.215567286088032</v>
      </c>
      <c r="H23" s="21">
        <f>G23+E23</f>
        <v>0</v>
      </c>
      <c r="I23" s="21">
        <v>0</v>
      </c>
      <c r="J23" s="21">
        <f>I23+H23</f>
        <v>0</v>
      </c>
      <c r="K23" s="21"/>
      <c r="L23" s="21"/>
    </row>
    <row r="24" spans="2:12" ht="15.75" customHeight="1">
      <c r="B24" s="13" t="s">
        <v>78</v>
      </c>
      <c r="C24" s="11" t="s">
        <v>252</v>
      </c>
      <c r="D24" s="11"/>
      <c r="E24" s="22">
        <v>63.602751590780208</v>
      </c>
      <c r="F24" s="22"/>
      <c r="G24" s="22">
        <v>19.367095344893123</v>
      </c>
      <c r="H24" s="22">
        <f>G24+E24</f>
        <v>82.969846935673331</v>
      </c>
      <c r="I24" s="22">
        <v>0</v>
      </c>
      <c r="J24" s="22">
        <f>I24+H24</f>
        <v>82.969846935673331</v>
      </c>
      <c r="K24" s="22">
        <f>-J24</f>
        <v>-82.969846935673331</v>
      </c>
      <c r="L24" s="22">
        <f>K24+J24</f>
        <v>0</v>
      </c>
    </row>
    <row r="25" spans="2:12" ht="15.75" customHeight="1">
      <c r="B25" s="13" t="s">
        <v>80</v>
      </c>
      <c r="C25" s="9" t="s">
        <v>253</v>
      </c>
      <c r="E25" s="21">
        <f>E24+E23</f>
        <v>137.81831887686823</v>
      </c>
      <c r="F25" s="21"/>
      <c r="G25" s="21">
        <f>G24+G23</f>
        <v>-54.848471941194909</v>
      </c>
      <c r="H25" s="21">
        <f>SUM(H23:H24)</f>
        <v>82.969846935673331</v>
      </c>
      <c r="I25" s="21">
        <f>I24+I23</f>
        <v>0</v>
      </c>
      <c r="J25" s="21">
        <f>J24+J23</f>
        <v>82.969846935673331</v>
      </c>
      <c r="K25" s="21">
        <f>K24+K23</f>
        <v>-82.969846935673331</v>
      </c>
      <c r="L25" s="21">
        <f>L24+L23</f>
        <v>0</v>
      </c>
    </row>
    <row r="26" spans="2:12" ht="15.75" customHeight="1">
      <c r="E26" s="21"/>
      <c r="F26" s="21"/>
      <c r="G26" s="21"/>
      <c r="H26" s="21"/>
      <c r="I26" s="21"/>
      <c r="J26" s="21"/>
      <c r="K26" s="21"/>
      <c r="L26" s="21"/>
    </row>
    <row r="27" spans="2:12" ht="15.75" customHeight="1">
      <c r="B27" s="13" t="s">
        <v>82</v>
      </c>
      <c r="C27" s="9" t="s">
        <v>254</v>
      </c>
      <c r="E27" s="21">
        <f>E25+E21+'Function - O&amp;M2'!E46+'Function - O&amp;M2'!E29+'Function - O&amp;M2'!E23+'Function - O&amp;M1'!E46+'Function - O&amp;M1'!E32+'Function - O&amp;M1'!E18</f>
        <v>2245.6511680692965</v>
      </c>
      <c r="F27" s="21"/>
      <c r="G27" s="21">
        <f>G25+G21+'Function - O&amp;M2'!G46+'Function - O&amp;M2'!G29+'Function - O&amp;M2'!G23+'Function - O&amp;M1'!G46+'Function - O&amp;M1'!G32+'Function - O&amp;M1'!G18</f>
        <v>-1.3766765505351941E-14</v>
      </c>
      <c r="H27" s="21">
        <f>H25+H21+'Function - O&amp;M2'!H46+'Function - O&amp;M2'!H29+'Function - O&amp;M2'!H23+'Function - O&amp;M1'!H46+'Function - O&amp;M1'!H32+'Function - O&amp;M1'!H18</f>
        <v>2245.6511680692961</v>
      </c>
      <c r="I27" s="21">
        <v>3.5527136788005009E-15</v>
      </c>
      <c r="J27" s="21">
        <f>J25+J21+'Function - O&amp;M2'!J46+'Function - O&amp;M2'!J29+'Function - O&amp;M2'!J23+'Function - O&amp;M1'!J46+'Function - O&amp;M1'!J32+'Function - O&amp;M1'!J18</f>
        <v>2245.6511680692961</v>
      </c>
      <c r="K27" s="21">
        <f>K25+K21+'Function - O&amp;M2'!K46+'Function - O&amp;M2'!K29+'Function - O&amp;M2'!K23+'Function - O&amp;M1'!K46+'Function - O&amp;M1'!K32+'Function - O&amp;M1'!K18</f>
        <v>-4.2632564145606011E-14</v>
      </c>
      <c r="L27" s="21">
        <f>L25+L21+'Function - O&amp;M2'!L46+'Function - O&amp;M2'!L29+'Function - O&amp;M2'!L23+'Function - O&amp;M1'!L46+'Function - O&amp;M1'!L32+'Function - O&amp;M1'!L18</f>
        <v>2245.6511680692961</v>
      </c>
    </row>
    <row r="28" spans="2:12" ht="15.75" customHeight="1">
      <c r="B28" s="13"/>
      <c r="E28" s="21"/>
      <c r="F28" s="21"/>
      <c r="G28" s="21"/>
      <c r="H28" s="21"/>
      <c r="I28" s="21"/>
      <c r="J28" s="21"/>
      <c r="K28" s="21"/>
      <c r="L28" s="21"/>
    </row>
    <row r="29" spans="2:12" ht="15.75" customHeight="1">
      <c r="B29" s="13" t="s">
        <v>85</v>
      </c>
      <c r="C29" s="9" t="s">
        <v>255</v>
      </c>
      <c r="E29" s="21">
        <v>1.9</v>
      </c>
      <c r="F29" s="21"/>
      <c r="G29" s="21">
        <v>0</v>
      </c>
      <c r="H29" s="21">
        <f>G29+E29</f>
        <v>1.9</v>
      </c>
      <c r="I29" s="21">
        <v>0</v>
      </c>
      <c r="J29" s="21">
        <f>I29+H29</f>
        <v>1.9</v>
      </c>
      <c r="K29" s="21">
        <v>0</v>
      </c>
      <c r="L29" s="21">
        <f>K29+J29</f>
        <v>1.9</v>
      </c>
    </row>
    <row r="30" spans="2:12" ht="15.75" customHeight="1">
      <c r="B30" s="13"/>
      <c r="E30" s="21"/>
      <c r="F30" s="21"/>
      <c r="G30" s="21"/>
      <c r="H30" s="21"/>
      <c r="I30" s="21"/>
      <c r="J30" s="21"/>
      <c r="K30" s="21"/>
      <c r="L30" s="21"/>
    </row>
    <row r="31" spans="2:12" ht="15.75" customHeight="1" thickBot="1">
      <c r="B31" s="13" t="s">
        <v>256</v>
      </c>
      <c r="C31" s="26" t="s">
        <v>257</v>
      </c>
      <c r="D31" s="26"/>
      <c r="E31" s="23">
        <f>E27+E29</f>
        <v>2247.5511680692966</v>
      </c>
      <c r="F31" s="23"/>
      <c r="G31" s="23">
        <f t="shared" ref="G31:K31" si="4">G27+G29</f>
        <v>-1.3766765505351941E-14</v>
      </c>
      <c r="H31" s="23">
        <f t="shared" si="4"/>
        <v>2247.5511680692962</v>
      </c>
      <c r="I31" s="23">
        <f t="shared" si="4"/>
        <v>3.5527136788005009E-15</v>
      </c>
      <c r="J31" s="23">
        <f t="shared" si="4"/>
        <v>2247.5511680692962</v>
      </c>
      <c r="K31" s="23">
        <f t="shared" si="4"/>
        <v>-4.2632564145606011E-14</v>
      </c>
      <c r="L31" s="23">
        <f>L27+L29</f>
        <v>2247.5511680692962</v>
      </c>
    </row>
    <row r="32" spans="2:12" ht="13" thickTop="1">
      <c r="B32" s="13"/>
      <c r="E32" s="21"/>
      <c r="F32" s="21"/>
      <c r="G32" s="21"/>
      <c r="H32" s="21"/>
      <c r="I32" s="21"/>
      <c r="J32" s="21"/>
      <c r="K32" s="21"/>
      <c r="L32" s="21"/>
    </row>
    <row r="33" spans="2:12">
      <c r="B33" s="13"/>
      <c r="E33" s="21"/>
      <c r="F33" s="21"/>
      <c r="G33" s="21"/>
      <c r="H33" s="21"/>
      <c r="I33" s="21"/>
      <c r="J33" s="21"/>
      <c r="K33" s="21"/>
      <c r="L33" s="21"/>
    </row>
    <row r="34" spans="2:12">
      <c r="B34" s="13"/>
      <c r="E34" s="21"/>
      <c r="F34" s="21"/>
      <c r="G34" s="21"/>
      <c r="H34" s="21"/>
      <c r="I34" s="21"/>
      <c r="J34" s="21"/>
      <c r="K34" s="21"/>
      <c r="L34" s="21"/>
    </row>
    <row r="35" spans="2:12">
      <c r="B35" s="13"/>
      <c r="E35" s="25"/>
      <c r="F35" s="21"/>
      <c r="G35" s="21"/>
      <c r="H35" s="21"/>
      <c r="I35" s="21"/>
      <c r="J35" s="21"/>
      <c r="K35" s="21"/>
      <c r="L35" s="21"/>
    </row>
    <row r="36" spans="2:12" ht="8.25" customHeight="1">
      <c r="B36" s="13"/>
      <c r="E36" s="25"/>
      <c r="F36" s="21"/>
      <c r="G36" s="21"/>
      <c r="H36" s="21"/>
      <c r="I36" s="21"/>
      <c r="J36" s="21"/>
      <c r="K36" s="21"/>
      <c r="L36" s="21"/>
    </row>
    <row r="37" spans="2:12" ht="13">
      <c r="C37" s="48"/>
      <c r="E37" s="21"/>
      <c r="F37" s="21"/>
      <c r="G37" s="21"/>
      <c r="H37" s="21"/>
      <c r="I37" s="21"/>
      <c r="J37" s="21"/>
      <c r="K37" s="21"/>
      <c r="L37" s="21"/>
    </row>
    <row r="38" spans="2:12" ht="9.75" customHeight="1">
      <c r="E38" s="21"/>
      <c r="F38" s="21"/>
      <c r="G38" s="21"/>
      <c r="H38" s="21"/>
      <c r="I38" s="21"/>
      <c r="J38" s="21"/>
      <c r="K38" s="21"/>
      <c r="L38" s="21"/>
    </row>
    <row r="39" spans="2:12">
      <c r="B39" s="13"/>
      <c r="E39" s="21"/>
      <c r="F39" s="21"/>
      <c r="G39" s="21"/>
      <c r="H39" s="21"/>
      <c r="I39" s="21"/>
      <c r="J39" s="21"/>
      <c r="K39" s="21"/>
      <c r="L39" s="21"/>
    </row>
    <row r="40" spans="2:12">
      <c r="B40" s="13"/>
      <c r="E40" s="21"/>
      <c r="F40" s="21"/>
      <c r="G40" s="21"/>
      <c r="H40" s="21"/>
      <c r="I40" s="21"/>
      <c r="J40" s="21"/>
      <c r="K40" s="21"/>
      <c r="L40" s="21"/>
    </row>
    <row r="41" spans="2:12">
      <c r="B41" s="13"/>
      <c r="E41" s="21"/>
      <c r="F41" s="21"/>
      <c r="G41" s="21"/>
      <c r="H41" s="21"/>
      <c r="I41" s="21"/>
      <c r="J41" s="21"/>
      <c r="K41" s="21"/>
      <c r="L41" s="21"/>
    </row>
    <row r="42" spans="2:12">
      <c r="B42" s="13"/>
      <c r="E42" s="21"/>
      <c r="F42" s="21"/>
      <c r="G42" s="21"/>
      <c r="H42" s="21"/>
      <c r="I42" s="21"/>
      <c r="J42" s="21"/>
      <c r="K42" s="21"/>
      <c r="L42" s="21"/>
    </row>
    <row r="43" spans="2:12">
      <c r="B43" s="13"/>
      <c r="E43" s="21"/>
      <c r="F43" s="21"/>
      <c r="G43" s="21"/>
      <c r="H43" s="21"/>
      <c r="I43" s="21"/>
      <c r="J43" s="21"/>
      <c r="K43" s="21"/>
      <c r="L43" s="21"/>
    </row>
    <row r="44" spans="2:12">
      <c r="B44" s="13"/>
      <c r="E44" s="21"/>
      <c r="F44" s="21"/>
      <c r="G44" s="21"/>
      <c r="H44" s="21"/>
      <c r="I44" s="21"/>
      <c r="J44" s="21"/>
      <c r="K44" s="21"/>
      <c r="L44" s="21"/>
    </row>
    <row r="45" spans="2:12">
      <c r="B45" s="13"/>
      <c r="E45" s="21"/>
      <c r="F45" s="21"/>
      <c r="G45" s="21"/>
      <c r="H45" s="21"/>
      <c r="I45" s="21"/>
      <c r="J45" s="21"/>
      <c r="K45" s="21"/>
      <c r="L45" s="21"/>
    </row>
  </sheetData>
  <mergeCells count="5">
    <mergeCell ref="C1:L1"/>
    <mergeCell ref="C2:L2"/>
    <mergeCell ref="C3:L3"/>
    <mergeCell ref="C4:L4"/>
    <mergeCell ref="C5:L5"/>
  </mergeCells>
  <pageMargins left="0.7" right="0.7" top="0.75" bottom="0.75" header="0.3" footer="0.3"/>
  <pageSetup scale="61" fitToHeight="0" orientation="landscape" r:id="rId1"/>
  <headerFooter>
    <oddHeader>&amp;R&amp;"Arial,Regular"&amp;10Filed: 2023-03-08
EB-2022-0200
Exhibit I.7.1-VECC-62
Attachment 1</oddHeader>
  </headerFooter>
  <ignoredErrors>
    <ignoredError sqref="B13:B31" numberStoredAsText="1"/>
    <ignoredError sqref="L16 L17:L21 J23:J24 J17:J21 H17:H25 L13 L14 L15 K21 K23:K24 K17:K19 K13:K16 K2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82E4-9CAD-4859-85D3-62F149884B7E}">
  <sheetPr>
    <tabColor theme="6" tint="0.59999389629810485"/>
  </sheetPr>
  <dimension ref="B1:AJ69"/>
  <sheetViews>
    <sheetView zoomScale="94" zoomScaleNormal="94" workbookViewId="0"/>
  </sheetViews>
  <sheetFormatPr defaultColWidth="9.1796875" defaultRowHeight="12.5"/>
  <cols>
    <col min="1" max="1" width="3.54296875" style="9" customWidth="1"/>
    <col min="2" max="2" width="4" style="9" bestFit="1" customWidth="1"/>
    <col min="3" max="3" width="18.54296875" style="9" bestFit="1" customWidth="1"/>
    <col min="4" max="4" width="5.1796875" style="9" hidden="1" customWidth="1"/>
    <col min="5" max="5" width="5.7265625" style="10" bestFit="1" customWidth="1"/>
    <col min="6" max="6" width="2.7265625" style="10" hidden="1" customWidth="1"/>
    <col min="7" max="7" width="10.54296875" style="10" customWidth="1"/>
    <col min="8" max="9" width="11.26953125" style="10" customWidth="1"/>
    <col min="10" max="12" width="10.54296875" style="10" customWidth="1"/>
    <col min="13" max="13" width="12" style="10" customWidth="1"/>
    <col min="14" max="19" width="10.54296875" style="10" customWidth="1"/>
    <col min="20" max="20" width="12.26953125" style="10" customWidth="1"/>
    <col min="21" max="25" width="10.54296875" style="9" customWidth="1"/>
    <col min="26" max="26" width="13.26953125" style="9" customWidth="1"/>
    <col min="27" max="32" width="10.54296875" style="9" customWidth="1"/>
    <col min="33" max="16384" width="9.1796875" style="9"/>
  </cols>
  <sheetData>
    <row r="1" spans="2:36">
      <c r="F1" s="90" t="s">
        <v>258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 t="s">
        <v>259</v>
      </c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</row>
    <row r="2" spans="2:36">
      <c r="F2" s="90" t="s">
        <v>260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 t="s">
        <v>260</v>
      </c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2:36">
      <c r="F3" s="90" t="s">
        <v>1</v>
      </c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 t="str">
        <f>F3</f>
        <v>Year Ended December 31, 2018</v>
      </c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2:36">
      <c r="F4" s="91" t="s">
        <v>2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 t="s">
        <v>2</v>
      </c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3"/>
      <c r="AH4" s="13"/>
      <c r="AI4" s="13"/>
      <c r="AJ4" s="13"/>
    </row>
    <row r="5" spans="2:36">
      <c r="F5" s="90" t="s">
        <v>3</v>
      </c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 t="s">
        <v>3</v>
      </c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7" spans="2:36">
      <c r="E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0" t="s">
        <v>9</v>
      </c>
      <c r="L7" s="10" t="s">
        <v>10</v>
      </c>
      <c r="M7" s="10" t="s">
        <v>11</v>
      </c>
      <c r="N7" s="10" t="s">
        <v>12</v>
      </c>
      <c r="O7" s="10" t="s">
        <v>13</v>
      </c>
      <c r="P7" s="10" t="s">
        <v>14</v>
      </c>
      <c r="R7" s="10" t="s">
        <v>15</v>
      </c>
      <c r="S7" s="10" t="s">
        <v>16</v>
      </c>
      <c r="T7" s="10" t="s">
        <v>89</v>
      </c>
      <c r="U7" s="10" t="s">
        <v>102</v>
      </c>
      <c r="V7" s="10" t="s">
        <v>261</v>
      </c>
      <c r="W7" s="10" t="s">
        <v>262</v>
      </c>
      <c r="X7" s="10" t="s">
        <v>263</v>
      </c>
      <c r="Y7" s="10" t="s">
        <v>264</v>
      </c>
      <c r="Z7" s="10" t="s">
        <v>265</v>
      </c>
      <c r="AA7" s="10" t="s">
        <v>266</v>
      </c>
      <c r="AB7" s="10" t="s">
        <v>267</v>
      </c>
      <c r="AC7" s="10" t="s">
        <v>268</v>
      </c>
      <c r="AD7" s="10" t="s">
        <v>269</v>
      </c>
      <c r="AE7" s="10" t="s">
        <v>270</v>
      </c>
      <c r="AF7" s="10" t="s">
        <v>271</v>
      </c>
    </row>
    <row r="8" spans="2:36">
      <c r="H8" s="94" t="s">
        <v>18</v>
      </c>
      <c r="I8" s="90"/>
      <c r="J8" s="90"/>
      <c r="K8" s="90"/>
      <c r="L8" s="95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2:36">
      <c r="H9" s="94" t="s">
        <v>272</v>
      </c>
      <c r="I9" s="95"/>
      <c r="J9" s="94" t="s">
        <v>273</v>
      </c>
      <c r="K9" s="90"/>
      <c r="L9" s="95"/>
      <c r="M9" s="94" t="s">
        <v>274</v>
      </c>
      <c r="N9" s="90"/>
      <c r="O9" s="95"/>
      <c r="P9" s="94" t="s">
        <v>155</v>
      </c>
      <c r="Q9" s="90"/>
      <c r="R9" s="90"/>
      <c r="S9" s="90"/>
      <c r="T9" s="95"/>
      <c r="U9" s="94" t="s">
        <v>275</v>
      </c>
      <c r="V9" s="90"/>
      <c r="W9" s="90"/>
      <c r="X9" s="90"/>
      <c r="Y9" s="95"/>
      <c r="Z9" s="94" t="s">
        <v>276</v>
      </c>
      <c r="AA9" s="90"/>
      <c r="AB9" s="90"/>
      <c r="AC9" s="95"/>
    </row>
    <row r="10" spans="2:36"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2:36" ht="37.5">
      <c r="D11" s="11"/>
      <c r="E11" s="12" t="s">
        <v>17</v>
      </c>
      <c r="F11" s="12"/>
      <c r="G11" s="12" t="s">
        <v>277</v>
      </c>
      <c r="H11" s="12" t="s">
        <v>278</v>
      </c>
      <c r="I11" s="12" t="s">
        <v>279</v>
      </c>
      <c r="J11" s="12" t="s">
        <v>280</v>
      </c>
      <c r="K11" s="12" t="s">
        <v>281</v>
      </c>
      <c r="L11" s="12" t="s">
        <v>282</v>
      </c>
      <c r="M11" s="12" t="s">
        <v>283</v>
      </c>
      <c r="N11" s="12" t="s">
        <v>284</v>
      </c>
      <c r="O11" s="12" t="s">
        <v>285</v>
      </c>
      <c r="P11" s="12" t="s">
        <v>286</v>
      </c>
      <c r="Q11" s="12" t="s">
        <v>287</v>
      </c>
      <c r="R11" s="12" t="s">
        <v>288</v>
      </c>
      <c r="S11" s="12" t="s">
        <v>289</v>
      </c>
      <c r="T11" s="12" t="s">
        <v>290</v>
      </c>
      <c r="U11" s="12" t="s">
        <v>24</v>
      </c>
      <c r="V11" s="12" t="s">
        <v>20</v>
      </c>
      <c r="W11" s="12" t="s">
        <v>22</v>
      </c>
      <c r="X11" s="12" t="s">
        <v>291</v>
      </c>
      <c r="Y11" s="12" t="s">
        <v>112</v>
      </c>
      <c r="Z11" s="12" t="s">
        <v>292</v>
      </c>
      <c r="AA11" s="12" t="s">
        <v>293</v>
      </c>
      <c r="AB11" s="12" t="s">
        <v>294</v>
      </c>
      <c r="AC11" s="12" t="s">
        <v>17</v>
      </c>
      <c r="AD11" s="12" t="s">
        <v>295</v>
      </c>
      <c r="AE11" s="12" t="s">
        <v>29</v>
      </c>
      <c r="AF11" s="12" t="s">
        <v>91</v>
      </c>
    </row>
    <row r="12" spans="2:36"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2:36">
      <c r="C13" s="9" t="s">
        <v>18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spans="2:36">
      <c r="E14" s="21"/>
      <c r="F14" s="21"/>
      <c r="G14" s="21"/>
      <c r="H14" s="21"/>
      <c r="I14" s="21"/>
      <c r="J14" s="21"/>
      <c r="K14" s="21"/>
      <c r="L14" s="21"/>
      <c r="M14" s="21"/>
      <c r="N14" s="21"/>
      <c r="P14" s="21"/>
      <c r="Q14" s="21"/>
      <c r="R14" s="21"/>
      <c r="S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pans="2:36">
      <c r="B15" s="13" t="s">
        <v>30</v>
      </c>
      <c r="C15" s="9" t="s">
        <v>18</v>
      </c>
      <c r="E15" s="21"/>
      <c r="F15" s="21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>
        <v>1.1019714359065886E-2</v>
      </c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</row>
    <row r="16" spans="2:36">
      <c r="B16" s="13" t="s">
        <v>41</v>
      </c>
      <c r="C16" s="9" t="s">
        <v>19</v>
      </c>
      <c r="E16" s="21"/>
      <c r="F16" s="21"/>
      <c r="G16" s="57"/>
      <c r="H16" s="57"/>
      <c r="I16" s="57"/>
      <c r="M16" s="57">
        <v>0.65858925271542035</v>
      </c>
      <c r="N16" s="57">
        <v>0.34141074728457954</v>
      </c>
      <c r="O16" s="57">
        <v>0</v>
      </c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</row>
    <row r="17" spans="2:32">
      <c r="B17" s="13"/>
      <c r="E17" s="21"/>
      <c r="F17" s="21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</row>
    <row r="18" spans="2:32">
      <c r="B18" s="13"/>
      <c r="C18" s="9" t="s">
        <v>296</v>
      </c>
      <c r="E18" s="21"/>
      <c r="F18" s="21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</row>
    <row r="19" spans="2:32">
      <c r="B19" s="13"/>
      <c r="E19" s="21"/>
      <c r="F19" s="21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</row>
    <row r="20" spans="2:32">
      <c r="B20" s="13" t="s">
        <v>64</v>
      </c>
      <c r="C20" s="9" t="s">
        <v>23</v>
      </c>
      <c r="E20" s="21"/>
      <c r="F20" s="21"/>
      <c r="G20" s="57"/>
      <c r="H20" s="57"/>
      <c r="I20" s="57"/>
      <c r="J20" s="57"/>
      <c r="K20" s="57"/>
      <c r="L20" s="57"/>
      <c r="M20" s="57"/>
      <c r="N20" s="57"/>
      <c r="O20" s="57"/>
      <c r="P20" s="57">
        <v>2.4361695167228723E-2</v>
      </c>
      <c r="Q20" s="57">
        <v>0.22197610731928463</v>
      </c>
      <c r="R20" s="57">
        <v>7.024769550144315E-2</v>
      </c>
      <c r="S20" s="57">
        <v>0.38034340631018954</v>
      </c>
      <c r="T20" s="57"/>
      <c r="U20" s="57"/>
      <c r="V20" s="57"/>
      <c r="W20" s="57"/>
      <c r="X20" s="57">
        <v>0.30307109570185398</v>
      </c>
      <c r="Y20" s="57"/>
      <c r="Z20" s="57"/>
      <c r="AA20" s="57"/>
      <c r="AB20" s="57"/>
      <c r="AC20" s="57"/>
      <c r="AD20" s="57"/>
      <c r="AE20" s="57"/>
      <c r="AF20" s="57"/>
    </row>
    <row r="21" spans="2:32">
      <c r="B21" s="13" t="s">
        <v>66</v>
      </c>
      <c r="C21" s="9" t="s">
        <v>297</v>
      </c>
      <c r="E21" s="21"/>
      <c r="F21" s="21"/>
      <c r="G21" s="57"/>
      <c r="H21" s="57"/>
      <c r="I21" s="57"/>
      <c r="J21" s="57"/>
      <c r="K21" s="57"/>
      <c r="L21" s="57"/>
      <c r="M21" s="57"/>
      <c r="N21" s="57"/>
      <c r="O21" s="57"/>
      <c r="P21" s="57">
        <f>P20/SUM($P$20:$S$20)</f>
        <v>3.4955782457842782E-2</v>
      </c>
      <c r="Q21" s="57">
        <f>Q20/SUM($P$20:$S$20)</f>
        <v>0.31850610004879826</v>
      </c>
      <c r="R21" s="57">
        <f>R20/SUM($P$20:$S$20)</f>
        <v>0.10079607126093769</v>
      </c>
      <c r="S21" s="57">
        <f>S20/SUM($P$20:$S$20)</f>
        <v>0.54574204623242129</v>
      </c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</row>
    <row r="22" spans="2:32">
      <c r="B22" s="13"/>
      <c r="E22" s="21"/>
      <c r="F22" s="21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</row>
    <row r="23" spans="2:32">
      <c r="B23" s="13"/>
      <c r="C23" s="9" t="s">
        <v>298</v>
      </c>
      <c r="E23" s="21"/>
      <c r="F23" s="21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</row>
    <row r="24" spans="2:32">
      <c r="B24" s="13"/>
      <c r="E24" s="21"/>
      <c r="F24" s="21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</row>
    <row r="25" spans="2:32">
      <c r="B25" s="13" t="s">
        <v>68</v>
      </c>
      <c r="C25" s="9" t="s">
        <v>299</v>
      </c>
      <c r="E25" s="21"/>
      <c r="F25" s="21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</row>
    <row r="26" spans="2:32">
      <c r="B26" s="13" t="s">
        <v>99</v>
      </c>
      <c r="C26" s="9" t="s">
        <v>24</v>
      </c>
      <c r="E26" s="21"/>
      <c r="F26" s="21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</row>
    <row r="27" spans="2:32">
      <c r="B27" s="13" t="s">
        <v>78</v>
      </c>
      <c r="C27" s="9" t="s">
        <v>22</v>
      </c>
      <c r="E27" s="21"/>
      <c r="F27" s="21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</row>
    <row r="28" spans="2:32">
      <c r="B28" s="13" t="s">
        <v>80</v>
      </c>
      <c r="C28" s="9" t="s">
        <v>25</v>
      </c>
      <c r="E28" s="21"/>
      <c r="F28" s="21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</row>
    <row r="29" spans="2:32">
      <c r="B29" s="13" t="s">
        <v>82</v>
      </c>
      <c r="C29" s="9" t="s">
        <v>300</v>
      </c>
      <c r="E29" s="21"/>
      <c r="F29" s="21"/>
      <c r="G29" s="57"/>
      <c r="H29" s="57"/>
      <c r="I29" s="57"/>
      <c r="J29" s="57"/>
      <c r="K29" s="57"/>
      <c r="L29" s="57"/>
      <c r="M29" s="57"/>
      <c r="N29" s="57"/>
      <c r="O29" s="57"/>
      <c r="P29" s="57">
        <f>('Classification - Rate Base'!O20+'Classification - Rate Base'!O21)/SUM('Classification - Rate Base'!$O$20:$R$21)*0.5</f>
        <v>1.7477891228921388E-2</v>
      </c>
      <c r="Q29" s="57">
        <f>('Classification - Rate Base'!P20+'Classification - Rate Base'!P21)/SUM('Classification - Rate Base'!$O$20:$R$21)*0.5</f>
        <v>0.1592530500243991</v>
      </c>
      <c r="R29" s="57">
        <f>('Classification - Rate Base'!Q20+'Classification - Rate Base'!Q21)/SUM('Classification - Rate Base'!$O$20:$R$21)*0.5</f>
        <v>5.0398035630468845E-2</v>
      </c>
      <c r="S29" s="57">
        <f>('Classification - Rate Base'!R20+'Classification - Rate Base'!R21)/SUM('Classification - Rate Base'!$O$20:$R$21)*0.5</f>
        <v>0.27287102311621064</v>
      </c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</row>
    <row r="30" spans="2:32">
      <c r="B30" s="13" t="s">
        <v>85</v>
      </c>
      <c r="C30" s="9" t="s">
        <v>27</v>
      </c>
      <c r="E30" s="21"/>
      <c r="F30" s="21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</row>
    <row r="31" spans="2:32">
      <c r="B31" s="13" t="s">
        <v>256</v>
      </c>
      <c r="C31" s="11" t="s">
        <v>91</v>
      </c>
      <c r="D31" s="11"/>
      <c r="E31" s="22"/>
      <c r="F31" s="22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>
        <v>1</v>
      </c>
    </row>
    <row r="32" spans="2:32">
      <c r="B32" s="13"/>
      <c r="E32" s="21"/>
      <c r="F32" s="21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</row>
    <row r="33" spans="2:32">
      <c r="B33" s="13" t="s">
        <v>301</v>
      </c>
      <c r="C33" s="9" t="s">
        <v>302</v>
      </c>
      <c r="E33" s="25"/>
      <c r="F33" s="21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</row>
    <row r="34" spans="2:32">
      <c r="E34" s="21"/>
      <c r="F34" s="21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</row>
    <row r="35" spans="2:32">
      <c r="B35" s="13" t="s">
        <v>303</v>
      </c>
      <c r="C35" s="9" t="s">
        <v>28</v>
      </c>
      <c r="E35" s="21"/>
      <c r="F35" s="21"/>
      <c r="G35" s="57">
        <f>'Classification - Rate Base'!F34/('Classification - Rate Base'!$E$34-'Classification - Rate Base'!$E$31)</f>
        <v>3.3318704384696277E-4</v>
      </c>
      <c r="H35" s="57">
        <f>'Classification - Rate Base'!G34/('Classification - Rate Base'!$E$34-'Classification - Rate Base'!$E$31)</f>
        <v>0</v>
      </c>
      <c r="I35" s="57">
        <f>'Classification - Rate Base'!H34/('Classification - Rate Base'!$E$34-'Classification - Rate Base'!$E$31)</f>
        <v>4.8501292181076594E-3</v>
      </c>
      <c r="J35" s="57">
        <f>'Classification - Rate Base'!I34/('Classification - Rate Base'!$E$34-'Classification - Rate Base'!$E$31)</f>
        <v>0</v>
      </c>
      <c r="K35" s="57">
        <f>'Classification - Rate Base'!J34/('Classification - Rate Base'!$E$34-'Classification - Rate Base'!$E$31)</f>
        <v>6.5926033276325666E-2</v>
      </c>
      <c r="L35" s="57">
        <f>'Classification - Rate Base'!K34/('Classification - Rate Base'!$E$34-'Classification - Rate Base'!$E$31)</f>
        <v>0</v>
      </c>
      <c r="M35" s="57">
        <f>'Classification - Rate Base'!L34/('Classification - Rate Base'!$E$34-'Classification - Rate Base'!$E$31)</f>
        <v>8.5804767307087748E-4</v>
      </c>
      <c r="N35" s="57">
        <f>'Classification - Rate Base'!M34/('Classification - Rate Base'!$E$34-'Classification - Rate Base'!$E$31)</f>
        <v>4.4480941051053957E-4</v>
      </c>
      <c r="O35" s="57">
        <f>'Classification - Rate Base'!N34/('Classification - Rate Base'!$E$34-'Classification - Rate Base'!$E$31)</f>
        <v>0</v>
      </c>
      <c r="P35" s="57">
        <f>'Classification - Rate Base'!O34/('Classification - Rate Base'!$E$34-'Classification - Rate Base'!$E$31)</f>
        <v>1.3255703956786002E-2</v>
      </c>
      <c r="Q35" s="57">
        <f>'Classification - Rate Base'!P34/('Classification - Rate Base'!$E$34-'Classification - Rate Base'!$E$31)</f>
        <v>0.12078180700915961</v>
      </c>
      <c r="R35" s="57">
        <f>'Classification - Rate Base'!Q34/('Classification - Rate Base'!$E$34-'Classification - Rate Base'!$E$31)</f>
        <v>3.8223229082440961E-2</v>
      </c>
      <c r="S35" s="57">
        <f>'Classification - Rate Base'!R34/('Classification - Rate Base'!$E$34-'Classification - Rate Base'!$E$31)</f>
        <v>0.2069527412339332</v>
      </c>
      <c r="T35" s="57">
        <f>'Classification - Rate Base'!S34/('Classification - Rate Base'!$E$34-'Classification - Rate Base'!$E$31)</f>
        <v>5.4042572298059788E-5</v>
      </c>
      <c r="U35" s="57">
        <f>'Classification - Rate Base'!T34/('Classification - Rate Base'!$E$34-'Classification - Rate Base'!$E$31)</f>
        <v>3.9901477198712947E-2</v>
      </c>
      <c r="V35" s="57">
        <f>'Classification - Rate Base'!U34/('Classification - Rate Base'!$E$34-'Classification - Rate Base'!$E$31)</f>
        <v>2.9746655490536674E-2</v>
      </c>
      <c r="W35" s="57">
        <f>'Classification - Rate Base'!V34/('Classification - Rate Base'!$E$34-'Classification - Rate Base'!$E$31)</f>
        <v>0.32016739027194091</v>
      </c>
      <c r="X35" s="57">
        <f>'Classification - Rate Base'!W34/('Classification - Rate Base'!$E$34-'Classification - Rate Base'!$E$31)</f>
        <v>0.14832872345094725</v>
      </c>
      <c r="Y35" s="57">
        <f>'Classification - Rate Base'!X34/('Classification - Rate Base'!$E$34-'Classification - Rate Base'!$E$31)</f>
        <v>2.4536627068947004E-3</v>
      </c>
      <c r="Z35" s="57">
        <f>'Classification - Rate Base'!Y34/('Classification - Rate Base'!$E$34-'Classification - Rate Base'!$E$31)</f>
        <v>0</v>
      </c>
      <c r="AA35" s="57">
        <f>'Classification - Rate Base'!Z34/('Classification - Rate Base'!$E$34-'Classification - Rate Base'!$E$31)</f>
        <v>0</v>
      </c>
      <c r="AB35" s="57">
        <f>'Classification - Rate Base'!AA34/('Classification - Rate Base'!$E$34-'Classification - Rate Base'!$E$31)</f>
        <v>0</v>
      </c>
      <c r="AC35" s="57">
        <f>'Classification - Rate Base'!AB34/('Classification - Rate Base'!$E$34-'Classification - Rate Base'!$E$31)</f>
        <v>7.7223604044881081E-3</v>
      </c>
      <c r="AD35" s="57">
        <f>'Classification - Rate Base'!AC34/('Classification - Rate Base'!$E$34-'Classification - Rate Base'!$E$31)</f>
        <v>0</v>
      </c>
      <c r="AE35" s="57">
        <f>'Classification - Rate Base'!AD34/('Classification - Rate Base'!$E$34-'Classification - Rate Base'!$E$31)</f>
        <v>0</v>
      </c>
      <c r="AF35" s="57"/>
    </row>
    <row r="36" spans="2:32">
      <c r="B36" s="13"/>
      <c r="E36" s="21"/>
      <c r="F36" s="21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</row>
    <row r="37" spans="2:32">
      <c r="B37" s="13" t="s">
        <v>304</v>
      </c>
      <c r="C37" s="9" t="s">
        <v>29</v>
      </c>
      <c r="E37" s="21"/>
      <c r="F37" s="21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>
        <v>1</v>
      </c>
      <c r="AF37" s="57"/>
    </row>
    <row r="38" spans="2:32">
      <c r="B38" s="13"/>
      <c r="C38" s="11"/>
      <c r="D38" s="11"/>
      <c r="E38" s="22"/>
      <c r="F38" s="22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</row>
    <row r="39" spans="2:32">
      <c r="B39" s="13"/>
      <c r="E39" s="21"/>
      <c r="F39" s="21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</row>
    <row r="40" spans="2:32">
      <c r="B40" s="13" t="s">
        <v>305</v>
      </c>
      <c r="C40" s="9" t="s">
        <v>306</v>
      </c>
      <c r="E40" s="25"/>
      <c r="F40" s="21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</row>
    <row r="41" spans="2:32" ht="13" thickBot="1">
      <c r="B41" s="26"/>
      <c r="C41" s="26"/>
      <c r="D41" s="26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</row>
    <row r="42" spans="2:32" ht="13" thickTop="1"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69" spans="15:18">
      <c r="O69" s="9"/>
      <c r="P69" s="9"/>
      <c r="Q69" s="9"/>
      <c r="R69" s="9"/>
    </row>
  </sheetData>
  <mergeCells count="17">
    <mergeCell ref="U9:Y9"/>
    <mergeCell ref="F4:S4"/>
    <mergeCell ref="F5:S5"/>
    <mergeCell ref="T4:AF4"/>
    <mergeCell ref="T5:AF5"/>
    <mergeCell ref="Z9:AC9"/>
    <mergeCell ref="H8:L8"/>
    <mergeCell ref="H9:I9"/>
    <mergeCell ref="J9:L9"/>
    <mergeCell ref="M9:O9"/>
    <mergeCell ref="P9:T9"/>
    <mergeCell ref="F1:S1"/>
    <mergeCell ref="T1:AF1"/>
    <mergeCell ref="F2:S2"/>
    <mergeCell ref="F3:S3"/>
    <mergeCell ref="T2:AF2"/>
    <mergeCell ref="T3:AF3"/>
  </mergeCells>
  <pageMargins left="0.7" right="0.7" top="0.75" bottom="0.75" header="0.3" footer="0.3"/>
  <pageSetup scale="61" orientation="portrait" r:id="rId1"/>
  <headerFooter>
    <oddHeader>&amp;R&amp;"Arial,Regular"&amp;10Filed: 2023-03-08
EB-2022-0200
Exhibit I.7.1-VECC-62
Attachment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07.01.23.62</Int_x002f_Exhibit_x002f_Tab>
    <Witnesses xmlns="0f3dc55c-bcca-45e2-bb95-d6030d9207f1">
      <Value>Amy Mikhaila</Value>
    </Witnesses>
    <_dlc_DocId xmlns="bc9be6ef-036f-4d38-ab45-2a4da0c93cb0">C6U45NHNYSXQ-1954422155-3851</_dlc_DocId>
    <TeamsPlannerStatus xmlns="0f3dc55c-bcca-45e2-bb95-d6030d9207f1">Draft Response</TeamsPlannerStatus>
    <Area xmlns="0f3dc55c-bcca-45e2-bb95-d6030d9207f1">
      <Value>Rates</Value>
    </Area>
    <Exhibit xmlns="0f3dc55c-bcca-45e2-bb95-d6030d9207f1">7</Exhibit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https://enbridge.sharepoint.com/teams/EB-2022-02002024Rebasing/_layouts/15/DocIdRedir.aspx?ID=C6U45NHNYSXQ-1954422155-3851</Url>
      <Description>C6U45NHNYSXQ-1954422155-3851</Description>
    </_dlc_DocIdUrl>
    <_ip_UnifiedCompliancePolicyProperties xmlns="http://schemas.microsoft.com/sharepoint/v3" xsi:nil="true"/>
    <Category xmlns="0f3dc55c-bcca-45e2-bb95-d6030d9207f1" xsi:nil="true"/>
    <Intervenor xmlns="0f3dc55c-bcca-45e2-bb95-d6030d9207f1">VECC</Intervenor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</documentManagement>
</p:properties>
</file>

<file path=customXml/itemProps1.xml><?xml version="1.0" encoding="utf-8"?>
<ds:datastoreItem xmlns:ds="http://schemas.openxmlformats.org/officeDocument/2006/customXml" ds:itemID="{0AAD6ED7-F6FE-4029-B41A-1C7127184A48}"/>
</file>

<file path=customXml/itemProps2.xml><?xml version="1.0" encoding="utf-8"?>
<ds:datastoreItem xmlns:ds="http://schemas.openxmlformats.org/officeDocument/2006/customXml" ds:itemID="{352D72C9-BD1A-48B9-BECE-DFA90BE5DCD7}"/>
</file>

<file path=customXml/itemProps3.xml><?xml version="1.0" encoding="utf-8"?>
<ds:datastoreItem xmlns:ds="http://schemas.openxmlformats.org/officeDocument/2006/customXml" ds:itemID="{B3B7634E-A82B-43D7-8681-9E01B13D7934}"/>
</file>

<file path=customXml/itemProps4.xml><?xml version="1.0" encoding="utf-8"?>
<ds:datastoreItem xmlns:ds="http://schemas.openxmlformats.org/officeDocument/2006/customXml" ds:itemID="{D025B496-9A72-4E47-ACFF-799374F772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Function - Factors</vt:lpstr>
      <vt:lpstr>Function - Depreciation</vt:lpstr>
      <vt:lpstr>Function - Rate Base</vt:lpstr>
      <vt:lpstr>Function - Net Invest</vt:lpstr>
      <vt:lpstr>Function - Working Capital</vt:lpstr>
      <vt:lpstr>Function - O&amp;M1</vt:lpstr>
      <vt:lpstr>Function - O&amp;M2</vt:lpstr>
      <vt:lpstr>Function - O&amp;M3</vt:lpstr>
      <vt:lpstr>Classification - Factor</vt:lpstr>
      <vt:lpstr>Classification - Rate Base</vt:lpstr>
      <vt:lpstr>Classification - Net Investment</vt:lpstr>
      <vt:lpstr>Classification - O&amp;M</vt:lpstr>
      <vt:lpstr>Allocation - Factors</vt:lpstr>
      <vt:lpstr>Allocation - Allo%</vt:lpstr>
      <vt:lpstr>Allocation - Rate Base</vt:lpstr>
      <vt:lpstr>Allocation - Return &amp; Taxes</vt:lpstr>
      <vt:lpstr>Allocation - COS wout GTA</vt:lpstr>
      <vt:lpstr>Allocation - GTA COS</vt:lpstr>
      <vt:lpstr>Allocation - COS wGTA</vt:lpstr>
      <vt:lpstr>Allocation - Revenue to Cost</vt:lpstr>
      <vt:lpstr>'Function - O&amp;M1'!Print_Area</vt:lpstr>
      <vt:lpstr>'Function - O&amp;M2'!Print_Area</vt:lpstr>
      <vt:lpstr>'Function - Working Capital'!Print_Area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2023-03-08T22:43:35Z</dcterms:created>
  <dcterms:modified xsi:type="dcterms:W3CDTF">2023-03-08T22:43:48Z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2023-03-08T22:43:38Z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42ee54c9-3faa-43db-82cc-30ea028cc189</vt:lpwstr>
  </property>
  <property fmtid="{D5CDD505-2E9C-101B-9397-08002B2CF9AE}" pid="8" name="MSIP_Label_b1a6f161-e42b-4c47-8f69-f6a81e023e2d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K4XL KID">
    <vt:lpwstr/>
  </property>
  <property fmtid="{D5CDD505-2E9C-101B-9397-08002B2CF9AE}" pid="11" name="ContentTypeId">
    <vt:lpwstr>0x010100F3E2251B1EE19E40ADD262C998ACD182</vt:lpwstr>
  </property>
  <property fmtid="{D5CDD505-2E9C-101B-9397-08002B2CF9AE}" pid="12" name="_EmailSubject">
    <vt:lpwstr>Exhibit I.7.1-VECC-62 Attachments 1 and 2 (both to be filed as excel)</vt:lpwstr>
  </property>
  <property fmtid="{D5CDD505-2E9C-101B-9397-08002B2CF9AE}" pid="13" name="K4XLVersion">
    <vt:lpwstr>3.5.7.2796.5</vt:lpwstr>
  </property>
  <property fmtid="{D5CDD505-2E9C-101B-9397-08002B2CF9AE}" pid="14" name="_AuthorEmail">
    <vt:lpwstr>Jennifer.Heard@enbridge.com</vt:lpwstr>
  </property>
  <property fmtid="{D5CDD505-2E9C-101B-9397-08002B2CF9AE}" pid="15" name="_dlc_DocIdItemGuid">
    <vt:lpwstr>a65d2d8c-4769-4e44-b8b0-9d2f668b6d7a</vt:lpwstr>
  </property>
  <property fmtid="{D5CDD505-2E9C-101B-9397-08002B2CF9AE}" pid="16" name="K4XLScatterRefresh">
    <vt:lpwstr>N</vt:lpwstr>
  </property>
  <property fmtid="{D5CDD505-2E9C-101B-9397-08002B2CF9AE}" pid="17" name="_NewReviewCycle">
    <vt:lpwstr/>
  </property>
  <property fmtid="{D5CDD505-2E9C-101B-9397-08002B2CF9AE}" pid="18" name="_ReviewingToolsShownOnce">
    <vt:lpwstr/>
  </property>
  <property fmtid="{D5CDD505-2E9C-101B-9397-08002B2CF9AE}" pid="19" name="K4XL DBKID">
    <vt:lpwstr/>
  </property>
  <property fmtid="{D5CDD505-2E9C-101B-9397-08002B2CF9AE}" pid="20" name="_AuthorEmailDisplayName">
    <vt:lpwstr>Jennifer Heard</vt:lpwstr>
  </property>
  <property fmtid="{D5CDD505-2E9C-101B-9397-08002B2CF9AE}" pid="21" name="_AdHocReviewCycleID">
    <vt:i4>1365416567</vt:i4>
  </property>
  <property fmtid="{D5CDD505-2E9C-101B-9397-08002B2CF9AE}" pid="22" name="K4XLRetrievePerWS">
    <vt:lpwstr>Y</vt:lpwstr>
  </property>
  <property fmtid="{D5CDD505-2E9C-101B-9397-08002B2CF9AE}" pid="23" name="SV_HIDDEN_GRID_QUERY_LIST_4F35BF76-6C0D-4D9B-82B2-816C12CF3733">
    <vt:lpwstr>empty_477D106A-C0D6-4607-AEBD-E2C9D60EA279</vt:lpwstr>
  </property>
</Properties>
</file>