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15004D48-BDC1-460D-8AA6-A22028417A6F}" xr6:coauthVersionLast="47" xr6:coauthVersionMax="47" xr10:uidLastSave="{00000000-0000-0000-0000-000000000000}"/>
  <bookViews>
    <workbookView xWindow="28680" yWindow="-120" windowWidth="29040" windowHeight="15840" xr2:uid="{33244A72-3595-4DCB-A419-731DE5F93AC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54" i="1"/>
  <c r="H51" i="1"/>
  <c r="H50" i="1"/>
  <c r="G51" i="1"/>
  <c r="G50" i="1"/>
  <c r="H41" i="1"/>
  <c r="H40" i="1"/>
  <c r="H39" i="1"/>
  <c r="H38" i="1"/>
  <c r="H37" i="1"/>
  <c r="G41" i="1"/>
  <c r="G40" i="1"/>
  <c r="G39" i="1"/>
  <c r="G38" i="1"/>
  <c r="G37" i="1"/>
  <c r="H34" i="1"/>
  <c r="H33" i="1"/>
  <c r="H32" i="1"/>
  <c r="H31" i="1"/>
  <c r="G34" i="1"/>
  <c r="G33" i="1"/>
  <c r="G32" i="1"/>
  <c r="G31" i="1"/>
  <c r="H28" i="1"/>
  <c r="H27" i="1"/>
  <c r="H26" i="1"/>
  <c r="H25" i="1"/>
  <c r="G28" i="1"/>
  <c r="G27" i="1"/>
  <c r="G26" i="1"/>
  <c r="G25" i="1"/>
  <c r="H20" i="1"/>
  <c r="H19" i="1"/>
  <c r="H18" i="1"/>
  <c r="H17" i="1"/>
  <c r="H16" i="1"/>
  <c r="G20" i="1"/>
  <c r="G19" i="1"/>
  <c r="G18" i="1"/>
  <c r="G17" i="1"/>
  <c r="G16" i="1"/>
  <c r="G14" i="1"/>
  <c r="A46" i="1"/>
  <c r="I20" i="1" l="1"/>
  <c r="I19" i="1" l="1"/>
  <c r="I16" i="1"/>
  <c r="I17" i="1"/>
  <c r="I18" i="1"/>
  <c r="H21" i="1"/>
  <c r="I47" i="1"/>
  <c r="I46" i="1"/>
  <c r="I21" i="1" l="1"/>
  <c r="G29" i="1"/>
  <c r="I28" i="1"/>
  <c r="I27" i="1"/>
  <c r="I26" i="1"/>
  <c r="G21" i="1"/>
  <c r="H29" i="1" l="1"/>
  <c r="I25" i="1"/>
  <c r="I29" i="1" s="1"/>
  <c r="I51" i="1" l="1"/>
  <c r="I50" i="1"/>
  <c r="H52" i="1"/>
  <c r="G52" i="1"/>
  <c r="I52" i="1" l="1"/>
  <c r="I40" i="1"/>
  <c r="I41" i="1"/>
  <c r="I33" i="1"/>
  <c r="I34" i="1"/>
  <c r="I56" i="1" l="1"/>
  <c r="I54" i="1"/>
  <c r="G42" i="1" l="1"/>
  <c r="G35" i="1"/>
  <c r="G23" i="1"/>
  <c r="I39" i="1"/>
  <c r="I38" i="1"/>
  <c r="I37" i="1"/>
  <c r="I32" i="1"/>
  <c r="I31" i="1"/>
  <c r="D19" i="1"/>
  <c r="D20" i="1" s="1"/>
  <c r="I14" i="1"/>
  <c r="G44" i="1" l="1"/>
  <c r="G58" i="1"/>
  <c r="I35" i="1"/>
  <c r="I42" i="1"/>
  <c r="H42" i="1"/>
  <c r="H35" i="1"/>
  <c r="H23" i="1"/>
  <c r="H44" i="1" l="1"/>
  <c r="I44" i="1"/>
  <c r="H58" i="1"/>
  <c r="I58" i="1"/>
  <c r="A25" i="1"/>
  <c r="A26" i="1" s="1"/>
  <c r="A27" i="1" s="1"/>
  <c r="A28" i="1" s="1"/>
  <c r="A29" i="1" s="1"/>
  <c r="A31" i="1" s="1"/>
  <c r="I23" i="1"/>
  <c r="A32" i="1" l="1"/>
  <c r="A33" i="1" s="1"/>
  <c r="A34" i="1" s="1"/>
  <c r="A35" i="1" s="1"/>
  <c r="A37" i="1" s="1"/>
  <c r="A38" i="1" s="1"/>
  <c r="A39" i="1" s="1"/>
  <c r="A40" i="1" s="1"/>
  <c r="A41" i="1" s="1"/>
  <c r="A42" i="1" s="1"/>
  <c r="A47" i="1" s="1"/>
  <c r="A48" i="1" l="1"/>
  <c r="A50" i="1" l="1"/>
  <c r="A51" i="1" s="1"/>
  <c r="A52" i="1" s="1"/>
  <c r="A54" i="1" s="1"/>
  <c r="A56" i="1" s="1"/>
  <c r="A58" i="1" s="1"/>
</calcChain>
</file>

<file path=xl/sharedStrings.xml><?xml version="1.0" encoding="utf-8"?>
<sst xmlns="http://schemas.openxmlformats.org/spreadsheetml/2006/main" count="72" uniqueCount="35">
  <si>
    <t>Forecast to December 31, 2023</t>
  </si>
  <si>
    <t>Line</t>
  </si>
  <si>
    <t>No.</t>
  </si>
  <si>
    <t xml:space="preserve">Account No. </t>
  </si>
  <si>
    <t>Principal</t>
  </si>
  <si>
    <t>Interest</t>
  </si>
  <si>
    <t>Total</t>
  </si>
  <si>
    <t>179-120</t>
  </si>
  <si>
    <t>179-383</t>
  </si>
  <si>
    <t>179-159</t>
  </si>
  <si>
    <t>179-500</t>
  </si>
  <si>
    <t>179-12</t>
  </si>
  <si>
    <t>179-02</t>
  </si>
  <si>
    <t>Period</t>
  </si>
  <si>
    <t xml:space="preserve">Transitional Pension Balance </t>
  </si>
  <si>
    <t>Deferral and Variance Accounts</t>
  </si>
  <si>
    <t>179-384</t>
  </si>
  <si>
    <t>Subtotal</t>
  </si>
  <si>
    <t>Total of Balances Proposed for Clearance</t>
  </si>
  <si>
    <t>APCDA - Unamortized Pre-17 Pension Actuarial Losses</t>
  </si>
  <si>
    <t>APCDA - Other</t>
  </si>
  <si>
    <t>APCDA - Total</t>
  </si>
  <si>
    <t>TVDA - Integration Capital Additions</t>
  </si>
  <si>
    <t>ICMDA - EGD Rate Zone</t>
  </si>
  <si>
    <t>ICMDA - Union Rate Zones</t>
  </si>
  <si>
    <t>RNGISVA</t>
  </si>
  <si>
    <t>TIACDA - Unamortized Balance</t>
  </si>
  <si>
    <t>COVID-19DA</t>
  </si>
  <si>
    <t>ICMDA - Total</t>
  </si>
  <si>
    <t>Combined</t>
  </si>
  <si>
    <t>(a)</t>
  </si>
  <si>
    <t>(b)</t>
  </si>
  <si>
    <t>(c)</t>
  </si>
  <si>
    <t>Actual and Forecast Balances Proposed for Disposition</t>
  </si>
  <si>
    <t>Particulars ($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</si>
</sst>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_);_(@_)"/>
    <numFmt numFmtId="165" formatCode="_(* #,##0.0_);_(* \(#,##0.0\);_(* &quot;-&quot;??_);_(@_)"/>
    <numFmt numFmtId="166" formatCode="#,##0.0_);\(#,##0.0\)"/>
    <numFmt numFmtId="167" formatCode="#,##0.0_);\(#,##0.0\);\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1" fontId="1" fillId="0" borderId="0" xfId="1" applyNumberFormat="1" applyFont="1"/>
    <xf numFmtId="1" fontId="1" fillId="0" borderId="0" xfId="1" applyNumberFormat="1" applyFont="1" applyBorder="1"/>
    <xf numFmtId="0" fontId="1" fillId="0" borderId="0" xfId="1" applyFont="1"/>
    <xf numFmtId="0" fontId="1" fillId="0" borderId="0" xfId="1" applyFont="1" applyBorder="1"/>
    <xf numFmtId="1" fontId="3" fillId="0" borderId="0" xfId="0" applyNumberFormat="1" applyFont="1"/>
    <xf numFmtId="1" fontId="3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right" vertical="center"/>
    </xf>
    <xf numFmtId="1" fontId="1" fillId="0" borderId="0" xfId="1" applyNumberFormat="1" applyFont="1" applyAlignment="1">
      <alignment horizontal="center"/>
    </xf>
    <xf numFmtId="1" fontId="1" fillId="0" borderId="0" xfId="1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164" fontId="1" fillId="0" borderId="0" xfId="1" applyNumberFormat="1" applyFont="1"/>
    <xf numFmtId="0" fontId="1" fillId="0" borderId="0" xfId="1" applyFont="1" applyAlignment="1">
      <alignment horizontal="left"/>
    </xf>
    <xf numFmtId="164" fontId="1" fillId="0" borderId="0" xfId="1" applyNumberFormat="1" applyFont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164" fontId="1" fillId="0" borderId="1" xfId="1" applyNumberFormat="1" applyFont="1" applyBorder="1" applyAlignment="1">
      <alignment horizontal="center"/>
    </xf>
    <xf numFmtId="165" fontId="3" fillId="0" borderId="0" xfId="0" applyNumberFormat="1" applyFont="1" applyAlignment="1">
      <alignment wrapText="1"/>
    </xf>
    <xf numFmtId="0" fontId="5" fillId="0" borderId="0" xfId="0" applyFont="1"/>
    <xf numFmtId="0" fontId="3" fillId="0" borderId="0" xfId="0" quotePrefix="1" applyFont="1"/>
    <xf numFmtId="0" fontId="1" fillId="0" borderId="0" xfId="1" applyFont="1" applyAlignment="1">
      <alignment horizontal="right"/>
    </xf>
    <xf numFmtId="43" fontId="3" fillId="0" borderId="0" xfId="3" applyFont="1"/>
    <xf numFmtId="0" fontId="3" fillId="0" borderId="0" xfId="0" applyFont="1" applyFill="1"/>
    <xf numFmtId="164" fontId="1" fillId="0" borderId="0" xfId="1" applyNumberFormat="1" applyFont="1" applyBorder="1"/>
    <xf numFmtId="166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wrapText="1"/>
    </xf>
    <xf numFmtId="164" fontId="1" fillId="0" borderId="0" xfId="1" applyNumberFormat="1" applyFont="1" applyFill="1" applyBorder="1"/>
    <xf numFmtId="165" fontId="3" fillId="0" borderId="0" xfId="0" applyNumberFormat="1" applyFont="1" applyBorder="1" applyAlignment="1">
      <alignment wrapText="1"/>
    </xf>
    <xf numFmtId="166" fontId="3" fillId="0" borderId="0" xfId="0" applyNumberFormat="1" applyFont="1" applyFill="1" applyAlignment="1">
      <alignment horizontal="center" wrapText="1"/>
    </xf>
    <xf numFmtId="165" fontId="3" fillId="0" borderId="0" xfId="0" applyNumberFormat="1" applyFont="1" applyFill="1" applyAlignment="1">
      <alignment wrapText="1"/>
    </xf>
    <xf numFmtId="164" fontId="1" fillId="0" borderId="0" xfId="1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 wrapText="1"/>
    </xf>
    <xf numFmtId="167" fontId="1" fillId="0" borderId="0" xfId="1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 wrapText="1"/>
    </xf>
    <xf numFmtId="167" fontId="1" fillId="0" borderId="0" xfId="1" applyNumberFormat="1" applyFont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wrapText="1"/>
    </xf>
    <xf numFmtId="166" fontId="3" fillId="0" borderId="3" xfId="0" applyNumberFormat="1" applyFont="1" applyFill="1" applyBorder="1" applyAlignment="1">
      <alignment horizontal="center" wrapText="1"/>
    </xf>
    <xf numFmtId="166" fontId="3" fillId="0" borderId="3" xfId="0" applyNumberFormat="1" applyFont="1" applyBorder="1" applyAlignment="1">
      <alignment horizontal="center" wrapText="1"/>
    </xf>
    <xf numFmtId="167" fontId="1" fillId="0" borderId="3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</cellXfs>
  <cellStyles count="4">
    <cellStyle name="Comma" xfId="3" builtinId="3"/>
    <cellStyle name="Normal" xfId="0" builtinId="0"/>
    <cellStyle name="Normal 7" xfId="1" xr:uid="{DEB4823A-F18A-4E6E-9BBC-BAE074949A28}"/>
    <cellStyle name="Normal 7 2" xfId="2" xr:uid="{A60711FF-453F-4BA5-BE2B-57FD646D0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6708-686C-4439-AED8-2B5A38F0D2D9}">
  <sheetPr>
    <pageSetUpPr fitToPage="1"/>
  </sheetPr>
  <dimension ref="A1:S65"/>
  <sheetViews>
    <sheetView tabSelected="1" view="pageLayout" zoomScale="90" zoomScaleNormal="90" zoomScalePageLayoutView="90" workbookViewId="0">
      <selection activeCell="C19" sqref="C19"/>
    </sheetView>
  </sheetViews>
  <sheetFormatPr defaultColWidth="5" defaultRowHeight="12.75" x14ac:dyDescent="0.2"/>
  <cols>
    <col min="1" max="1" width="4.7109375" style="5" bestFit="1" customWidth="1"/>
    <col min="2" max="2" width="1.140625" style="6" customWidth="1"/>
    <col min="3" max="3" width="46.7109375" style="7" customWidth="1"/>
    <col min="4" max="4" width="12" style="29" bestFit="1" customWidth="1"/>
    <col min="5" max="5" width="8.140625" style="7" customWidth="1"/>
    <col min="6" max="6" width="1.28515625" style="8" customWidth="1"/>
    <col min="7" max="7" width="10" style="7" bestFit="1" customWidth="1"/>
    <col min="8" max="8" width="8.85546875" style="7" bestFit="1" customWidth="1"/>
    <col min="9" max="9" width="9" style="7" customWidth="1"/>
    <col min="10" max="18" width="5" style="7"/>
    <col min="19" max="19" width="15.7109375" style="7" bestFit="1" customWidth="1"/>
    <col min="20" max="16384" width="5" style="7"/>
  </cols>
  <sheetData>
    <row r="1" spans="1:11" x14ac:dyDescent="0.2">
      <c r="I1" s="9"/>
    </row>
    <row r="2" spans="1:11" x14ac:dyDescent="0.2">
      <c r="I2" s="9"/>
    </row>
    <row r="3" spans="1:11" x14ac:dyDescent="0.2">
      <c r="I3" s="9"/>
    </row>
    <row r="4" spans="1:11" x14ac:dyDescent="0.2">
      <c r="I4" s="9"/>
    </row>
    <row r="5" spans="1:11" x14ac:dyDescent="0.2">
      <c r="I5" s="9"/>
    </row>
    <row r="6" spans="1:11" x14ac:dyDescent="0.2">
      <c r="A6" s="45" t="s">
        <v>15</v>
      </c>
      <c r="B6" s="45"/>
      <c r="C6" s="45"/>
      <c r="D6" s="45"/>
      <c r="E6" s="45"/>
      <c r="F6" s="45"/>
      <c r="G6" s="45"/>
      <c r="H6" s="45"/>
      <c r="I6" s="45"/>
    </row>
    <row r="7" spans="1:1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</row>
    <row r="8" spans="1:11" x14ac:dyDescent="0.2">
      <c r="A8" s="10"/>
      <c r="B8" s="11"/>
      <c r="C8" s="12"/>
      <c r="D8" s="12"/>
      <c r="E8" s="12"/>
      <c r="F8" s="13"/>
      <c r="G8" s="14"/>
      <c r="H8" s="14"/>
      <c r="I8" s="14"/>
    </row>
    <row r="9" spans="1:11" x14ac:dyDescent="0.2">
      <c r="A9" s="1"/>
      <c r="B9" s="2"/>
      <c r="C9" s="3"/>
      <c r="D9" s="12"/>
      <c r="E9" s="3"/>
      <c r="F9" s="4"/>
      <c r="G9" s="46" t="s">
        <v>0</v>
      </c>
      <c r="H9" s="46"/>
      <c r="I9" s="46"/>
    </row>
    <row r="10" spans="1:11" x14ac:dyDescent="0.2">
      <c r="A10" s="10" t="s">
        <v>1</v>
      </c>
      <c r="B10" s="11"/>
      <c r="C10" s="3"/>
      <c r="D10" s="12"/>
      <c r="E10" s="3"/>
      <c r="F10" s="4"/>
      <c r="G10" s="16"/>
      <c r="H10" s="16"/>
      <c r="I10" s="16"/>
    </row>
    <row r="11" spans="1:11" x14ac:dyDescent="0.2">
      <c r="A11" s="17" t="s">
        <v>2</v>
      </c>
      <c r="B11" s="11"/>
      <c r="C11" s="18" t="s">
        <v>34</v>
      </c>
      <c r="D11" s="30" t="s">
        <v>3</v>
      </c>
      <c r="E11" s="30" t="s">
        <v>13</v>
      </c>
      <c r="F11" s="19"/>
      <c r="G11" s="20" t="s">
        <v>4</v>
      </c>
      <c r="H11" s="20" t="s">
        <v>5</v>
      </c>
      <c r="I11" s="20" t="s">
        <v>6</v>
      </c>
    </row>
    <row r="12" spans="1:11" x14ac:dyDescent="0.2">
      <c r="A12" s="11"/>
      <c r="B12" s="11"/>
      <c r="C12" s="19"/>
      <c r="D12" s="13"/>
      <c r="E12" s="13"/>
      <c r="F12" s="19"/>
      <c r="G12" s="36" t="s">
        <v>30</v>
      </c>
      <c r="H12" s="36" t="s">
        <v>31</v>
      </c>
      <c r="I12" s="36" t="s">
        <v>32</v>
      </c>
    </row>
    <row r="13" spans="1:11" x14ac:dyDescent="0.2">
      <c r="A13" s="1"/>
      <c r="B13" s="2"/>
      <c r="C13" s="12"/>
      <c r="D13" s="12"/>
      <c r="E13" s="3"/>
      <c r="F13" s="4"/>
      <c r="G13" s="16"/>
      <c r="H13" s="16"/>
      <c r="I13" s="16"/>
    </row>
    <row r="14" spans="1:11" x14ac:dyDescent="0.2">
      <c r="A14" s="10">
        <v>1</v>
      </c>
      <c r="B14" s="11"/>
      <c r="C14" s="15" t="s">
        <v>19</v>
      </c>
      <c r="D14" s="12" t="s">
        <v>7</v>
      </c>
      <c r="E14" s="12">
        <v>2023</v>
      </c>
      <c r="F14" s="13"/>
      <c r="G14" s="34">
        <f>155164.4/1000</f>
        <v>155.1644</v>
      </c>
      <c r="H14" s="38">
        <v>0</v>
      </c>
      <c r="I14" s="28">
        <f>SUM(G14:H14)</f>
        <v>155.1644</v>
      </c>
      <c r="K14" s="22"/>
    </row>
    <row r="15" spans="1:11" x14ac:dyDescent="0.2">
      <c r="A15" s="10"/>
      <c r="B15" s="11"/>
      <c r="C15" s="15"/>
      <c r="D15" s="12"/>
      <c r="E15" s="12"/>
      <c r="F15" s="13"/>
      <c r="G15" s="35"/>
      <c r="H15" s="40"/>
      <c r="I15" s="21"/>
    </row>
    <row r="16" spans="1:11" x14ac:dyDescent="0.2">
      <c r="A16" s="10">
        <v>2</v>
      </c>
      <c r="B16" s="11"/>
      <c r="C16" s="3" t="s">
        <v>20</v>
      </c>
      <c r="D16" s="12" t="s">
        <v>7</v>
      </c>
      <c r="E16" s="12">
        <v>2019</v>
      </c>
      <c r="F16" s="13"/>
      <c r="G16" s="34">
        <f>-1749.5/1000</f>
        <v>-1.7495000000000001</v>
      </c>
      <c r="H16" s="28">
        <f>-101.61019/1000</f>
        <v>-0.10161019</v>
      </c>
      <c r="I16" s="28">
        <f>SUM(G16:H16)</f>
        <v>-1.85111019</v>
      </c>
    </row>
    <row r="17" spans="1:19" x14ac:dyDescent="0.2">
      <c r="A17" s="10">
        <v>3</v>
      </c>
      <c r="B17" s="11"/>
      <c r="C17" s="3" t="s">
        <v>20</v>
      </c>
      <c r="D17" s="12" t="s">
        <v>7</v>
      </c>
      <c r="E17" s="12">
        <v>2020</v>
      </c>
      <c r="F17" s="13"/>
      <c r="G17" s="34">
        <f>-14789.5/1000</f>
        <v>-14.7895</v>
      </c>
      <c r="H17" s="28">
        <f>-662.09112/1000</f>
        <v>-0.66209112000000003</v>
      </c>
      <c r="I17" s="28">
        <f>SUM(G17:H17)</f>
        <v>-15.45159112</v>
      </c>
    </row>
    <row r="18" spans="1:19" x14ac:dyDescent="0.2">
      <c r="A18" s="10">
        <v>4</v>
      </c>
      <c r="B18" s="11"/>
      <c r="C18" s="3" t="s">
        <v>20</v>
      </c>
      <c r="D18" s="12" t="s">
        <v>7</v>
      </c>
      <c r="E18" s="12">
        <v>2021</v>
      </c>
      <c r="F18" s="13"/>
      <c r="G18" s="34">
        <f>-13864.6/1000</f>
        <v>-13.864600000000001</v>
      </c>
      <c r="H18" s="28">
        <f>-555.56274/1000</f>
        <v>-0.55556273999999994</v>
      </c>
      <c r="I18" s="28">
        <f>SUM(G18:H18)</f>
        <v>-14.42016274</v>
      </c>
    </row>
    <row r="19" spans="1:19" x14ac:dyDescent="0.2">
      <c r="A19" s="10">
        <v>5</v>
      </c>
      <c r="B19" s="11"/>
      <c r="C19" s="3" t="s">
        <v>20</v>
      </c>
      <c r="D19" s="12" t="str">
        <f>D18</f>
        <v>179-120</v>
      </c>
      <c r="E19" s="12">
        <v>2022</v>
      </c>
      <c r="F19" s="13"/>
      <c r="G19" s="34">
        <f>(-14061+64900)/1000</f>
        <v>50.838999999999999</v>
      </c>
      <c r="H19" s="28">
        <f>1663.23996/1000</f>
        <v>1.6632399600000001</v>
      </c>
      <c r="I19" s="28">
        <f>SUM(G19:H19)</f>
        <v>52.502239959999997</v>
      </c>
    </row>
    <row r="20" spans="1:19" x14ac:dyDescent="0.2">
      <c r="A20" s="10">
        <v>6</v>
      </c>
      <c r="B20" s="11"/>
      <c r="C20" s="3" t="s">
        <v>20</v>
      </c>
      <c r="D20" s="12" t="str">
        <f>D19</f>
        <v>179-120</v>
      </c>
      <c r="E20" s="12">
        <v>2023</v>
      </c>
      <c r="F20" s="13"/>
      <c r="G20" s="41">
        <f>-33392.7/1000</f>
        <v>-33.392699999999998</v>
      </c>
      <c r="H20" s="31">
        <f>-367.3197/1000</f>
        <v>-0.36731970000000003</v>
      </c>
      <c r="I20" s="31">
        <f>SUM(G20:H20)</f>
        <v>-33.760019700000001</v>
      </c>
      <c r="K20" s="23"/>
    </row>
    <row r="21" spans="1:19" x14ac:dyDescent="0.2">
      <c r="A21" s="10">
        <v>7</v>
      </c>
      <c r="B21" s="11"/>
      <c r="C21" s="15" t="s">
        <v>17</v>
      </c>
      <c r="D21" s="12"/>
      <c r="E21" s="12"/>
      <c r="F21" s="13"/>
      <c r="G21" s="42">
        <f>SUM(G16:G20)</f>
        <v>-12.957300000000004</v>
      </c>
      <c r="H21" s="43">
        <f>SUM(H16:H20)</f>
        <v>-2.3343790000000086E-2</v>
      </c>
      <c r="I21" s="43">
        <f>SUM(I16:I20)</f>
        <v>-12.980643790000002</v>
      </c>
    </row>
    <row r="22" spans="1:19" x14ac:dyDescent="0.2">
      <c r="A22" s="10"/>
      <c r="B22" s="11"/>
      <c r="C22" s="24"/>
      <c r="D22" s="12"/>
      <c r="E22" s="12"/>
      <c r="F22" s="13"/>
      <c r="G22" s="35"/>
      <c r="H22" s="21"/>
      <c r="I22" s="21"/>
    </row>
    <row r="23" spans="1:19" x14ac:dyDescent="0.2">
      <c r="A23" s="10">
        <v>8</v>
      </c>
      <c r="B23" s="11"/>
      <c r="C23" s="3" t="s">
        <v>21</v>
      </c>
      <c r="D23" s="12" t="s">
        <v>7</v>
      </c>
      <c r="E23" s="12">
        <v>2023</v>
      </c>
      <c r="F23" s="13"/>
      <c r="G23" s="43">
        <f>G14+G21</f>
        <v>142.2071</v>
      </c>
      <c r="H23" s="43">
        <f t="shared" ref="H23:I23" si="0">H14+H21</f>
        <v>-2.3343790000000086E-2</v>
      </c>
      <c r="I23" s="43">
        <f t="shared" si="0"/>
        <v>142.18375621000001</v>
      </c>
      <c r="S23" s="25"/>
    </row>
    <row r="24" spans="1:19" x14ac:dyDescent="0.2">
      <c r="A24" s="10"/>
      <c r="B24" s="11"/>
      <c r="C24" s="3"/>
      <c r="D24" s="12"/>
      <c r="E24" s="12"/>
      <c r="F24" s="13"/>
      <c r="G24" s="21"/>
      <c r="H24" s="21"/>
      <c r="I24" s="21"/>
    </row>
    <row r="25" spans="1:19" x14ac:dyDescent="0.2">
      <c r="A25" s="10">
        <f>A23+1</f>
        <v>9</v>
      </c>
      <c r="B25" s="11"/>
      <c r="C25" s="15" t="s">
        <v>22</v>
      </c>
      <c r="D25" s="12" t="s">
        <v>8</v>
      </c>
      <c r="E25" s="12">
        <v>2020</v>
      </c>
      <c r="F25" s="13"/>
      <c r="G25" s="28">
        <f>-3736.2570325507/1000</f>
        <v>-3.7362570325507001</v>
      </c>
      <c r="H25" s="28">
        <f>-132.823937507177/1000</f>
        <v>-0.132823937507177</v>
      </c>
      <c r="I25" s="28">
        <f>SUM(G25:H25)</f>
        <v>-3.869080970057877</v>
      </c>
    </row>
    <row r="26" spans="1:19" x14ac:dyDescent="0.2">
      <c r="A26" s="10">
        <f t="shared" ref="A26:A35" si="1">A25+1</f>
        <v>10</v>
      </c>
      <c r="B26" s="11"/>
      <c r="C26" s="15" t="s">
        <v>22</v>
      </c>
      <c r="D26" s="12" t="s">
        <v>8</v>
      </c>
      <c r="E26" s="12">
        <v>2021</v>
      </c>
      <c r="F26" s="13"/>
      <c r="G26" s="28">
        <f>-10462.6/1000</f>
        <v>-10.4626</v>
      </c>
      <c r="H26" s="28">
        <f>-371.94543/1000</f>
        <v>-0.37194542999999997</v>
      </c>
      <c r="I26" s="28">
        <f>SUM(G26:H26)</f>
        <v>-10.83454543</v>
      </c>
    </row>
    <row r="27" spans="1:19" x14ac:dyDescent="0.2">
      <c r="A27" s="10">
        <f t="shared" si="1"/>
        <v>11</v>
      </c>
      <c r="B27" s="11"/>
      <c r="C27" s="15" t="s">
        <v>22</v>
      </c>
      <c r="D27" s="12" t="s">
        <v>8</v>
      </c>
      <c r="E27" s="12">
        <v>2022</v>
      </c>
      <c r="F27" s="13"/>
      <c r="G27" s="28">
        <f>3349.6/1000</f>
        <v>3.3495999999999997</v>
      </c>
      <c r="H27" s="28">
        <f>110.5368/1000</f>
        <v>0.1105368</v>
      </c>
      <c r="I27" s="28">
        <f>SUM(G27:H27)</f>
        <v>3.4601367999999999</v>
      </c>
    </row>
    <row r="28" spans="1:19" x14ac:dyDescent="0.2">
      <c r="A28" s="10">
        <f t="shared" si="1"/>
        <v>12</v>
      </c>
      <c r="B28" s="11"/>
      <c r="C28" s="15" t="s">
        <v>22</v>
      </c>
      <c r="D28" s="12" t="s">
        <v>8</v>
      </c>
      <c r="E28" s="12">
        <v>2023</v>
      </c>
      <c r="F28" s="13"/>
      <c r="G28" s="31">
        <f>6216.9/1000</f>
        <v>6.2168999999999999</v>
      </c>
      <c r="H28" s="31">
        <f>68.3859/1000</f>
        <v>6.8385900000000013E-2</v>
      </c>
      <c r="I28" s="31">
        <f>SUM(G28:H28)</f>
        <v>6.2852858999999999</v>
      </c>
    </row>
    <row r="29" spans="1:19" x14ac:dyDescent="0.2">
      <c r="A29" s="10">
        <f t="shared" si="1"/>
        <v>13</v>
      </c>
      <c r="B29" s="11"/>
      <c r="C29" s="15" t="s">
        <v>17</v>
      </c>
      <c r="D29" s="12"/>
      <c r="E29" s="12"/>
      <c r="F29" s="13"/>
      <c r="G29" s="43">
        <f>SUM(G25:G28)</f>
        <v>-4.6323570325506997</v>
      </c>
      <c r="H29" s="43">
        <f t="shared" ref="H29:I29" si="2">SUM(H25:H28)</f>
        <v>-0.32584666750717695</v>
      </c>
      <c r="I29" s="43">
        <f t="shared" si="2"/>
        <v>-4.9582037000578776</v>
      </c>
    </row>
    <row r="30" spans="1:19" x14ac:dyDescent="0.2">
      <c r="A30" s="10"/>
      <c r="B30" s="11"/>
      <c r="C30" s="15"/>
      <c r="D30" s="12"/>
      <c r="E30" s="12"/>
      <c r="F30" s="13"/>
      <c r="G30" s="21"/>
      <c r="H30" s="21"/>
      <c r="I30" s="21"/>
    </row>
    <row r="31" spans="1:19" x14ac:dyDescent="0.2">
      <c r="A31" s="10">
        <f>A29+1</f>
        <v>14</v>
      </c>
      <c r="B31" s="11"/>
      <c r="C31" s="15" t="s">
        <v>23</v>
      </c>
      <c r="D31" s="12" t="s">
        <v>10</v>
      </c>
      <c r="E31" s="12">
        <v>2020</v>
      </c>
      <c r="F31" s="13"/>
      <c r="G31" s="28">
        <f>-254/1000</f>
        <v>-0.254</v>
      </c>
      <c r="H31" s="28">
        <f>-10.33231/1000</f>
        <v>-1.0332309999999999E-2</v>
      </c>
      <c r="I31" s="28">
        <f>SUM(G31:H31)</f>
        <v>-0.26433231000000001</v>
      </c>
    </row>
    <row r="32" spans="1:19" x14ac:dyDescent="0.2">
      <c r="A32" s="10">
        <f t="shared" si="1"/>
        <v>15</v>
      </c>
      <c r="B32" s="11"/>
      <c r="C32" s="15" t="s">
        <v>23</v>
      </c>
      <c r="D32" s="12" t="s">
        <v>10</v>
      </c>
      <c r="E32" s="12">
        <v>2021</v>
      </c>
      <c r="F32" s="13"/>
      <c r="G32" s="28">
        <f>175.5/1000</f>
        <v>0.17549999999999999</v>
      </c>
      <c r="H32" s="28">
        <f>6.97725/1000</f>
        <v>6.9772499999999999E-3</v>
      </c>
      <c r="I32" s="28">
        <f>SUM(G32:H32)</f>
        <v>0.18247724999999998</v>
      </c>
    </row>
    <row r="33" spans="1:19" x14ac:dyDescent="0.2">
      <c r="A33" s="10">
        <f t="shared" si="1"/>
        <v>16</v>
      </c>
      <c r="B33" s="11"/>
      <c r="C33" s="15" t="s">
        <v>23</v>
      </c>
      <c r="D33" s="12" t="s">
        <v>10</v>
      </c>
      <c r="E33" s="12">
        <v>2022</v>
      </c>
      <c r="F33" s="13"/>
      <c r="G33" s="28">
        <f>-4830.24292934561/1000</f>
        <v>-4.8302429293456095</v>
      </c>
      <c r="H33" s="28">
        <f>-159.964016668405/1000</f>
        <v>-0.15996401666840501</v>
      </c>
      <c r="I33" s="28">
        <f>SUM(G33:H33)</f>
        <v>-4.9902069460140144</v>
      </c>
    </row>
    <row r="34" spans="1:19" x14ac:dyDescent="0.2">
      <c r="A34" s="10">
        <f t="shared" si="1"/>
        <v>17</v>
      </c>
      <c r="B34" s="11"/>
      <c r="C34" s="15" t="s">
        <v>23</v>
      </c>
      <c r="D34" s="12" t="s">
        <v>10</v>
      </c>
      <c r="E34" s="12">
        <v>2023</v>
      </c>
      <c r="F34" s="13"/>
      <c r="G34" s="28">
        <f>6939.88981011514/1000</f>
        <v>6.9398898101151403</v>
      </c>
      <c r="H34" s="28">
        <f>76.3387879112666/1000</f>
        <v>7.6338787911266609E-2</v>
      </c>
      <c r="I34" s="28">
        <f>SUM(G34:H34)</f>
        <v>7.016228598026407</v>
      </c>
    </row>
    <row r="35" spans="1:19" x14ac:dyDescent="0.2">
      <c r="A35" s="10">
        <f t="shared" si="1"/>
        <v>18</v>
      </c>
      <c r="B35" s="11"/>
      <c r="C35" s="15" t="s">
        <v>17</v>
      </c>
      <c r="D35" s="12"/>
      <c r="E35" s="12"/>
      <c r="F35" s="13"/>
      <c r="G35" s="43">
        <f>SUM(G31:G34)</f>
        <v>2.0311468807695308</v>
      </c>
      <c r="H35" s="43">
        <f t="shared" ref="H35:I35" si="3">SUM(H31:H34)</f>
        <v>-8.6980288757138396E-2</v>
      </c>
      <c r="I35" s="43">
        <f t="shared" si="3"/>
        <v>1.9441665920123929</v>
      </c>
    </row>
    <row r="36" spans="1:19" x14ac:dyDescent="0.2">
      <c r="A36" s="10"/>
      <c r="B36" s="11"/>
      <c r="C36" s="15"/>
      <c r="D36" s="12"/>
      <c r="E36" s="12"/>
      <c r="F36" s="13"/>
      <c r="G36" s="14"/>
      <c r="H36" s="14"/>
      <c r="I36" s="14"/>
    </row>
    <row r="37" spans="1:19" x14ac:dyDescent="0.2">
      <c r="A37" s="10">
        <f>A35+1</f>
        <v>19</v>
      </c>
      <c r="B37" s="11"/>
      <c r="C37" s="15" t="s">
        <v>24</v>
      </c>
      <c r="D37" s="12" t="s">
        <v>9</v>
      </c>
      <c r="E37" s="12">
        <v>2019</v>
      </c>
      <c r="F37" s="13"/>
      <c r="G37" s="28">
        <f>-6869.6/1000</f>
        <v>-6.8696000000000002</v>
      </c>
      <c r="H37" s="28">
        <f>-387.76579/1000</f>
        <v>-0.38776579</v>
      </c>
      <c r="I37" s="28">
        <f>SUM(G37:H37)</f>
        <v>-7.2573657899999997</v>
      </c>
    </row>
    <row r="38" spans="1:19" x14ac:dyDescent="0.2">
      <c r="A38" s="10">
        <f>A37+1</f>
        <v>20</v>
      </c>
      <c r="B38" s="11"/>
      <c r="C38" s="15" t="s">
        <v>24</v>
      </c>
      <c r="D38" s="12" t="s">
        <v>9</v>
      </c>
      <c r="E38" s="12">
        <v>2020</v>
      </c>
      <c r="F38" s="13"/>
      <c r="G38" s="28">
        <f>-5615.4/1000</f>
        <v>-5.6153999999999993</v>
      </c>
      <c r="H38" s="28">
        <f>-248.55003/1000</f>
        <v>-0.24855003000000001</v>
      </c>
      <c r="I38" s="28">
        <f>SUM(G38:H38)</f>
        <v>-5.8639500299999989</v>
      </c>
    </row>
    <row r="39" spans="1:19" x14ac:dyDescent="0.2">
      <c r="A39" s="10">
        <f>A38+1</f>
        <v>21</v>
      </c>
      <c r="B39" s="11"/>
      <c r="C39" s="15" t="s">
        <v>24</v>
      </c>
      <c r="D39" s="12" t="s">
        <v>9</v>
      </c>
      <c r="E39" s="12">
        <v>2021</v>
      </c>
      <c r="F39" s="13"/>
      <c r="G39" s="28">
        <f>-14353.4/1000</f>
        <v>-14.353399999999999</v>
      </c>
      <c r="H39" s="28">
        <f>-547.64276/1000</f>
        <v>-0.54764276000000001</v>
      </c>
      <c r="I39" s="28">
        <f>SUM(G39:H39)</f>
        <v>-14.901042759999999</v>
      </c>
    </row>
    <row r="40" spans="1:19" x14ac:dyDescent="0.2">
      <c r="A40" s="10">
        <f>A39+1</f>
        <v>22</v>
      </c>
      <c r="B40" s="11"/>
      <c r="C40" s="15" t="s">
        <v>24</v>
      </c>
      <c r="D40" s="12" t="s">
        <v>9</v>
      </c>
      <c r="E40" s="12">
        <v>2022</v>
      </c>
      <c r="F40" s="13"/>
      <c r="G40" s="28">
        <f>-731.424649369693/1000</f>
        <v>-0.73142464936969309</v>
      </c>
      <c r="H40" s="28">
        <f>-24.9643834291999/1000</f>
        <v>-2.4964383429199898E-2</v>
      </c>
      <c r="I40" s="28">
        <f>SUM(G40:H40)</f>
        <v>-0.75638903279889302</v>
      </c>
    </row>
    <row r="41" spans="1:19" x14ac:dyDescent="0.2">
      <c r="A41" s="10">
        <f>A40+1</f>
        <v>23</v>
      </c>
      <c r="B41" s="11"/>
      <c r="C41" s="15" t="s">
        <v>24</v>
      </c>
      <c r="D41" s="12" t="s">
        <v>9</v>
      </c>
      <c r="E41" s="12">
        <v>2023</v>
      </c>
      <c r="F41" s="13"/>
      <c r="G41" s="28">
        <f>1173.8915798336/1000</f>
        <v>1.1738915798336</v>
      </c>
      <c r="H41" s="28">
        <f>12.9128073781696/1000</f>
        <v>1.29128073781696E-2</v>
      </c>
      <c r="I41" s="28">
        <f>SUM(G41:H41)</f>
        <v>1.1868043872117697</v>
      </c>
    </row>
    <row r="42" spans="1:19" x14ac:dyDescent="0.2">
      <c r="A42" s="10">
        <f>A41+1</f>
        <v>24</v>
      </c>
      <c r="B42" s="11"/>
      <c r="C42" s="15" t="s">
        <v>17</v>
      </c>
      <c r="D42" s="12"/>
      <c r="E42" s="12"/>
      <c r="F42" s="13"/>
      <c r="G42" s="43">
        <f>SUM(G37:G41)</f>
        <v>-26.395933069536092</v>
      </c>
      <c r="H42" s="43">
        <f t="shared" ref="H42:I42" si="4">SUM(H37:H41)</f>
        <v>-1.1960101560510303</v>
      </c>
      <c r="I42" s="43">
        <f t="shared" si="4"/>
        <v>-27.591943225587123</v>
      </c>
    </row>
    <row r="43" spans="1:19" x14ac:dyDescent="0.2">
      <c r="A43" s="10"/>
      <c r="B43" s="11"/>
      <c r="C43" s="24"/>
      <c r="D43" s="12"/>
      <c r="E43" s="12"/>
      <c r="F43" s="13"/>
      <c r="G43" s="21"/>
      <c r="H43" s="21"/>
      <c r="I43" s="21"/>
    </row>
    <row r="44" spans="1:19" x14ac:dyDescent="0.2">
      <c r="A44" s="10">
        <v>25</v>
      </c>
      <c r="B44" s="11"/>
      <c r="C44" s="3" t="s">
        <v>28</v>
      </c>
      <c r="D44" s="12" t="s">
        <v>29</v>
      </c>
      <c r="E44" s="12">
        <v>2023</v>
      </c>
      <c r="F44" s="13"/>
      <c r="G44" s="43">
        <f>SUM(G42,G35)</f>
        <v>-24.364786188766562</v>
      </c>
      <c r="H44" s="43">
        <f t="shared" ref="H44:I44" si="5">SUM(H42,H35)</f>
        <v>-1.2829904448081688</v>
      </c>
      <c r="I44" s="43">
        <f t="shared" si="5"/>
        <v>-25.647776633574729</v>
      </c>
      <c r="S44" s="25"/>
    </row>
    <row r="45" spans="1:19" x14ac:dyDescent="0.2">
      <c r="A45" s="10"/>
      <c r="B45" s="11"/>
      <c r="C45" s="24"/>
      <c r="D45" s="12"/>
      <c r="E45" s="12"/>
      <c r="F45" s="13"/>
      <c r="G45" s="21"/>
      <c r="H45" s="21"/>
      <c r="I45" s="21"/>
    </row>
    <row r="46" spans="1:19" x14ac:dyDescent="0.2">
      <c r="A46" s="10">
        <f>A44+1</f>
        <v>26</v>
      </c>
      <c r="B46" s="11"/>
      <c r="C46" s="15" t="s">
        <v>25</v>
      </c>
      <c r="D46" s="12" t="s">
        <v>11</v>
      </c>
      <c r="E46" s="12">
        <v>2022</v>
      </c>
      <c r="F46" s="13"/>
      <c r="G46" s="38">
        <v>0</v>
      </c>
      <c r="H46" s="38">
        <v>0</v>
      </c>
      <c r="I46" s="38">
        <f>SUM(G46:H46)</f>
        <v>0</v>
      </c>
      <c r="K46" s="26"/>
      <c r="L46" s="26"/>
      <c r="M46" s="26"/>
    </row>
    <row r="47" spans="1:19" x14ac:dyDescent="0.2">
      <c r="A47" s="10">
        <f>A46+1</f>
        <v>27</v>
      </c>
      <c r="B47" s="11"/>
      <c r="C47" s="15" t="s">
        <v>25</v>
      </c>
      <c r="D47" s="12" t="s">
        <v>11</v>
      </c>
      <c r="E47" s="12">
        <v>2023</v>
      </c>
      <c r="F47" s="13"/>
      <c r="G47" s="40">
        <v>0</v>
      </c>
      <c r="H47" s="40">
        <v>0</v>
      </c>
      <c r="I47" s="40">
        <f>SUM(G47:H47)</f>
        <v>0</v>
      </c>
    </row>
    <row r="48" spans="1:19" x14ac:dyDescent="0.2">
      <c r="A48" s="10">
        <f>A47+1</f>
        <v>28</v>
      </c>
      <c r="B48" s="11"/>
      <c r="C48" s="15" t="s">
        <v>17</v>
      </c>
      <c r="D48" s="12"/>
      <c r="E48" s="12"/>
      <c r="F48" s="13"/>
      <c r="G48" s="44">
        <v>0</v>
      </c>
      <c r="H48" s="44">
        <v>0</v>
      </c>
      <c r="I48" s="44">
        <v>0</v>
      </c>
    </row>
    <row r="49" spans="1:9" x14ac:dyDescent="0.2">
      <c r="A49" s="10"/>
      <c r="B49" s="11"/>
      <c r="C49" s="15"/>
      <c r="D49" s="12"/>
      <c r="E49" s="12"/>
      <c r="F49" s="13"/>
      <c r="G49" s="14"/>
      <c r="H49" s="14"/>
      <c r="I49" s="14"/>
    </row>
    <row r="50" spans="1:9" x14ac:dyDescent="0.2">
      <c r="A50" s="10">
        <f>A48+1</f>
        <v>29</v>
      </c>
      <c r="B50" s="11"/>
      <c r="C50" s="15" t="s">
        <v>27</v>
      </c>
      <c r="D50" s="12" t="s">
        <v>16</v>
      </c>
      <c r="E50" s="12">
        <v>2020</v>
      </c>
      <c r="F50" s="13"/>
      <c r="G50" s="28">
        <f>1377.5/1000</f>
        <v>1.3774999999999999</v>
      </c>
      <c r="H50" s="28">
        <f>58.78479/1000</f>
        <v>5.8784790000000003E-2</v>
      </c>
      <c r="I50" s="28">
        <f>SUM(G50:H50)</f>
        <v>1.43628479</v>
      </c>
    </row>
    <row r="51" spans="1:9" x14ac:dyDescent="0.2">
      <c r="A51" s="10">
        <f>A50+1</f>
        <v>30</v>
      </c>
      <c r="B51" s="11"/>
      <c r="C51" s="15" t="s">
        <v>27</v>
      </c>
      <c r="D51" s="12" t="s">
        <v>16</v>
      </c>
      <c r="E51" s="12">
        <v>2021</v>
      </c>
      <c r="F51" s="13"/>
      <c r="G51" s="37">
        <f>34.3/1000</f>
        <v>3.4299999999999997E-2</v>
      </c>
      <c r="H51" s="37">
        <f>1.28448/1000</f>
        <v>1.2844800000000002E-3</v>
      </c>
      <c r="I51" s="31">
        <f>SUM(G51:H51)</f>
        <v>3.5584479999999995E-2</v>
      </c>
    </row>
    <row r="52" spans="1:9" x14ac:dyDescent="0.2">
      <c r="A52" s="10">
        <f>A51+1</f>
        <v>31</v>
      </c>
      <c r="B52" s="11"/>
      <c r="C52" s="15" t="s">
        <v>17</v>
      </c>
      <c r="D52" s="12"/>
      <c r="E52" s="12"/>
      <c r="F52" s="13"/>
      <c r="G52" s="43">
        <f>SUM(G50:G51)</f>
        <v>1.4117999999999999</v>
      </c>
      <c r="H52" s="43">
        <f t="shared" ref="H52" si="6">SUM(H50:H51)</f>
        <v>6.0069270000000001E-2</v>
      </c>
      <c r="I52" s="43">
        <f>SUM(I50:I51)</f>
        <v>1.47186927</v>
      </c>
    </row>
    <row r="53" spans="1:9" x14ac:dyDescent="0.2">
      <c r="A53" s="10"/>
      <c r="B53" s="11"/>
      <c r="C53" s="24"/>
      <c r="D53" s="12"/>
      <c r="E53" s="12"/>
      <c r="F53" s="13"/>
      <c r="G53" s="27"/>
      <c r="H53" s="27"/>
      <c r="I53" s="27"/>
    </row>
    <row r="54" spans="1:9" x14ac:dyDescent="0.2">
      <c r="A54" s="10">
        <f>A52+1</f>
        <v>32</v>
      </c>
      <c r="B54" s="11"/>
      <c r="C54" s="7" t="s">
        <v>26</v>
      </c>
      <c r="D54" s="12" t="s">
        <v>12</v>
      </c>
      <c r="E54" s="12">
        <v>2023</v>
      </c>
      <c r="F54" s="13"/>
      <c r="G54" s="28">
        <f>39922.2/1000</f>
        <v>39.922199999999997</v>
      </c>
      <c r="H54" s="38">
        <v>0</v>
      </c>
      <c r="I54" s="28">
        <f>SUM(G54:H54)</f>
        <v>39.922199999999997</v>
      </c>
    </row>
    <row r="55" spans="1:9" x14ac:dyDescent="0.2">
      <c r="A55" s="10"/>
      <c r="B55" s="11"/>
      <c r="D55" s="12"/>
      <c r="E55" s="12"/>
      <c r="F55" s="13"/>
      <c r="G55" s="14"/>
      <c r="H55" s="14"/>
      <c r="I55" s="14"/>
    </row>
    <row r="56" spans="1:9" x14ac:dyDescent="0.2">
      <c r="A56" s="10">
        <f>A54+1</f>
        <v>33</v>
      </c>
      <c r="B56" s="11"/>
      <c r="C56" s="15" t="s">
        <v>14</v>
      </c>
      <c r="D56" s="12"/>
      <c r="E56" s="12">
        <v>2023</v>
      </c>
      <c r="F56" s="13"/>
      <c r="G56" s="37">
        <f>-254560.5/1000</f>
        <v>-254.56049999999999</v>
      </c>
      <c r="H56" s="40">
        <v>0</v>
      </c>
      <c r="I56" s="37">
        <f>SUM(G56:H56)</f>
        <v>-254.56049999999999</v>
      </c>
    </row>
    <row r="57" spans="1:9" x14ac:dyDescent="0.2">
      <c r="A57" s="10"/>
      <c r="B57" s="11"/>
      <c r="C57" s="15"/>
      <c r="D57" s="12"/>
      <c r="E57" s="12"/>
      <c r="F57" s="13"/>
      <c r="G57" s="32"/>
      <c r="H57" s="27"/>
      <c r="I57" s="33"/>
    </row>
    <row r="58" spans="1:9" ht="13.5" thickBot="1" x14ac:dyDescent="0.25">
      <c r="A58" s="10">
        <f>A56+1</f>
        <v>34</v>
      </c>
      <c r="B58" s="11"/>
      <c r="C58" s="15" t="s">
        <v>18</v>
      </c>
      <c r="D58" s="12"/>
      <c r="E58" s="12"/>
      <c r="F58" s="13"/>
      <c r="G58" s="39">
        <f>G14+G21+G29+G42+G35+G48+G54+G56+G52</f>
        <v>-100.01654322131725</v>
      </c>
      <c r="H58" s="39">
        <f>H14+H21+H29+H42+H35+H48+H54+H56+H52</f>
        <v>-1.5721116323153457</v>
      </c>
      <c r="I58" s="39">
        <f>I14+I21+I29+I42+I35+I48+I54+I56+I52</f>
        <v>-101.5886548536326</v>
      </c>
    </row>
    <row r="59" spans="1:9" ht="13.5" thickTop="1" x14ac:dyDescent="0.2"/>
    <row r="65" spans="3:9" x14ac:dyDescent="0.2">
      <c r="C65" s="15"/>
      <c r="D65" s="12"/>
      <c r="E65" s="12"/>
      <c r="F65" s="13"/>
      <c r="G65" s="21"/>
      <c r="H65" s="21"/>
      <c r="I65" s="21"/>
    </row>
  </sheetData>
  <mergeCells count="3">
    <mergeCell ref="A6:I6"/>
    <mergeCell ref="G9:I9"/>
    <mergeCell ref="A7:I7"/>
  </mergeCells>
  <pageMargins left="0.7" right="0.7" top="0.75" bottom="0.75" header="0.3" footer="0.3"/>
  <pageSetup scale="88" orientation="portrait" r:id="rId1"/>
  <headerFooter>
    <oddHeader>&amp;R&amp;"Arial,Regular"&amp;10Filed: 2022-10-31
EB-2022-0200
Exhibit 9
Tab 2
Schedule 1
Attachment 1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Reg_x002e__x0020_Review_x0020_Due_x0020_Date xmlns="0e4c58a4-4156-4653-af30-d293e31e5ce5">2022-05-27T06:00:00+00:00</Reg_x002e__x0020_Review_x0020_Due_x0020_Date>
    <Finance_x0020_view xmlns="0e4c58a4-4156-4653-af30-d293e31e5ce5">Yes</Financ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09.02.01</Exhibit_x002f_Tab_x002f_Schedule>
    <Binder xmlns="0e4c58a4-4156-4653-af30-d293e31e5ce5">9</Binder>
    <Attachment xmlns="0e4c58a4-4156-4653-af30-d293e31e5ce5">1</Attachment>
    <Phase xmlns="0e4c58a4-4156-4653-af30-d293e31e5ce5">Phase 1</Phase>
    <Version_x0020_Comments xmlns="0e4c58a4-4156-4653-af30-d293e31e5ce5">Final</Version_x0020_Comments>
    <Legal_x0020_Team xmlns="0e4c58a4-4156-4653-af30-d293e31e5ce5">
      <UserInfo>
        <DisplayName>David Stevens</DisplayName>
        <AccountId>233</AccountId>
        <AccountType/>
      </UserInfo>
      <UserInfo>
        <DisplayName>Dennis O'Leary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i:0#.w|egd\smallr</DisplayName>
        <AccountId>56</AccountId>
        <AccountType/>
      </UserInfo>
    </Witness>
    <Folder xmlns="0e4c58a4-4156-4653-af30-d293e31e5ce5">Prefiled Evidence</Folder>
    <_x0031_st_x0020_Draft_x0020_Evidence_x0020_Due xmlns="0e4c58a4-4156-4653-af30-d293e31e5ce5">2022-04-29T06:00:00+00:00</_x0031_st_x0020_Draft_x0020_Evidence_x0020_Due>
    <_x0031_st_x0020_draft_x0020_ready_x0020_for_x0020_Regulatory xmlns="0e4c58a4-4156-4653-af30-d293e31e5ce5">2022-05-02T06:00:00+00:00</_x0031_st_x0020_draft_x0020_ready_x0020_for_x0020_Regulatory>
    <Cust_x0020_Eng xmlns="0e4c58a4-4156-4653-af30-d293e31e5ce5">No</Cust_x0020_Eng>
    <Customer_x0020_Care_x0020_View xmlns="0e4c58a4-4156-4653-af30-d293e31e5ce5">No</Customer_x0020_Care_x0020_View>
    <_x0031_st_x0020_Draft_x0020_SL_x0020_Review_x0020_Complete xmlns="0e4c58a4-4156-4653-af30-d293e31e5ce5">2022-06-10T06:00:00+00:00</_x0031_st_x0020_Draft_x0020_SL_x0020_Review_x0020_Complete>
    <Accountable_x0020_Area xmlns="0e4c58a4-4156-4653-af30-d293e31e5ce5">Finance</Accountable_x0020_Area>
    <Executive_x0020_Review xmlns="0e4c58a4-4156-4653-af30-d293e31e5ce5">true</Executive_x0020_Review>
    <Final_x0020_Draft_x0020_Due xmlns="0e4c58a4-4156-4653-af30-d293e31e5ce5">2022-07-25T06:00:00+00:00</Final_x0020_Draft_x0020_Due>
    <Formatting_x0020_Reqd xmlns="0e4c58a4-4156-4653-af30-d293e31e5ce5">true</Formatting_x0020_Reqd>
    <Final_x0020_Draft_x0020_Ready_x0020_for_x0020_SL_x0020_Review xmlns="0e4c58a4-4156-4653-af30-d293e31e5ce5">false</Final_x0020_Draft_x0020_Ready_x0020_for_x0020_SL_x0020_Review>
    <Final_x0020_Draft_x0020_Reg_x002f_1st_x0020_Level_x0020_Review_x0020_Due_x0020_Date xmlns="0e4c58a4-4156-4653-af30-d293e31e5ce5">2022-08-22T06:00:00+00:00</Final_x0020_Draft_x0020_Reg_x002f_1st_x0020_Level_x0020_Review_x0020_Due_x0020_Date>
    <Legal_x0020_Handoff_x0020_Date xmlns="0e4c58a4-4156-4653-af30-d293e31e5ce5">2022-09-05T06:00:00+00:00</Legal_x0020_Handoff_x0020_Date>
    <Legal_x0020_Session_x0020_Date xmlns="0e4c58a4-4156-4653-af30-d293e31e5ce5">2022-09-22T06:00:00+00:00</Legal_x0020_Session_x0020_Date>
    <xewa xmlns="0e4c58a4-4156-4653-af30-d293e31e5ce5">2022-09-28T06:00:00+00:00</xewa>
    <TM_x0020_Sign_x0020_Off xmlns="0e4c58a4-4156-4653-af30-d293e31e5ce5">2022-10-13T06:00:00+00:00</TM_x0020_Sign_x0020_Off>
    <Reg_x002f_Formatting_x0020_Sign_x0020_Off xmlns="0e4c58a4-4156-4653-af30-d293e31e5ce5">2022-10-21T06:00:00+00:00</Reg_x002f_Formatting_x0020_Sign_x0020_Of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90CC87-DDFF-44F2-A759-E9D87B90EB7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e4c58a4-4156-4653-af30-d293e31e5ce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007403-A903-4A72-8DE8-2665955C4A03}"/>
</file>

<file path=customXml/itemProps3.xml><?xml version="1.0" encoding="utf-8"?>
<ds:datastoreItem xmlns:ds="http://schemas.openxmlformats.org/officeDocument/2006/customXml" ds:itemID="{4C5530D7-4915-49D8-A74F-868898825DA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3F87A6-FE42-4460-802E-B45A934B09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Julie Rader</cp:lastModifiedBy>
  <cp:revision/>
  <cp:lastPrinted>2022-10-29T15:10:54Z</cp:lastPrinted>
  <dcterms:created xsi:type="dcterms:W3CDTF">2022-04-26T19:42:15Z</dcterms:created>
  <dcterms:modified xsi:type="dcterms:W3CDTF">2022-10-29T15:10:58Z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2022-04-26T23:15:31Z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d61ac502-ba33-4a98-9893-45659a3e6e7b</vt:lpwstr>
  </property>
  <property fmtid="{D5CDD505-2E9C-101B-9397-08002B2CF9AE}" pid="8" name="MSIP_Label_67694783-de61-499c-97f7-53d7c605e6e9_ContentBits">
    <vt:lpwstr>0</vt:lpwstr>
  </property>
  <property fmtid="{D5CDD505-2E9C-101B-9397-08002B2CF9AE}" pid="9" name="ContentTypeId">
    <vt:lpwstr>0x010100BA68BE8D2D1B4442B56E8613E5D4A5D4</vt:lpwstr>
  </property>
</Properties>
</file>