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4FA6C5ED-3B88-4E3C-81DA-708C1C44CC92}" xr6:coauthVersionLast="47" xr6:coauthVersionMax="47" xr10:uidLastSave="{00000000-0000-0000-0000-000000000000}"/>
  <bookViews>
    <workbookView xWindow="-120" yWindow="-120" windowWidth="29040" windowHeight="15840" tabRatio="810" xr2:uid="{2EF45D86-0228-4767-9F7A-393F119C8806}"/>
  </bookViews>
  <sheets>
    <sheet name="5.1.1 Table 1" sheetId="22" r:id="rId1"/>
    <sheet name="5.1.1 Table 2" sheetId="23" r:id="rId2"/>
    <sheet name="5.1.1 Table 3" sheetId="24" r:id="rId3"/>
    <sheet name="Sheet2" sheetId="29" r:id="rId4"/>
    <sheet name="5.2.1 Table 1" sheetId="26" r:id="rId5"/>
    <sheet name="5.2.1 Table 3" sheetId="18" r:id="rId6"/>
    <sheet name="5.2.1 Table 4" sheetId="17" r:id="rId7"/>
    <sheet name="5.3.1 Table 1" sheetId="19" r:id="rId8"/>
    <sheet name="5.3.1 Table 2" sheetId="2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7" l="1"/>
  <c r="J7" i="27" s="1"/>
  <c r="J10" i="27" s="1"/>
  <c r="H8" i="27"/>
  <c r="J8" i="27"/>
  <c r="H9" i="27"/>
  <c r="H10" i="27" s="1"/>
  <c r="I9" i="27"/>
  <c r="J9" i="27"/>
  <c r="E10" i="27"/>
  <c r="H13" i="27"/>
  <c r="J13" i="27"/>
  <c r="H14" i="27"/>
  <c r="H16" i="27" s="1"/>
  <c r="J14" i="27"/>
  <c r="H15" i="27"/>
  <c r="J15" i="27" s="1"/>
  <c r="J16" i="27" s="1"/>
  <c r="J24" i="27" s="1"/>
  <c r="I15" i="27"/>
  <c r="E16" i="27"/>
  <c r="H19" i="27"/>
  <c r="J19" i="27"/>
  <c r="H20" i="27"/>
  <c r="H22" i="27" s="1"/>
  <c r="J20" i="27"/>
  <c r="H21" i="27"/>
  <c r="I21" i="27" s="1"/>
  <c r="E22" i="27"/>
  <c r="E10" i="26"/>
  <c r="G10" i="26" s="1"/>
  <c r="F10" i="26"/>
  <c r="E11" i="26"/>
  <c r="G11" i="26" s="1"/>
  <c r="F11" i="26"/>
  <c r="E12" i="26"/>
  <c r="F12" i="26"/>
  <c r="F14" i="26" s="1"/>
  <c r="G12" i="26"/>
  <c r="E13" i="26"/>
  <c r="F13" i="26"/>
  <c r="G13" i="26"/>
  <c r="H14" i="26"/>
  <c r="E17" i="26"/>
  <c r="E21" i="26" s="1"/>
  <c r="F17" i="26"/>
  <c r="E18" i="26"/>
  <c r="F18" i="26"/>
  <c r="E19" i="26"/>
  <c r="F19" i="26"/>
  <c r="E20" i="26"/>
  <c r="F20" i="26"/>
  <c r="F21" i="26"/>
  <c r="H21" i="26"/>
  <c r="E24" i="26"/>
  <c r="F24" i="26"/>
  <c r="E25" i="26"/>
  <c r="F25" i="26"/>
  <c r="E26" i="26"/>
  <c r="F26" i="26"/>
  <c r="E27" i="26"/>
  <c r="F27" i="26"/>
  <c r="E30" i="26"/>
  <c r="F30" i="26"/>
  <c r="F34" i="26" s="1"/>
  <c r="G30" i="26"/>
  <c r="E31" i="26"/>
  <c r="G31" i="26" s="1"/>
  <c r="G25" i="26" s="1"/>
  <c r="F31" i="26"/>
  <c r="E32" i="26"/>
  <c r="F32" i="26"/>
  <c r="G32" i="26" s="1"/>
  <c r="G26" i="26" s="1"/>
  <c r="E33" i="26"/>
  <c r="F33" i="26"/>
  <c r="G33" i="26"/>
  <c r="G27" i="26" s="1"/>
  <c r="E34" i="26"/>
  <c r="H34" i="26"/>
  <c r="E12" i="24"/>
  <c r="F12" i="24"/>
  <c r="G12" i="24"/>
  <c r="H12" i="24"/>
  <c r="I12" i="24"/>
  <c r="J12" i="24"/>
  <c r="E18" i="24"/>
  <c r="F18" i="24"/>
  <c r="G18" i="24"/>
  <c r="H18" i="24"/>
  <c r="I18" i="24"/>
  <c r="J18" i="24"/>
  <c r="E29" i="24"/>
  <c r="F29" i="24"/>
  <c r="G29" i="24"/>
  <c r="H29" i="24"/>
  <c r="I29" i="24"/>
  <c r="J29" i="24"/>
  <c r="E12" i="23"/>
  <c r="F12" i="23"/>
  <c r="G12" i="23"/>
  <c r="H12" i="23"/>
  <c r="I12" i="23"/>
  <c r="J12" i="23"/>
  <c r="K12" i="23"/>
  <c r="H16" i="23"/>
  <c r="H19" i="23" s="1"/>
  <c r="E19" i="23"/>
  <c r="F19" i="23"/>
  <c r="G19" i="23"/>
  <c r="I19" i="23"/>
  <c r="J19" i="23"/>
  <c r="K19" i="23"/>
  <c r="E32" i="23"/>
  <c r="F32" i="23"/>
  <c r="G32" i="23"/>
  <c r="H32" i="23"/>
  <c r="I32" i="23"/>
  <c r="J32" i="23"/>
  <c r="K32" i="23"/>
  <c r="E12" i="22"/>
  <c r="F12" i="22"/>
  <c r="G12" i="22"/>
  <c r="H12" i="22"/>
  <c r="I12" i="22"/>
  <c r="J12" i="22"/>
  <c r="K12" i="22"/>
  <c r="E19" i="22"/>
  <c r="F19" i="22"/>
  <c r="G19" i="22"/>
  <c r="H19" i="22"/>
  <c r="I19" i="22"/>
  <c r="J19" i="22"/>
  <c r="K19" i="22"/>
  <c r="E28" i="22"/>
  <c r="F28" i="22"/>
  <c r="F32" i="22" s="1"/>
  <c r="G28" i="22"/>
  <c r="H28" i="22"/>
  <c r="H32" i="22" s="1"/>
  <c r="I28" i="22"/>
  <c r="I32" i="22" s="1"/>
  <c r="J28" i="22"/>
  <c r="K28" i="22"/>
  <c r="K32" i="22" s="1"/>
  <c r="E29" i="22"/>
  <c r="F29" i="22"/>
  <c r="G29" i="22"/>
  <c r="G32" i="22" s="1"/>
  <c r="H29" i="22"/>
  <c r="I29" i="22"/>
  <c r="J29" i="22"/>
  <c r="J32" i="22" s="1"/>
  <c r="K29" i="22"/>
  <c r="E30" i="22"/>
  <c r="F30" i="22"/>
  <c r="G30" i="22"/>
  <c r="H30" i="22"/>
  <c r="I30" i="22"/>
  <c r="J30" i="22"/>
  <c r="K30" i="22"/>
  <c r="E31" i="22"/>
  <c r="F31" i="22"/>
  <c r="G31" i="22"/>
  <c r="H31" i="22"/>
  <c r="I31" i="22"/>
  <c r="J31" i="22"/>
  <c r="K31" i="22"/>
  <c r="E32" i="22"/>
  <c r="J22" i="27" l="1"/>
  <c r="J26" i="27" s="1"/>
  <c r="J28" i="27" s="1"/>
  <c r="J30" i="27" s="1"/>
  <c r="J21" i="27"/>
  <c r="G24" i="26"/>
  <c r="G14" i="26"/>
  <c r="G20" i="26" s="1"/>
  <c r="E14" i="26"/>
  <c r="G34" i="26"/>
  <c r="G17" i="26" l="1"/>
  <c r="G19" i="26"/>
  <c r="G18" i="26"/>
  <c r="G21" i="26" l="1"/>
  <c r="G12" i="18" l="1"/>
  <c r="F12" i="18"/>
  <c r="E12" i="18"/>
</calcChain>
</file>

<file path=xl/sharedStrings.xml><?xml version="1.0" encoding="utf-8"?>
<sst xmlns="http://schemas.openxmlformats.org/spreadsheetml/2006/main" count="257" uniqueCount="85">
  <si>
    <t>Particulars</t>
  </si>
  <si>
    <t>Short Term Debt</t>
  </si>
  <si>
    <t>Common Equity</t>
  </si>
  <si>
    <t>Total</t>
  </si>
  <si>
    <t>Long and Medium Term Debt</t>
  </si>
  <si>
    <t>Table 1</t>
  </si>
  <si>
    <t>Table 2</t>
  </si>
  <si>
    <t>Table 3</t>
  </si>
  <si>
    <t>Table 4</t>
  </si>
  <si>
    <t>Year</t>
  </si>
  <si>
    <t>Financing Plans - Medium Term Notes - Forecast Issuances and Retirements</t>
  </si>
  <si>
    <t>April</t>
  </si>
  <si>
    <t>Medium-term notes due April 2022</t>
  </si>
  <si>
    <t>Coupon Rate</t>
  </si>
  <si>
    <t>July</t>
  </si>
  <si>
    <t>Medium-term notes due July 2023</t>
  </si>
  <si>
    <t>August</t>
  </si>
  <si>
    <t>December</t>
  </si>
  <si>
    <t>Estimate</t>
  </si>
  <si>
    <t xml:space="preserve">Bridge Year </t>
  </si>
  <si>
    <t>Test Year</t>
  </si>
  <si>
    <t>Debt Issuance and Admin Fees</t>
  </si>
  <si>
    <t>Account Maintenance Fees</t>
  </si>
  <si>
    <t>Standby and Commitment Fees</t>
  </si>
  <si>
    <t>Forecast of Fixed Financing Charges</t>
  </si>
  <si>
    <t>Utility Cost of Capital - EGD</t>
  </si>
  <si>
    <t>Actual</t>
  </si>
  <si>
    <t>Capital Structure (%)</t>
  </si>
  <si>
    <t>Cost Rate (%)</t>
  </si>
  <si>
    <t>Utility Cost of Capital - Union</t>
  </si>
  <si>
    <t>Utility Cost of Capital - EGI</t>
  </si>
  <si>
    <t>Bridge Year</t>
  </si>
  <si>
    <t>Utility Cost of Capital - EGD, Union and EGI</t>
  </si>
  <si>
    <t>Medium-term notes due July 2032</t>
  </si>
  <si>
    <t>Medium-term notes due July 2033</t>
  </si>
  <si>
    <t>Medium-term notes due July 2053</t>
  </si>
  <si>
    <t>Medium-term notes due July 2034</t>
  </si>
  <si>
    <t>Medium-term notes due July 2054</t>
  </si>
  <si>
    <t>(a)</t>
  </si>
  <si>
    <t>(b)</t>
  </si>
  <si>
    <t>(c)</t>
  </si>
  <si>
    <t>(d)</t>
  </si>
  <si>
    <t>(e)</t>
  </si>
  <si>
    <t>(f)</t>
  </si>
  <si>
    <t>(g)</t>
  </si>
  <si>
    <t>OEB-Approved
EGD</t>
  </si>
  <si>
    <t>OEB-Approved
Union</t>
  </si>
  <si>
    <t>OEB-Approved
Combined</t>
  </si>
  <si>
    <t>Test Year
EGI</t>
  </si>
  <si>
    <t>OEB-
Approved</t>
  </si>
  <si>
    <t>Term
(years)</t>
  </si>
  <si>
    <t>Issuance (Retirement)
($millions)</t>
  </si>
  <si>
    <t>Date
(month)</t>
  </si>
  <si>
    <t>Preferred Shares (1)</t>
  </si>
  <si>
    <t>(1)</t>
  </si>
  <si>
    <t>On November 29, 2018, EGD redeemed all outstanding Group 3, Series D preference shares for $25.00 per share. No gain or loss was realized on the redemption.</t>
  </si>
  <si>
    <t>On November 29, 2018, Union Gas redeemed all outstanding preference shares for the following amounts per share: Class A, Series A - $50.50; Class A, Series B - $55.00; Class A, Series C - $50.50 and Class B, Series 10 - $25.00. No gain or loss was realized on the redemption.</t>
  </si>
  <si>
    <t>Principal ($ millions)</t>
  </si>
  <si>
    <t>Cost ($ millions)</t>
  </si>
  <si>
    <t>On November 29, 2018, EGD redeemed all outstanding Group 3, Series D preference shares for $25.00 per share and Union Gas redeemed all outstanding preference shares for the following amounts per share: Class A, Series A - $50.50; Class A, Series B - $55.00; Class A, Series C - $50.50 and Class B, Series 10 - $25.00. No gain or loss was realized on the redemption.</t>
  </si>
  <si>
    <t>Medium-term notes due August 2024</t>
  </si>
  <si>
    <t>Medium-term notes due December 2024</t>
  </si>
  <si>
    <t>2024 Equity Thickness Impacts on Cost of Capital and Revenue Requirement</t>
  </si>
  <si>
    <t>Component</t>
  </si>
  <si>
    <t>Cost Rate</t>
  </si>
  <si>
    <t xml:space="preserve">Equity thickness - 36% </t>
  </si>
  <si>
    <t xml:space="preserve">Medium and Long Term Debt </t>
  </si>
  <si>
    <t>Cost of Capital component of Revenue Requirement</t>
  </si>
  <si>
    <t>Equity thickness - 38% (included in 2024 rev. req.)</t>
  </si>
  <si>
    <t>Equity thickness - 42%</t>
  </si>
  <si>
    <t>2024 Revenue requirement impact of moving to 38% deemed equity thickness (from 36%)</t>
  </si>
  <si>
    <t>2024 Revenue requirement impact of moving to 42% deemed equity thickness (from 36%)</t>
  </si>
  <si>
    <t>Proposed annual base rate adjustment in each of 2025 - 2028 (1/4 of $54.5 million)</t>
  </si>
  <si>
    <t>Line No.</t>
  </si>
  <si>
    <t>Particulars ($ millions)</t>
  </si>
  <si>
    <t xml:space="preserve">Principal </t>
  </si>
  <si>
    <t xml:space="preserve">Gross-up for taxes </t>
  </si>
  <si>
    <t xml:space="preserve">Rev. Req. Impact </t>
  </si>
  <si>
    <t>42% versus 38% revenue requirement variance to be captured through base rate adjustments in 2025 - 2028</t>
  </si>
  <si>
    <t>Cost</t>
  </si>
  <si>
    <t>Note:</t>
  </si>
  <si>
    <t>Proposed Escalation of Equity Ratio</t>
  </si>
  <si>
    <t>Particulars (%)</t>
  </si>
  <si>
    <t>Common Equity - Prior Year</t>
  </si>
  <si>
    <t>Increase in Common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</si>
</sst>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00%"/>
    <numFmt numFmtId="168" formatCode="0.0_);\(0.0\)"/>
    <numFmt numFmtId="169" formatCode="###0.0%;\(###0.0%\)\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1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39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wrapText="1"/>
    </xf>
    <xf numFmtId="10" fontId="1" fillId="0" borderId="0" xfId="1" applyNumberFormat="1" applyFont="1"/>
    <xf numFmtId="49" fontId="1" fillId="0" borderId="0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6" fillId="0" borderId="0" xfId="0" applyFont="1"/>
    <xf numFmtId="167" fontId="1" fillId="0" borderId="0" xfId="1" applyNumberFormat="1" applyFont="1"/>
    <xf numFmtId="9" fontId="1" fillId="0" borderId="0" xfId="0" applyNumberFormat="1" applyFont="1"/>
    <xf numFmtId="43" fontId="6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166" fontId="1" fillId="0" borderId="0" xfId="2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 wrapText="1"/>
    </xf>
    <xf numFmtId="165" fontId="1" fillId="0" borderId="0" xfId="0" applyNumberFormat="1" applyFont="1"/>
    <xf numFmtId="168" fontId="1" fillId="0" borderId="0" xfId="2" applyNumberFormat="1" applyFont="1" applyAlignment="1">
      <alignment horizontal="center"/>
    </xf>
    <xf numFmtId="168" fontId="1" fillId="0" borderId="1" xfId="2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 wrapText="1"/>
    </xf>
    <xf numFmtId="169" fontId="1" fillId="0" borderId="0" xfId="1" applyNumberFormat="1" applyFont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5" fillId="0" borderId="0" xfId="0" applyNumberFormat="1" applyFont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5886-A605-484F-84D5-86689779A512}">
  <sheetPr>
    <pageSetUpPr fitToPage="1"/>
  </sheetPr>
  <dimension ref="A1:K35"/>
  <sheetViews>
    <sheetView tabSelected="1" zoomScaleNormal="100" workbookViewId="0"/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10" width="10.85546875" style="23" customWidth="1"/>
    <col min="11" max="11" width="10.5703125" style="23" customWidth="1"/>
    <col min="12" max="16384" width="101.140625" style="1"/>
  </cols>
  <sheetData>
    <row r="1" spans="1:11" s="21" customFormat="1" x14ac:dyDescent="0.2">
      <c r="A1" s="2" t="s">
        <v>5</v>
      </c>
      <c r="B1" s="2"/>
      <c r="C1" s="2"/>
      <c r="D1" s="2"/>
      <c r="E1" s="2"/>
      <c r="F1" s="3"/>
      <c r="G1" s="13"/>
      <c r="H1" s="3"/>
      <c r="I1" s="3"/>
      <c r="J1" s="3"/>
      <c r="K1" s="3"/>
    </row>
    <row r="2" spans="1:11" s="21" customFormat="1" ht="12.75" customHeight="1" x14ac:dyDescent="0.2">
      <c r="A2" s="2" t="s">
        <v>25</v>
      </c>
      <c r="B2" s="2"/>
      <c r="C2" s="2"/>
      <c r="D2" s="2"/>
      <c r="E2" s="2"/>
      <c r="F2" s="3"/>
      <c r="G2" s="3"/>
      <c r="H2" s="3"/>
      <c r="I2" s="3"/>
      <c r="J2" s="3"/>
      <c r="K2" s="3"/>
    </row>
    <row r="3" spans="1:11" ht="12.75" customHeight="1" x14ac:dyDescent="0.2"/>
    <row r="4" spans="1:11" s="4" customFormat="1" ht="12.75" customHeight="1" x14ac:dyDescent="0.2">
      <c r="E4" s="22">
        <v>2013</v>
      </c>
      <c r="F4" s="22">
        <v>2013</v>
      </c>
      <c r="G4" s="22">
        <v>2014</v>
      </c>
      <c r="H4" s="22">
        <v>2015</v>
      </c>
      <c r="I4" s="22">
        <v>2016</v>
      </c>
      <c r="J4" s="22">
        <v>2017</v>
      </c>
      <c r="K4" s="22">
        <v>2018</v>
      </c>
    </row>
    <row r="5" spans="1:11" s="6" customFormat="1" ht="31.5" customHeight="1" x14ac:dyDescent="0.2">
      <c r="A5" s="5" t="s">
        <v>73</v>
      </c>
      <c r="C5" s="7" t="s">
        <v>0</v>
      </c>
      <c r="E5" s="5" t="s">
        <v>49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</row>
    <row r="6" spans="1:11" s="6" customFormat="1" ht="12.75" customHeight="1" x14ac:dyDescent="0.2">
      <c r="A6" s="8"/>
      <c r="E6" s="34" t="s">
        <v>38</v>
      </c>
      <c r="F6" s="34" t="s">
        <v>39</v>
      </c>
      <c r="G6" s="34" t="s">
        <v>40</v>
      </c>
      <c r="H6" s="34" t="s">
        <v>41</v>
      </c>
      <c r="I6" s="34" t="s">
        <v>42</v>
      </c>
      <c r="J6" s="34" t="s">
        <v>43</v>
      </c>
      <c r="K6" s="34" t="s">
        <v>44</v>
      </c>
    </row>
    <row r="7" spans="1:11" ht="12.95" customHeight="1" x14ac:dyDescent="0.2">
      <c r="C7" s="12" t="s">
        <v>57</v>
      </c>
      <c r="E7" s="23"/>
    </row>
    <row r="8" spans="1:11" x14ac:dyDescent="0.2">
      <c r="A8" s="23">
        <v>1</v>
      </c>
      <c r="C8" s="1" t="s">
        <v>4</v>
      </c>
      <c r="E8" s="9">
        <v>2507</v>
      </c>
      <c r="F8" s="9">
        <v>2411.1</v>
      </c>
      <c r="G8" s="9">
        <v>2705.7</v>
      </c>
      <c r="H8" s="9">
        <v>2985.7</v>
      </c>
      <c r="I8" s="9">
        <v>3472.8</v>
      </c>
      <c r="J8" s="9">
        <v>3677.3</v>
      </c>
      <c r="K8" s="9">
        <v>3838.2</v>
      </c>
    </row>
    <row r="9" spans="1:11" x14ac:dyDescent="0.2">
      <c r="A9" s="23">
        <v>2</v>
      </c>
      <c r="C9" s="1" t="s">
        <v>1</v>
      </c>
      <c r="E9" s="9">
        <v>56.7</v>
      </c>
      <c r="F9" s="9">
        <v>236.5</v>
      </c>
      <c r="G9" s="9">
        <v>203.1</v>
      </c>
      <c r="H9" s="9">
        <v>165.4</v>
      </c>
      <c r="I9" s="9">
        <v>209</v>
      </c>
      <c r="J9" s="9">
        <v>360.4</v>
      </c>
      <c r="K9" s="9">
        <v>381</v>
      </c>
    </row>
    <row r="10" spans="1:11" x14ac:dyDescent="0.2">
      <c r="A10" s="23">
        <v>3</v>
      </c>
      <c r="C10" s="1" t="s">
        <v>53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9">
        <v>87.5</v>
      </c>
    </row>
    <row r="11" spans="1:11" x14ac:dyDescent="0.2">
      <c r="A11" s="23">
        <v>4</v>
      </c>
      <c r="C11" s="1" t="s">
        <v>2</v>
      </c>
      <c r="E11" s="9">
        <v>1498.3</v>
      </c>
      <c r="F11" s="9">
        <v>1545.6</v>
      </c>
      <c r="G11" s="9">
        <v>1692.5</v>
      </c>
      <c r="H11" s="9">
        <v>1828.7</v>
      </c>
      <c r="I11" s="9">
        <v>2127.1999999999998</v>
      </c>
      <c r="J11" s="9">
        <v>2327.5</v>
      </c>
      <c r="K11" s="9">
        <v>2422.5</v>
      </c>
    </row>
    <row r="12" spans="1:11" ht="12.75" customHeight="1" x14ac:dyDescent="0.2">
      <c r="A12" s="23">
        <v>5</v>
      </c>
      <c r="C12" s="1" t="s">
        <v>3</v>
      </c>
      <c r="E12" s="24">
        <f>SUM(E8:E11)</f>
        <v>4162</v>
      </c>
      <c r="F12" s="24">
        <f t="shared" ref="F12:K12" si="0">SUM(F8:F11)</f>
        <v>4293.2</v>
      </c>
      <c r="G12" s="24">
        <f t="shared" si="0"/>
        <v>4701.2999999999993</v>
      </c>
      <c r="H12" s="24">
        <f t="shared" si="0"/>
        <v>5079.8</v>
      </c>
      <c r="I12" s="24">
        <f t="shared" si="0"/>
        <v>5909</v>
      </c>
      <c r="J12" s="24">
        <f t="shared" si="0"/>
        <v>6465.2000000000007</v>
      </c>
      <c r="K12" s="24">
        <f t="shared" si="0"/>
        <v>6729.2</v>
      </c>
    </row>
    <row r="13" spans="1:11" ht="12.75" customHeight="1" x14ac:dyDescent="0.2">
      <c r="F13" s="60"/>
      <c r="G13" s="60"/>
      <c r="H13" s="60"/>
      <c r="I13" s="60"/>
      <c r="J13" s="60"/>
      <c r="K13" s="60"/>
    </row>
    <row r="14" spans="1:11" ht="12.75" customHeight="1" x14ac:dyDescent="0.2">
      <c r="C14" s="12" t="s">
        <v>27</v>
      </c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23">
        <v>6</v>
      </c>
      <c r="C15" s="1" t="s">
        <v>4</v>
      </c>
      <c r="E15" s="31">
        <v>60.24</v>
      </c>
      <c r="F15" s="31">
        <v>56.16</v>
      </c>
      <c r="G15" s="31">
        <v>57.55</v>
      </c>
      <c r="H15" s="31">
        <v>58.78</v>
      </c>
      <c r="I15" s="31">
        <v>58.77</v>
      </c>
      <c r="J15" s="31">
        <v>56.88</v>
      </c>
      <c r="K15" s="31">
        <v>57.04</v>
      </c>
    </row>
    <row r="16" spans="1:11" ht="12.75" customHeight="1" x14ac:dyDescent="0.2">
      <c r="A16" s="23">
        <v>7</v>
      </c>
      <c r="C16" s="1" t="s">
        <v>1</v>
      </c>
      <c r="E16" s="31">
        <v>1.36</v>
      </c>
      <c r="F16" s="31">
        <v>5.51</v>
      </c>
      <c r="G16" s="31">
        <v>4.32</v>
      </c>
      <c r="H16" s="31">
        <v>3.25</v>
      </c>
      <c r="I16" s="31">
        <v>3.54</v>
      </c>
      <c r="J16" s="31">
        <v>5.57</v>
      </c>
      <c r="K16" s="31">
        <v>5.66</v>
      </c>
    </row>
    <row r="17" spans="1:11" ht="12.75" customHeight="1" x14ac:dyDescent="0.2">
      <c r="A17" s="23">
        <v>8</v>
      </c>
      <c r="C17" s="1" t="s">
        <v>53</v>
      </c>
      <c r="E17" s="31">
        <v>2.4</v>
      </c>
      <c r="F17" s="31">
        <v>2.33</v>
      </c>
      <c r="G17" s="31">
        <v>2.13</v>
      </c>
      <c r="H17" s="31">
        <v>1.97</v>
      </c>
      <c r="I17" s="31">
        <v>1.69</v>
      </c>
      <c r="J17" s="31">
        <v>1.55</v>
      </c>
      <c r="K17" s="31">
        <v>1.3</v>
      </c>
    </row>
    <row r="18" spans="1:11" ht="12.75" customHeight="1" x14ac:dyDescent="0.2">
      <c r="A18" s="23">
        <v>9</v>
      </c>
      <c r="C18" s="1" t="s">
        <v>2</v>
      </c>
      <c r="E18" s="31">
        <v>36</v>
      </c>
      <c r="F18" s="31">
        <v>36</v>
      </c>
      <c r="G18" s="31">
        <v>36</v>
      </c>
      <c r="H18" s="31">
        <v>36</v>
      </c>
      <c r="I18" s="31">
        <v>36</v>
      </c>
      <c r="J18" s="31">
        <v>36</v>
      </c>
      <c r="K18" s="31">
        <v>36</v>
      </c>
    </row>
    <row r="19" spans="1:11" ht="12.75" customHeight="1" x14ac:dyDescent="0.2">
      <c r="A19" s="23">
        <v>10</v>
      </c>
      <c r="C19" s="1" t="s">
        <v>3</v>
      </c>
      <c r="E19" s="32">
        <f>SUM(E15:E18)</f>
        <v>100</v>
      </c>
      <c r="F19" s="32">
        <f t="shared" ref="F19:K19" si="1">SUM(F15:F18)</f>
        <v>100</v>
      </c>
      <c r="G19" s="32">
        <f t="shared" si="1"/>
        <v>100</v>
      </c>
      <c r="H19" s="32">
        <f t="shared" si="1"/>
        <v>100</v>
      </c>
      <c r="I19" s="32">
        <f t="shared" si="1"/>
        <v>100</v>
      </c>
      <c r="J19" s="32">
        <f t="shared" si="1"/>
        <v>100</v>
      </c>
      <c r="K19" s="32">
        <f t="shared" si="1"/>
        <v>100</v>
      </c>
    </row>
    <row r="20" spans="1:11" ht="12.75" customHeight="1" x14ac:dyDescent="0.2">
      <c r="F20" s="60"/>
      <c r="G20" s="60"/>
      <c r="H20" s="60"/>
      <c r="I20" s="60"/>
      <c r="J20" s="60"/>
      <c r="K20" s="60"/>
    </row>
    <row r="21" spans="1:11" ht="12.75" customHeight="1" x14ac:dyDescent="0.2">
      <c r="C21" s="12" t="s">
        <v>28</v>
      </c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23">
        <v>11</v>
      </c>
      <c r="C22" s="1" t="s">
        <v>4</v>
      </c>
      <c r="E22" s="31">
        <v>5.79</v>
      </c>
      <c r="F22" s="31">
        <v>5.84</v>
      </c>
      <c r="G22" s="31">
        <v>5.41</v>
      </c>
      <c r="H22" s="31">
        <v>5.15</v>
      </c>
      <c r="I22" s="31">
        <v>4.95</v>
      </c>
      <c r="J22" s="31">
        <v>4.8600000000000003</v>
      </c>
      <c r="K22" s="31">
        <v>4.72</v>
      </c>
    </row>
    <row r="23" spans="1:11" ht="12.75" customHeight="1" x14ac:dyDescent="0.2">
      <c r="A23" s="23">
        <v>12</v>
      </c>
      <c r="C23" s="1" t="s">
        <v>1</v>
      </c>
      <c r="E23" s="31">
        <v>2</v>
      </c>
      <c r="F23" s="31">
        <v>1.1100000000000001</v>
      </c>
      <c r="G23" s="31">
        <v>1.38</v>
      </c>
      <c r="H23" s="31">
        <v>1.32</v>
      </c>
      <c r="I23" s="31">
        <v>1.33</v>
      </c>
      <c r="J23" s="31">
        <v>1.05</v>
      </c>
      <c r="K23" s="31">
        <v>1.81</v>
      </c>
    </row>
    <row r="24" spans="1:11" ht="12.75" customHeight="1" x14ac:dyDescent="0.2">
      <c r="A24" s="23">
        <v>13</v>
      </c>
      <c r="C24" s="1" t="s">
        <v>53</v>
      </c>
      <c r="E24" s="31">
        <v>3.2</v>
      </c>
      <c r="F24" s="31">
        <v>2.4</v>
      </c>
      <c r="G24" s="31">
        <v>2.4</v>
      </c>
      <c r="H24" s="31">
        <v>2.2400000000000002</v>
      </c>
      <c r="I24" s="31">
        <v>2.16</v>
      </c>
      <c r="J24" s="31">
        <v>2.3199999999999998</v>
      </c>
      <c r="K24" s="31">
        <v>2.99</v>
      </c>
    </row>
    <row r="25" spans="1:11" ht="12.75" customHeight="1" x14ac:dyDescent="0.2">
      <c r="A25" s="23">
        <v>14</v>
      </c>
      <c r="C25" s="1" t="s">
        <v>2</v>
      </c>
      <c r="E25" s="31">
        <v>8.9207999999999998</v>
      </c>
      <c r="F25" s="31">
        <v>8.93</v>
      </c>
      <c r="G25" s="31">
        <v>9.36</v>
      </c>
      <c r="H25" s="31">
        <v>9.3000000000000007</v>
      </c>
      <c r="I25" s="31">
        <v>9.19</v>
      </c>
      <c r="J25" s="31">
        <v>8.7799999999999994</v>
      </c>
      <c r="K25" s="31">
        <v>9</v>
      </c>
    </row>
    <row r="26" spans="1:11" ht="12.75" customHeight="1" x14ac:dyDescent="0.2">
      <c r="F26" s="60"/>
      <c r="G26" s="60"/>
      <c r="H26" s="60"/>
      <c r="I26" s="60"/>
      <c r="J26" s="60"/>
      <c r="K26" s="60"/>
    </row>
    <row r="27" spans="1:11" ht="12.75" customHeight="1" x14ac:dyDescent="0.2">
      <c r="C27" s="12" t="s">
        <v>58</v>
      </c>
      <c r="E27" s="60"/>
      <c r="F27" s="60"/>
      <c r="G27" s="60"/>
      <c r="H27" s="60"/>
      <c r="I27" s="60"/>
      <c r="J27" s="60"/>
      <c r="K27" s="60"/>
    </row>
    <row r="28" spans="1:11" ht="12.75" customHeight="1" x14ac:dyDescent="0.2">
      <c r="A28" s="23">
        <v>15</v>
      </c>
      <c r="C28" s="1" t="s">
        <v>4</v>
      </c>
      <c r="E28" s="9">
        <f t="shared" ref="E28:K31" si="2">E8*E22/100</f>
        <v>145.15530000000001</v>
      </c>
      <c r="F28" s="9">
        <f t="shared" si="2"/>
        <v>140.80823999999998</v>
      </c>
      <c r="G28" s="9">
        <f t="shared" si="2"/>
        <v>146.37836999999999</v>
      </c>
      <c r="H28" s="9">
        <f t="shared" si="2"/>
        <v>153.76355000000001</v>
      </c>
      <c r="I28" s="9">
        <f t="shared" si="2"/>
        <v>171.90360000000001</v>
      </c>
      <c r="J28" s="9">
        <f t="shared" si="2"/>
        <v>178.71678000000003</v>
      </c>
      <c r="K28" s="9">
        <f t="shared" si="2"/>
        <v>181.16303999999997</v>
      </c>
    </row>
    <row r="29" spans="1:11" x14ac:dyDescent="0.2">
      <c r="A29" s="23">
        <v>16</v>
      </c>
      <c r="C29" s="1" t="s">
        <v>1</v>
      </c>
      <c r="E29" s="9">
        <f t="shared" si="2"/>
        <v>1.1340000000000001</v>
      </c>
      <c r="F29" s="9">
        <f t="shared" si="2"/>
        <v>2.6251500000000005</v>
      </c>
      <c r="G29" s="9">
        <f t="shared" si="2"/>
        <v>2.8027799999999998</v>
      </c>
      <c r="H29" s="9">
        <f t="shared" si="2"/>
        <v>2.1832800000000003</v>
      </c>
      <c r="I29" s="9">
        <f t="shared" si="2"/>
        <v>2.7797000000000001</v>
      </c>
      <c r="J29" s="9">
        <f t="shared" si="2"/>
        <v>3.7842000000000002</v>
      </c>
      <c r="K29" s="9">
        <f t="shared" si="2"/>
        <v>6.8961000000000006</v>
      </c>
    </row>
    <row r="30" spans="1:11" x14ac:dyDescent="0.2">
      <c r="A30" s="23">
        <v>17</v>
      </c>
      <c r="C30" s="1" t="s">
        <v>53</v>
      </c>
      <c r="E30" s="9">
        <f t="shared" si="2"/>
        <v>3.2</v>
      </c>
      <c r="F30" s="9">
        <f t="shared" si="2"/>
        <v>2.4</v>
      </c>
      <c r="G30" s="9">
        <f t="shared" si="2"/>
        <v>2.4</v>
      </c>
      <c r="H30" s="9">
        <f t="shared" si="2"/>
        <v>2.2400000000000002</v>
      </c>
      <c r="I30" s="9">
        <f t="shared" si="2"/>
        <v>2.16</v>
      </c>
      <c r="J30" s="9">
        <f t="shared" si="2"/>
        <v>2.3199999999999998</v>
      </c>
      <c r="K30" s="9">
        <f t="shared" si="2"/>
        <v>2.61625</v>
      </c>
    </row>
    <row r="31" spans="1:11" x14ac:dyDescent="0.2">
      <c r="A31" s="23">
        <v>18</v>
      </c>
      <c r="C31" s="1" t="s">
        <v>2</v>
      </c>
      <c r="E31" s="9">
        <f t="shared" si="2"/>
        <v>133.66034640000001</v>
      </c>
      <c r="F31" s="9">
        <f t="shared" si="2"/>
        <v>138.02207999999999</v>
      </c>
      <c r="G31" s="9">
        <f t="shared" si="2"/>
        <v>158.41800000000001</v>
      </c>
      <c r="H31" s="9">
        <f t="shared" si="2"/>
        <v>170.06910000000005</v>
      </c>
      <c r="I31" s="9">
        <f t="shared" si="2"/>
        <v>195.48967999999996</v>
      </c>
      <c r="J31" s="9">
        <f t="shared" si="2"/>
        <v>204.35449999999997</v>
      </c>
      <c r="K31" s="9">
        <f t="shared" si="2"/>
        <v>218.02500000000001</v>
      </c>
    </row>
    <row r="32" spans="1:11" x14ac:dyDescent="0.2">
      <c r="A32" s="23">
        <v>19</v>
      </c>
      <c r="C32" s="1" t="s">
        <v>3</v>
      </c>
      <c r="E32" s="24">
        <f>SUM(E28:E31)+0.1</f>
        <v>283.24964640000002</v>
      </c>
      <c r="F32" s="24">
        <f t="shared" ref="F32:K32" si="3">SUM(F28:F31)</f>
        <v>283.85546999999997</v>
      </c>
      <c r="G32" s="24">
        <f t="shared" si="3"/>
        <v>309.99914999999999</v>
      </c>
      <c r="H32" s="24">
        <f t="shared" si="3"/>
        <v>328.25593000000003</v>
      </c>
      <c r="I32" s="24">
        <f t="shared" si="3"/>
        <v>372.33297999999996</v>
      </c>
      <c r="J32" s="24">
        <f t="shared" si="3"/>
        <v>389.17547999999999</v>
      </c>
      <c r="K32" s="24">
        <f t="shared" si="3"/>
        <v>408.70038999999997</v>
      </c>
    </row>
    <row r="34" spans="1:11" x14ac:dyDescent="0.2">
      <c r="A34" s="12" t="s">
        <v>80</v>
      </c>
      <c r="E34" s="35"/>
    </row>
    <row r="35" spans="1:11" ht="26.45" customHeight="1" x14ac:dyDescent="0.2">
      <c r="A35" s="36" t="s">
        <v>54</v>
      </c>
      <c r="B35" s="61" t="s">
        <v>55</v>
      </c>
      <c r="C35" s="61"/>
      <c r="D35" s="61"/>
      <c r="E35" s="61"/>
      <c r="F35" s="61"/>
      <c r="G35" s="61"/>
      <c r="H35" s="61"/>
      <c r="I35" s="61"/>
      <c r="J35" s="61"/>
      <c r="K35" s="61"/>
    </row>
  </sheetData>
  <mergeCells count="1">
    <mergeCell ref="B35:K35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518E-0219-4988-973C-D85459649476}">
  <sheetPr>
    <pageSetUpPr fitToPage="1"/>
  </sheetPr>
  <dimension ref="A1:K35"/>
  <sheetViews>
    <sheetView zoomScaleNormal="100" workbookViewId="0">
      <selection activeCell="J18" sqref="J18"/>
    </sheetView>
  </sheetViews>
  <sheetFormatPr defaultColWidth="101.140625" defaultRowHeight="12.75" customHeight="1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10" width="10.85546875" style="23" customWidth="1"/>
    <col min="11" max="11" width="10.5703125" style="23" customWidth="1"/>
    <col min="12" max="16384" width="101.140625" style="1"/>
  </cols>
  <sheetData>
    <row r="1" spans="1:11" s="21" customFormat="1" ht="12.75" customHeight="1" x14ac:dyDescent="0.2">
      <c r="A1" s="2" t="s">
        <v>6</v>
      </c>
      <c r="B1" s="2"/>
      <c r="C1" s="2"/>
      <c r="D1" s="2"/>
      <c r="E1" s="2"/>
      <c r="F1" s="3"/>
      <c r="G1" s="13"/>
      <c r="H1" s="3"/>
      <c r="I1" s="3"/>
      <c r="J1" s="3"/>
      <c r="K1" s="3"/>
    </row>
    <row r="2" spans="1:11" s="21" customFormat="1" ht="12.75" customHeight="1" x14ac:dyDescent="0.2">
      <c r="A2" s="2" t="s">
        <v>29</v>
      </c>
      <c r="B2" s="2"/>
      <c r="C2" s="2"/>
      <c r="D2" s="2"/>
      <c r="E2" s="2"/>
      <c r="F2" s="3"/>
      <c r="G2" s="3"/>
      <c r="H2" s="3"/>
      <c r="I2" s="3"/>
      <c r="J2" s="3"/>
      <c r="K2" s="3"/>
    </row>
    <row r="4" spans="1:11" s="4" customFormat="1" ht="12.75" customHeight="1" x14ac:dyDescent="0.2">
      <c r="E4" s="22">
        <v>2013</v>
      </c>
      <c r="F4" s="22">
        <v>2013</v>
      </c>
      <c r="G4" s="22">
        <v>2014</v>
      </c>
      <c r="H4" s="22">
        <v>2015</v>
      </c>
      <c r="I4" s="22">
        <v>2016</v>
      </c>
      <c r="J4" s="22">
        <v>2017</v>
      </c>
      <c r="K4" s="22">
        <v>2018</v>
      </c>
    </row>
    <row r="5" spans="1:11" s="6" customFormat="1" ht="12.75" customHeight="1" x14ac:dyDescent="0.2">
      <c r="A5" s="5" t="s">
        <v>73</v>
      </c>
      <c r="C5" s="7" t="s">
        <v>0</v>
      </c>
      <c r="E5" s="5" t="s">
        <v>49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</row>
    <row r="6" spans="1:11" s="6" customFormat="1" ht="12.75" customHeight="1" x14ac:dyDescent="0.2">
      <c r="A6" s="8"/>
      <c r="E6" s="34" t="s">
        <v>38</v>
      </c>
      <c r="F6" s="34" t="s">
        <v>39</v>
      </c>
      <c r="G6" s="34" t="s">
        <v>40</v>
      </c>
      <c r="H6" s="34" t="s">
        <v>41</v>
      </c>
      <c r="I6" s="34" t="s">
        <v>42</v>
      </c>
      <c r="J6" s="34" t="s">
        <v>43</v>
      </c>
      <c r="K6" s="34" t="s">
        <v>44</v>
      </c>
    </row>
    <row r="7" spans="1:11" ht="12.75" customHeight="1" x14ac:dyDescent="0.2">
      <c r="C7" s="12" t="s">
        <v>57</v>
      </c>
      <c r="E7" s="23"/>
    </row>
    <row r="8" spans="1:11" ht="12.75" customHeight="1" x14ac:dyDescent="0.2">
      <c r="A8" s="23">
        <v>1</v>
      </c>
      <c r="C8" s="1" t="s">
        <v>4</v>
      </c>
      <c r="E8" s="9">
        <v>2289.1</v>
      </c>
      <c r="F8" s="9">
        <v>2262.1</v>
      </c>
      <c r="G8" s="9">
        <v>2502.1999999999998</v>
      </c>
      <c r="H8" s="9">
        <v>2746.7</v>
      </c>
      <c r="I8" s="9">
        <v>3161.5</v>
      </c>
      <c r="J8" s="9">
        <v>3319</v>
      </c>
      <c r="K8" s="9">
        <v>3572.9</v>
      </c>
    </row>
    <row r="9" spans="1:11" ht="12.75" customHeight="1" x14ac:dyDescent="0.2">
      <c r="A9" s="23">
        <v>2</v>
      </c>
      <c r="C9" s="1" t="s">
        <v>1</v>
      </c>
      <c r="E9" s="9">
        <v>-1.3</v>
      </c>
      <c r="F9" s="9">
        <v>56.7</v>
      </c>
      <c r="G9" s="9">
        <v>-60.5</v>
      </c>
      <c r="H9" s="9">
        <v>-143.5</v>
      </c>
      <c r="I9" s="9">
        <v>-219.5</v>
      </c>
      <c r="J9" s="9">
        <v>80.2</v>
      </c>
      <c r="K9" s="9">
        <v>187.6</v>
      </c>
    </row>
    <row r="10" spans="1:11" ht="12.75" customHeight="1" x14ac:dyDescent="0.2">
      <c r="A10" s="23">
        <v>3</v>
      </c>
      <c r="C10" s="1" t="s">
        <v>53</v>
      </c>
      <c r="E10" s="9">
        <v>102.3</v>
      </c>
      <c r="F10" s="9">
        <v>102.9</v>
      </c>
      <c r="G10" s="9">
        <v>103.2</v>
      </c>
      <c r="H10" s="9">
        <v>103</v>
      </c>
      <c r="I10" s="9">
        <v>103.4</v>
      </c>
      <c r="J10" s="9">
        <v>104.1</v>
      </c>
      <c r="K10" s="9">
        <v>91.3</v>
      </c>
    </row>
    <row r="11" spans="1:11" ht="12.75" customHeight="1" x14ac:dyDescent="0.2">
      <c r="A11" s="23">
        <v>4</v>
      </c>
      <c r="C11" s="1" t="s">
        <v>2</v>
      </c>
      <c r="E11" s="9">
        <v>1344.4</v>
      </c>
      <c r="F11" s="9">
        <v>1362.2</v>
      </c>
      <c r="G11" s="9">
        <v>1431.5</v>
      </c>
      <c r="H11" s="9">
        <v>1522.2</v>
      </c>
      <c r="I11" s="9">
        <v>1713</v>
      </c>
      <c r="J11" s="9">
        <v>1970.6</v>
      </c>
      <c r="K11" s="9">
        <v>2166.6</v>
      </c>
    </row>
    <row r="12" spans="1:11" ht="12.75" customHeight="1" x14ac:dyDescent="0.2">
      <c r="A12" s="23">
        <v>5</v>
      </c>
      <c r="C12" s="1" t="s">
        <v>3</v>
      </c>
      <c r="E12" s="24">
        <f>SUM(E8:E11)</f>
        <v>3734.5</v>
      </c>
      <c r="F12" s="24">
        <f t="shared" ref="F12:K12" si="0">SUM(F8:F11)</f>
        <v>3783.8999999999996</v>
      </c>
      <c r="G12" s="24">
        <f t="shared" si="0"/>
        <v>3976.3999999999996</v>
      </c>
      <c r="H12" s="24">
        <f t="shared" si="0"/>
        <v>4228.3999999999996</v>
      </c>
      <c r="I12" s="24">
        <f t="shared" si="0"/>
        <v>4758.3999999999996</v>
      </c>
      <c r="J12" s="24">
        <f t="shared" si="0"/>
        <v>5473.9</v>
      </c>
      <c r="K12" s="24">
        <f t="shared" si="0"/>
        <v>6018.4</v>
      </c>
    </row>
    <row r="14" spans="1:11" ht="12.75" customHeight="1" x14ac:dyDescent="0.2">
      <c r="C14" s="12" t="s">
        <v>27</v>
      </c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23">
        <v>6</v>
      </c>
      <c r="C15" s="1" t="s">
        <v>4</v>
      </c>
      <c r="E15" s="31">
        <v>61.3</v>
      </c>
      <c r="F15" s="31">
        <v>59.78</v>
      </c>
      <c r="G15" s="31">
        <v>62.93</v>
      </c>
      <c r="H15" s="31">
        <v>64.959999999999994</v>
      </c>
      <c r="I15" s="31">
        <v>66.44</v>
      </c>
      <c r="J15" s="31">
        <v>60.63</v>
      </c>
      <c r="K15" s="31">
        <v>59.37</v>
      </c>
    </row>
    <row r="16" spans="1:11" ht="12.75" customHeight="1" x14ac:dyDescent="0.2">
      <c r="A16" s="23">
        <v>7</v>
      </c>
      <c r="C16" s="1" t="s">
        <v>1</v>
      </c>
      <c r="E16" s="31">
        <v>-0.03</v>
      </c>
      <c r="F16" s="31">
        <v>1.5</v>
      </c>
      <c r="G16" s="31">
        <v>-1.52</v>
      </c>
      <c r="H16" s="31">
        <f>-3.39-0.01</f>
        <v>-3.4</v>
      </c>
      <c r="I16" s="31">
        <v>-4.6100000000000003</v>
      </c>
      <c r="J16" s="31">
        <v>1.47</v>
      </c>
      <c r="K16" s="31">
        <v>3.11</v>
      </c>
    </row>
    <row r="17" spans="1:11" ht="12.75" customHeight="1" x14ac:dyDescent="0.2">
      <c r="A17" s="23">
        <v>8</v>
      </c>
      <c r="C17" s="1" t="s">
        <v>53</v>
      </c>
      <c r="E17" s="31">
        <v>2.74</v>
      </c>
      <c r="F17" s="31">
        <v>2.72</v>
      </c>
      <c r="G17" s="31">
        <v>2.59</v>
      </c>
      <c r="H17" s="31">
        <v>2.44</v>
      </c>
      <c r="I17" s="31">
        <v>2.17</v>
      </c>
      <c r="J17" s="31">
        <v>1.9</v>
      </c>
      <c r="K17" s="31">
        <v>1.52</v>
      </c>
    </row>
    <row r="18" spans="1:11" ht="12.75" customHeight="1" x14ac:dyDescent="0.2">
      <c r="A18" s="23">
        <v>9</v>
      </c>
      <c r="C18" s="1" t="s">
        <v>2</v>
      </c>
      <c r="E18" s="31">
        <v>36</v>
      </c>
      <c r="F18" s="31">
        <v>36</v>
      </c>
      <c r="G18" s="31">
        <v>36</v>
      </c>
      <c r="H18" s="31">
        <v>36</v>
      </c>
      <c r="I18" s="31">
        <v>36</v>
      </c>
      <c r="J18" s="31">
        <v>36</v>
      </c>
      <c r="K18" s="31">
        <v>36</v>
      </c>
    </row>
    <row r="19" spans="1:11" ht="12.75" customHeight="1" x14ac:dyDescent="0.2">
      <c r="A19" s="23">
        <v>10</v>
      </c>
      <c r="C19" s="1" t="s">
        <v>3</v>
      </c>
      <c r="E19" s="32">
        <f>SUM(E15:E18)-0.01</f>
        <v>99.999999999999986</v>
      </c>
      <c r="F19" s="32">
        <f t="shared" ref="F19:K19" si="1">SUM(F15:F18)</f>
        <v>100</v>
      </c>
      <c r="G19" s="32">
        <f t="shared" si="1"/>
        <v>100</v>
      </c>
      <c r="H19" s="32">
        <f t="shared" si="1"/>
        <v>100</v>
      </c>
      <c r="I19" s="32">
        <f t="shared" si="1"/>
        <v>100</v>
      </c>
      <c r="J19" s="32">
        <f t="shared" si="1"/>
        <v>100</v>
      </c>
      <c r="K19" s="32">
        <f t="shared" si="1"/>
        <v>100</v>
      </c>
    </row>
    <row r="21" spans="1:11" ht="12.75" customHeight="1" x14ac:dyDescent="0.2">
      <c r="C21" s="12" t="s">
        <v>28</v>
      </c>
      <c r="E21" s="60"/>
      <c r="F21" s="60"/>
      <c r="G21" s="60"/>
      <c r="H21" s="60"/>
      <c r="I21" s="60"/>
      <c r="J21" s="60"/>
      <c r="K21" s="60"/>
    </row>
    <row r="22" spans="1:11" ht="12.75" customHeight="1" x14ac:dyDescent="0.2">
      <c r="A22" s="23">
        <v>11</v>
      </c>
      <c r="C22" s="1" t="s">
        <v>4</v>
      </c>
      <c r="E22" s="31">
        <v>6.53</v>
      </c>
      <c r="F22" s="31">
        <v>6.51</v>
      </c>
      <c r="G22" s="31">
        <v>6.03</v>
      </c>
      <c r="H22" s="31">
        <v>5.64</v>
      </c>
      <c r="I22" s="31">
        <v>5.12</v>
      </c>
      <c r="J22" s="31">
        <v>4.9800000000000004</v>
      </c>
      <c r="K22" s="31">
        <v>4.51</v>
      </c>
    </row>
    <row r="23" spans="1:11" ht="12.75" customHeight="1" x14ac:dyDescent="0.2">
      <c r="A23" s="23">
        <v>12</v>
      </c>
      <c r="C23" s="1" t="s">
        <v>1</v>
      </c>
      <c r="E23" s="31">
        <v>1.31</v>
      </c>
      <c r="F23" s="31">
        <v>1.1499999999999999</v>
      </c>
      <c r="G23" s="31">
        <v>1.19</v>
      </c>
      <c r="H23" s="31">
        <v>0.84</v>
      </c>
      <c r="I23" s="31">
        <v>0.82</v>
      </c>
      <c r="J23" s="31">
        <v>1.02</v>
      </c>
      <c r="K23" s="31">
        <v>1.72</v>
      </c>
    </row>
    <row r="24" spans="1:11" ht="12.75" customHeight="1" x14ac:dyDescent="0.2">
      <c r="A24" s="23">
        <v>13</v>
      </c>
      <c r="C24" s="1" t="s">
        <v>53</v>
      </c>
      <c r="E24" s="31">
        <v>3.05</v>
      </c>
      <c r="F24" s="31">
        <v>2</v>
      </c>
      <c r="G24" s="31">
        <v>2.74</v>
      </c>
      <c r="H24" s="31">
        <v>2.58</v>
      </c>
      <c r="I24" s="31">
        <v>2.5099999999999998</v>
      </c>
      <c r="J24" s="31">
        <v>2.66</v>
      </c>
      <c r="K24" s="31">
        <v>3.18</v>
      </c>
    </row>
    <row r="25" spans="1:11" ht="12.75" customHeight="1" x14ac:dyDescent="0.2">
      <c r="A25" s="23">
        <v>14</v>
      </c>
      <c r="C25" s="1" t="s">
        <v>2</v>
      </c>
      <c r="E25" s="31">
        <v>8.93</v>
      </c>
      <c r="F25" s="31">
        <v>8.93</v>
      </c>
      <c r="G25" s="31">
        <v>8.93</v>
      </c>
      <c r="H25" s="31">
        <v>8.93</v>
      </c>
      <c r="I25" s="31">
        <v>8.93</v>
      </c>
      <c r="J25" s="31">
        <v>8.93</v>
      </c>
      <c r="K25" s="31">
        <v>8.93</v>
      </c>
    </row>
    <row r="27" spans="1:11" ht="12.75" customHeight="1" x14ac:dyDescent="0.2">
      <c r="C27" s="12" t="s">
        <v>58</v>
      </c>
      <c r="E27" s="60"/>
      <c r="F27" s="60"/>
      <c r="G27" s="60"/>
      <c r="H27" s="60"/>
      <c r="I27" s="60"/>
      <c r="J27" s="60"/>
      <c r="K27" s="60"/>
    </row>
    <row r="28" spans="1:11" ht="12.75" customHeight="1" x14ac:dyDescent="0.2">
      <c r="A28" s="23">
        <v>15</v>
      </c>
      <c r="C28" s="1" t="s">
        <v>4</v>
      </c>
      <c r="E28" s="9">
        <v>149.5</v>
      </c>
      <c r="F28" s="9">
        <v>147.4</v>
      </c>
      <c r="G28" s="9">
        <v>151</v>
      </c>
      <c r="H28" s="9">
        <v>155</v>
      </c>
      <c r="I28" s="9">
        <v>161.80000000000001</v>
      </c>
      <c r="J28" s="9">
        <v>165.3</v>
      </c>
      <c r="K28" s="9">
        <v>161.19999999999999</v>
      </c>
    </row>
    <row r="29" spans="1:11" ht="12.75" customHeight="1" x14ac:dyDescent="0.2">
      <c r="A29" s="23">
        <v>16</v>
      </c>
      <c r="C29" s="1" t="s">
        <v>1</v>
      </c>
      <c r="E29" s="9">
        <v>0</v>
      </c>
      <c r="F29" s="9">
        <v>0.7</v>
      </c>
      <c r="G29" s="9">
        <v>-0.7</v>
      </c>
      <c r="H29" s="9">
        <v>-1.2</v>
      </c>
      <c r="I29" s="9">
        <v>-1.8</v>
      </c>
      <c r="J29" s="9">
        <v>0.8</v>
      </c>
      <c r="K29" s="9">
        <v>3.2</v>
      </c>
    </row>
    <row r="30" spans="1:11" ht="12.75" customHeight="1" x14ac:dyDescent="0.2">
      <c r="A30" s="23">
        <v>17</v>
      </c>
      <c r="C30" s="1" t="s">
        <v>53</v>
      </c>
      <c r="E30" s="9">
        <v>3.1</v>
      </c>
      <c r="F30" s="9">
        <v>2</v>
      </c>
      <c r="G30" s="9">
        <v>2.8</v>
      </c>
      <c r="H30" s="9">
        <v>2.7</v>
      </c>
      <c r="I30" s="9">
        <v>2.6</v>
      </c>
      <c r="J30" s="9">
        <v>2.8</v>
      </c>
      <c r="K30" s="9">
        <v>2.9</v>
      </c>
    </row>
    <row r="31" spans="1:11" ht="12.75" customHeight="1" x14ac:dyDescent="0.2">
      <c r="A31" s="23">
        <v>18</v>
      </c>
      <c r="C31" s="1" t="s">
        <v>2</v>
      </c>
      <c r="E31" s="9">
        <v>120</v>
      </c>
      <c r="F31" s="9">
        <v>121.6</v>
      </c>
      <c r="G31" s="9">
        <v>127.88</v>
      </c>
      <c r="H31" s="9">
        <v>135.9</v>
      </c>
      <c r="I31" s="9">
        <v>153</v>
      </c>
      <c r="J31" s="9">
        <v>176</v>
      </c>
      <c r="K31" s="9">
        <v>193.5</v>
      </c>
    </row>
    <row r="32" spans="1:11" ht="12.75" customHeight="1" x14ac:dyDescent="0.2">
      <c r="A32" s="23">
        <v>19</v>
      </c>
      <c r="C32" s="1" t="s">
        <v>3</v>
      </c>
      <c r="E32" s="24">
        <f>SUM(E28:E31)</f>
        <v>272.60000000000002</v>
      </c>
      <c r="F32" s="24">
        <f t="shared" ref="F32:K32" si="2">SUM(F28:F31)</f>
        <v>271.7</v>
      </c>
      <c r="G32" s="24">
        <f t="shared" si="2"/>
        <v>280.98</v>
      </c>
      <c r="H32" s="24">
        <f t="shared" si="2"/>
        <v>292.39999999999998</v>
      </c>
      <c r="I32" s="24">
        <f t="shared" si="2"/>
        <v>315.60000000000002</v>
      </c>
      <c r="J32" s="24">
        <f t="shared" si="2"/>
        <v>344.90000000000003</v>
      </c>
      <c r="K32" s="24">
        <f t="shared" si="2"/>
        <v>360.79999999999995</v>
      </c>
    </row>
    <row r="34" spans="1:11" ht="12.75" customHeight="1" x14ac:dyDescent="0.2">
      <c r="A34" s="12" t="s">
        <v>80</v>
      </c>
      <c r="E34" s="35"/>
      <c r="F34" s="30"/>
      <c r="G34" s="30"/>
      <c r="H34" s="30"/>
      <c r="I34" s="30"/>
      <c r="J34" s="30"/>
      <c r="K34" s="30"/>
    </row>
    <row r="35" spans="1:11" ht="41.25" customHeight="1" x14ac:dyDescent="0.2">
      <c r="A35" s="36" t="s">
        <v>54</v>
      </c>
      <c r="B35" s="61" t="s">
        <v>56</v>
      </c>
      <c r="C35" s="61"/>
      <c r="D35" s="61"/>
      <c r="E35" s="61"/>
      <c r="F35" s="61"/>
      <c r="G35" s="61"/>
      <c r="H35" s="61"/>
      <c r="I35" s="61"/>
      <c r="J35" s="61"/>
      <c r="K35" s="61"/>
    </row>
  </sheetData>
  <mergeCells count="1">
    <mergeCell ref="B35:K35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AD22-2996-48FB-AD82-614EC4598B5B}">
  <sheetPr>
    <pageSetUpPr fitToPage="1"/>
  </sheetPr>
  <dimension ref="A1:K29"/>
  <sheetViews>
    <sheetView zoomScaleNormal="100" workbookViewId="0">
      <selection activeCell="G9" sqref="G9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9" width="10.85546875" style="23" customWidth="1"/>
    <col min="10" max="10" width="10.5703125" style="23" customWidth="1"/>
    <col min="11" max="16384" width="101.140625" style="1"/>
  </cols>
  <sheetData>
    <row r="1" spans="1:11" s="21" customFormat="1" x14ac:dyDescent="0.2">
      <c r="A1" s="2" t="s">
        <v>7</v>
      </c>
      <c r="B1" s="2"/>
      <c r="C1" s="2"/>
      <c r="D1" s="2"/>
      <c r="E1" s="2"/>
      <c r="F1" s="13"/>
      <c r="G1" s="3"/>
      <c r="H1" s="3"/>
      <c r="I1" s="3"/>
      <c r="J1" s="3"/>
    </row>
    <row r="2" spans="1:11" s="21" customFormat="1" x14ac:dyDescent="0.2">
      <c r="A2" s="2" t="s">
        <v>30</v>
      </c>
      <c r="B2" s="2"/>
      <c r="C2" s="2"/>
      <c r="D2" s="2"/>
      <c r="E2" s="2"/>
      <c r="F2" s="3"/>
      <c r="G2" s="3"/>
      <c r="H2" s="3"/>
      <c r="I2" s="3"/>
      <c r="J2" s="3"/>
    </row>
    <row r="4" spans="1:11" s="4" customFormat="1" x14ac:dyDescent="0.2">
      <c r="E4" s="22"/>
      <c r="F4" s="22"/>
      <c r="G4" s="22"/>
      <c r="H4" s="22"/>
      <c r="I4" s="22"/>
      <c r="J4" s="22"/>
    </row>
    <row r="5" spans="1:11" s="4" customFormat="1" x14ac:dyDescent="0.2">
      <c r="E5" s="22">
        <v>2019</v>
      </c>
      <c r="F5" s="22">
        <v>2020</v>
      </c>
      <c r="G5" s="22">
        <v>2021</v>
      </c>
      <c r="H5" s="22">
        <v>2022</v>
      </c>
      <c r="I5" s="22">
        <v>2023</v>
      </c>
      <c r="J5" s="22">
        <v>2024</v>
      </c>
    </row>
    <row r="6" spans="1:11" s="6" customFormat="1" ht="25.5" x14ac:dyDescent="0.2">
      <c r="A6" s="5" t="s">
        <v>73</v>
      </c>
      <c r="C6" s="7" t="s">
        <v>0</v>
      </c>
      <c r="E6" s="5" t="s">
        <v>26</v>
      </c>
      <c r="F6" s="5" t="s">
        <v>26</v>
      </c>
      <c r="G6" s="5" t="s">
        <v>26</v>
      </c>
      <c r="H6" s="5" t="s">
        <v>18</v>
      </c>
      <c r="I6" s="5" t="s">
        <v>31</v>
      </c>
      <c r="J6" s="5" t="s">
        <v>20</v>
      </c>
    </row>
    <row r="7" spans="1:11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  <c r="H7" s="34" t="s">
        <v>41</v>
      </c>
      <c r="I7" s="34" t="s">
        <v>42</v>
      </c>
      <c r="J7" s="34" t="s">
        <v>43</v>
      </c>
      <c r="K7" s="34"/>
    </row>
    <row r="8" spans="1:11" ht="12.95" customHeight="1" x14ac:dyDescent="0.2">
      <c r="C8" s="12" t="s">
        <v>57</v>
      </c>
      <c r="E8" s="23"/>
    </row>
    <row r="9" spans="1:11" x14ac:dyDescent="0.2">
      <c r="A9" s="23">
        <v>1</v>
      </c>
      <c r="C9" s="1" t="s">
        <v>4</v>
      </c>
      <c r="E9" s="15">
        <v>8002</v>
      </c>
      <c r="F9" s="15">
        <v>8568.5</v>
      </c>
      <c r="G9" s="15">
        <v>8505.2999999999993</v>
      </c>
      <c r="H9" s="15">
        <v>9079.5695466349116</v>
      </c>
      <c r="I9" s="15">
        <v>9628.755371952202</v>
      </c>
      <c r="J9" s="15">
        <v>10028.1</v>
      </c>
    </row>
    <row r="10" spans="1:11" x14ac:dyDescent="0.2">
      <c r="A10" s="23">
        <v>2</v>
      </c>
      <c r="C10" s="1" t="s">
        <v>1</v>
      </c>
      <c r="E10" s="15">
        <v>407</v>
      </c>
      <c r="F10" s="15">
        <v>111.1</v>
      </c>
      <c r="G10" s="15">
        <v>596.5</v>
      </c>
      <c r="H10" s="15">
        <v>521.80213835596624</v>
      </c>
      <c r="I10" s="15">
        <v>318.27619985330966</v>
      </c>
      <c r="J10" s="15">
        <v>6.2</v>
      </c>
    </row>
    <row r="11" spans="1:11" x14ac:dyDescent="0.2">
      <c r="A11" s="23">
        <v>3</v>
      </c>
      <c r="C11" s="1" t="s">
        <v>2</v>
      </c>
      <c r="E11" s="26">
        <v>4730</v>
      </c>
      <c r="F11" s="26">
        <v>4882.3</v>
      </c>
      <c r="G11" s="26">
        <v>5119.8</v>
      </c>
      <c r="H11" s="26">
        <v>5400.7715728073681</v>
      </c>
      <c r="I11" s="26">
        <v>5595.2052591406009</v>
      </c>
      <c r="J11" s="26">
        <v>6150</v>
      </c>
    </row>
    <row r="12" spans="1:11" x14ac:dyDescent="0.2">
      <c r="A12" s="23">
        <v>4</v>
      </c>
      <c r="C12" s="1" t="s">
        <v>3</v>
      </c>
      <c r="E12" s="26">
        <f t="shared" ref="E12:J12" si="0">SUM(E9:E11)</f>
        <v>13139</v>
      </c>
      <c r="F12" s="24">
        <f t="shared" si="0"/>
        <v>13561.900000000001</v>
      </c>
      <c r="G12" s="24">
        <f t="shared" si="0"/>
        <v>14221.599999999999</v>
      </c>
      <c r="H12" s="24">
        <f t="shared" si="0"/>
        <v>15002.143257798245</v>
      </c>
      <c r="I12" s="24">
        <f t="shared" si="0"/>
        <v>15542.236830946113</v>
      </c>
      <c r="J12" s="24">
        <f t="shared" si="0"/>
        <v>16184.300000000001</v>
      </c>
    </row>
    <row r="14" spans="1:11" ht="12.95" customHeight="1" x14ac:dyDescent="0.2">
      <c r="C14" s="12" t="s">
        <v>27</v>
      </c>
      <c r="E14" s="23"/>
    </row>
    <row r="15" spans="1:11" x14ac:dyDescent="0.2">
      <c r="A15" s="23">
        <v>5</v>
      </c>
      <c r="C15" s="1" t="s">
        <v>4</v>
      </c>
      <c r="E15" s="27">
        <v>60.9</v>
      </c>
      <c r="F15" s="27">
        <v>63.18</v>
      </c>
      <c r="G15" s="27">
        <v>59.81</v>
      </c>
      <c r="H15" s="27">
        <v>60.52</v>
      </c>
      <c r="I15" s="27">
        <v>61.95</v>
      </c>
      <c r="J15" s="27">
        <v>61.96</v>
      </c>
    </row>
    <row r="16" spans="1:11" x14ac:dyDescent="0.2">
      <c r="A16" s="23">
        <v>6</v>
      </c>
      <c r="C16" s="1" t="s">
        <v>1</v>
      </c>
      <c r="E16" s="27">
        <v>3.1</v>
      </c>
      <c r="F16" s="27">
        <v>0.82</v>
      </c>
      <c r="G16" s="27">
        <v>4.1900000000000004</v>
      </c>
      <c r="H16" s="27">
        <v>3.48</v>
      </c>
      <c r="I16" s="27">
        <v>2.0499999999999998</v>
      </c>
      <c r="J16" s="27">
        <v>0.04</v>
      </c>
    </row>
    <row r="17" spans="1:10" x14ac:dyDescent="0.2">
      <c r="A17" s="23">
        <v>7</v>
      </c>
      <c r="C17" s="1" t="s">
        <v>2</v>
      </c>
      <c r="E17" s="10">
        <v>36</v>
      </c>
      <c r="F17" s="10">
        <v>36</v>
      </c>
      <c r="G17" s="10">
        <v>36</v>
      </c>
      <c r="H17" s="10">
        <v>36</v>
      </c>
      <c r="I17" s="10">
        <v>35.999974581225693</v>
      </c>
      <c r="J17" s="10">
        <v>37.999927655931607</v>
      </c>
    </row>
    <row r="18" spans="1:10" x14ac:dyDescent="0.2">
      <c r="A18" s="23">
        <v>8</v>
      </c>
      <c r="C18" s="1" t="s">
        <v>3</v>
      </c>
      <c r="E18" s="33">
        <f t="shared" ref="E18:J18" si="1">SUM(E15:E17)</f>
        <v>100</v>
      </c>
      <c r="F18" s="33">
        <f t="shared" si="1"/>
        <v>100</v>
      </c>
      <c r="G18" s="33">
        <f t="shared" si="1"/>
        <v>100</v>
      </c>
      <c r="H18" s="33">
        <f t="shared" si="1"/>
        <v>100</v>
      </c>
      <c r="I18" s="33">
        <f t="shared" si="1"/>
        <v>99.9999745812257</v>
      </c>
      <c r="J18" s="33">
        <f t="shared" si="1"/>
        <v>99.9999276559316</v>
      </c>
    </row>
    <row r="20" spans="1:10" ht="12.95" customHeight="1" x14ac:dyDescent="0.2">
      <c r="C20" s="12" t="s">
        <v>28</v>
      </c>
      <c r="E20" s="23"/>
    </row>
    <row r="21" spans="1:10" x14ac:dyDescent="0.2">
      <c r="A21" s="23">
        <v>9</v>
      </c>
      <c r="C21" s="1" t="s">
        <v>4</v>
      </c>
      <c r="E21" s="25">
        <v>4.45</v>
      </c>
      <c r="F21" s="27">
        <v>4.38</v>
      </c>
      <c r="G21" s="27">
        <v>4.37</v>
      </c>
      <c r="H21" s="27">
        <v>4.24</v>
      </c>
      <c r="I21" s="27">
        <v>4.18</v>
      </c>
      <c r="J21" s="27">
        <v>4.1678774142306425</v>
      </c>
    </row>
    <row r="22" spans="1:10" x14ac:dyDescent="0.2">
      <c r="A22" s="23">
        <v>10</v>
      </c>
      <c r="C22" s="1" t="s">
        <v>1</v>
      </c>
      <c r="E22" s="25">
        <v>2.04</v>
      </c>
      <c r="F22" s="27">
        <v>0.94</v>
      </c>
      <c r="G22" s="27">
        <v>0.31</v>
      </c>
      <c r="H22" s="27">
        <v>2.4</v>
      </c>
      <c r="I22" s="27">
        <v>3</v>
      </c>
      <c r="J22" s="27">
        <v>3</v>
      </c>
    </row>
    <row r="23" spans="1:10" x14ac:dyDescent="0.2">
      <c r="A23" s="23">
        <v>11</v>
      </c>
      <c r="C23" s="1" t="s">
        <v>2</v>
      </c>
      <c r="E23" s="25">
        <v>8.98</v>
      </c>
      <c r="F23" s="25">
        <v>8.52</v>
      </c>
      <c r="G23" s="25">
        <v>8.34</v>
      </c>
      <c r="H23" s="25">
        <v>8.66</v>
      </c>
      <c r="I23" s="25">
        <v>8.66</v>
      </c>
      <c r="J23" s="25">
        <v>8.66</v>
      </c>
    </row>
    <row r="25" spans="1:10" ht="12.95" customHeight="1" x14ac:dyDescent="0.2">
      <c r="C25" s="12" t="s">
        <v>58</v>
      </c>
      <c r="E25" s="23"/>
    </row>
    <row r="26" spans="1:10" x14ac:dyDescent="0.2">
      <c r="A26" s="23">
        <v>12</v>
      </c>
      <c r="C26" s="1" t="s">
        <v>4</v>
      </c>
      <c r="E26" s="9">
        <v>356.089</v>
      </c>
      <c r="F26" s="9">
        <v>375.30029999999999</v>
      </c>
      <c r="G26" s="9">
        <v>371.2824253739891</v>
      </c>
      <c r="H26" s="9">
        <v>384.97374877732028</v>
      </c>
      <c r="I26" s="9">
        <v>402.48197454760202</v>
      </c>
      <c r="J26" s="9">
        <v>417.95846341030119</v>
      </c>
    </row>
    <row r="27" spans="1:10" x14ac:dyDescent="0.2">
      <c r="A27" s="23">
        <v>13</v>
      </c>
      <c r="C27" s="1" t="s">
        <v>1</v>
      </c>
      <c r="E27" s="9">
        <v>8.3027999999999995</v>
      </c>
      <c r="F27" s="9">
        <v>1.0443399999999998</v>
      </c>
      <c r="G27" s="9">
        <v>1.8785673286984506</v>
      </c>
      <c r="H27" s="9">
        <v>12.523251320543189</v>
      </c>
      <c r="I27" s="9">
        <v>9.54828599559929</v>
      </c>
      <c r="J27" s="9">
        <v>0.18502561399300249</v>
      </c>
    </row>
    <row r="28" spans="1:10" x14ac:dyDescent="0.2">
      <c r="A28" s="23">
        <v>14</v>
      </c>
      <c r="C28" s="1" t="s">
        <v>2</v>
      </c>
      <c r="E28" s="9">
        <v>424.75400000000002</v>
      </c>
      <c r="F28" s="9">
        <v>415.97195999999997</v>
      </c>
      <c r="G28" s="9">
        <v>426.98970943343477</v>
      </c>
      <c r="H28" s="9">
        <v>467.70681820511811</v>
      </c>
      <c r="I28" s="9">
        <v>484.54477544157606</v>
      </c>
      <c r="J28" s="9">
        <v>532.59245003833939</v>
      </c>
    </row>
    <row r="29" spans="1:10" x14ac:dyDescent="0.2">
      <c r="A29" s="23">
        <v>15</v>
      </c>
      <c r="C29" s="1" t="s">
        <v>3</v>
      </c>
      <c r="E29" s="24">
        <f t="shared" ref="E29:J29" si="2">SUM(E26:E28)</f>
        <v>789.14580000000001</v>
      </c>
      <c r="F29" s="24">
        <f t="shared" si="2"/>
        <v>792.31659999999988</v>
      </c>
      <c r="G29" s="24">
        <f t="shared" si="2"/>
        <v>800.15070213612239</v>
      </c>
      <c r="H29" s="24">
        <f t="shared" si="2"/>
        <v>865.20381830298152</v>
      </c>
      <c r="I29" s="24">
        <f t="shared" si="2"/>
        <v>896.5750359847774</v>
      </c>
      <c r="J29" s="24">
        <f t="shared" si="2"/>
        <v>950.73593906263363</v>
      </c>
    </row>
  </sheetData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E310-381B-4228-B23A-3E3F833A39AF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F964-BC68-401D-8997-74DE6B628059}">
  <sheetPr>
    <pageSetUpPr fitToPage="1"/>
  </sheetPr>
  <dimension ref="A1:J37"/>
  <sheetViews>
    <sheetView zoomScaleNormal="100" workbookViewId="0">
      <selection activeCell="A3" sqref="A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7" width="10.140625" style="1" customWidth="1"/>
    <col min="8" max="8" width="10.85546875" style="30" customWidth="1"/>
    <col min="9" max="16384" width="101.140625" style="1"/>
  </cols>
  <sheetData>
    <row r="1" spans="1:8" s="28" customFormat="1" x14ac:dyDescent="0.2">
      <c r="A1" s="62" t="s">
        <v>5</v>
      </c>
      <c r="B1" s="62"/>
      <c r="C1" s="62"/>
      <c r="D1" s="62"/>
      <c r="E1" s="62"/>
      <c r="F1" s="62"/>
      <c r="G1" s="62"/>
      <c r="H1" s="62"/>
    </row>
    <row r="2" spans="1:8" s="28" customFormat="1" x14ac:dyDescent="0.2">
      <c r="A2" s="62" t="s">
        <v>32</v>
      </c>
      <c r="B2" s="62"/>
      <c r="C2" s="62"/>
      <c r="D2" s="62"/>
      <c r="E2" s="62"/>
      <c r="F2" s="62"/>
      <c r="G2" s="62"/>
      <c r="H2" s="62"/>
    </row>
    <row r="4" spans="1:8" s="4" customFormat="1" x14ac:dyDescent="0.2">
      <c r="E4" s="29"/>
      <c r="F4" s="29"/>
      <c r="G4" s="29"/>
      <c r="H4" s="29"/>
    </row>
    <row r="5" spans="1:8" s="4" customFormat="1" x14ac:dyDescent="0.2">
      <c r="E5" s="29">
        <v>2013</v>
      </c>
      <c r="F5" s="29">
        <v>2013</v>
      </c>
      <c r="G5" s="29">
        <v>2013</v>
      </c>
      <c r="H5" s="29">
        <v>2024</v>
      </c>
    </row>
    <row r="6" spans="1:8" s="6" customFormat="1" ht="38.25" x14ac:dyDescent="0.2">
      <c r="A6" s="5" t="s">
        <v>73</v>
      </c>
      <c r="C6" s="7" t="s">
        <v>0</v>
      </c>
      <c r="E6" s="5" t="s">
        <v>45</v>
      </c>
      <c r="F6" s="5" t="s">
        <v>46</v>
      </c>
      <c r="G6" s="5" t="s">
        <v>47</v>
      </c>
      <c r="H6" s="5" t="s">
        <v>48</v>
      </c>
    </row>
    <row r="7" spans="1:8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  <c r="H7" s="8" t="s">
        <v>41</v>
      </c>
    </row>
    <row r="8" spans="1:8" s="6" customFormat="1" ht="12.95" customHeight="1" x14ac:dyDescent="0.2">
      <c r="A8" s="8"/>
      <c r="E8" s="34"/>
      <c r="F8" s="34"/>
      <c r="G8" s="34"/>
      <c r="H8" s="8"/>
    </row>
    <row r="9" spans="1:8" ht="12.95" customHeight="1" x14ac:dyDescent="0.2">
      <c r="C9" s="12" t="s">
        <v>57</v>
      </c>
      <c r="E9" s="30"/>
      <c r="F9" s="30"/>
      <c r="G9" s="30"/>
    </row>
    <row r="10" spans="1:8" x14ac:dyDescent="0.2">
      <c r="A10" s="30">
        <v>1</v>
      </c>
      <c r="C10" s="1" t="s">
        <v>4</v>
      </c>
      <c r="E10" s="9">
        <f>'5.1.1 Table 1'!E8</f>
        <v>2507</v>
      </c>
      <c r="F10" s="9">
        <f>'5.1.1 Table 2'!E8</f>
        <v>2289.1</v>
      </c>
      <c r="G10" s="9">
        <f>E10+F10</f>
        <v>4796.1000000000004</v>
      </c>
      <c r="H10" s="15">
        <v>10028.1</v>
      </c>
    </row>
    <row r="11" spans="1:8" x14ac:dyDescent="0.2">
      <c r="A11" s="30">
        <v>2</v>
      </c>
      <c r="C11" s="1" t="s">
        <v>1</v>
      </c>
      <c r="E11" s="9">
        <f>'5.1.1 Table 1'!E9</f>
        <v>56.7</v>
      </c>
      <c r="F11" s="9">
        <f>'5.1.1 Table 2'!E9</f>
        <v>-1.3</v>
      </c>
      <c r="G11" s="9">
        <f t="shared" ref="G11:G13" si="0">E11+F11</f>
        <v>55.400000000000006</v>
      </c>
      <c r="H11" s="15">
        <v>6.2</v>
      </c>
    </row>
    <row r="12" spans="1:8" x14ac:dyDescent="0.2">
      <c r="A12" s="30">
        <v>3</v>
      </c>
      <c r="C12" s="1" t="s">
        <v>53</v>
      </c>
      <c r="E12" s="9">
        <f>'5.1.1 Table 1'!E10</f>
        <v>100</v>
      </c>
      <c r="F12" s="9">
        <f>'5.1.1 Table 2'!E10</f>
        <v>102.3</v>
      </c>
      <c r="G12" s="9">
        <f t="shared" si="0"/>
        <v>202.3</v>
      </c>
      <c r="H12" s="15">
        <v>0</v>
      </c>
    </row>
    <row r="13" spans="1:8" x14ac:dyDescent="0.2">
      <c r="A13" s="30">
        <v>4</v>
      </c>
      <c r="C13" s="1" t="s">
        <v>2</v>
      </c>
      <c r="E13" s="9">
        <f>'5.1.1 Table 1'!E11</f>
        <v>1498.3</v>
      </c>
      <c r="F13" s="9">
        <f>'5.1.1 Table 2'!E11</f>
        <v>1344.4</v>
      </c>
      <c r="G13" s="9">
        <f t="shared" si="0"/>
        <v>2842.7</v>
      </c>
      <c r="H13" s="26">
        <v>6150</v>
      </c>
    </row>
    <row r="14" spans="1:8" x14ac:dyDescent="0.2">
      <c r="A14" s="30">
        <v>5</v>
      </c>
      <c r="C14" s="1" t="s">
        <v>3</v>
      </c>
      <c r="E14" s="24">
        <f>SUM(E10:E13)</f>
        <v>4162</v>
      </c>
      <c r="F14" s="24">
        <f>SUM(F10:F13)</f>
        <v>3734.5</v>
      </c>
      <c r="G14" s="24">
        <f>SUM(G10:G13)</f>
        <v>7896.5</v>
      </c>
      <c r="H14" s="24">
        <f>SUM(H10:H13)</f>
        <v>16184.300000000001</v>
      </c>
    </row>
    <row r="16" spans="1:8" ht="12.95" customHeight="1" x14ac:dyDescent="0.2">
      <c r="C16" s="12" t="s">
        <v>27</v>
      </c>
      <c r="E16" s="60"/>
      <c r="F16" s="60"/>
      <c r="G16" s="60"/>
      <c r="H16" s="60"/>
    </row>
    <row r="17" spans="1:8" x14ac:dyDescent="0.2">
      <c r="A17" s="30">
        <v>6</v>
      </c>
      <c r="C17" s="1" t="s">
        <v>4</v>
      </c>
      <c r="E17" s="31">
        <f>'5.1.1 Table 1'!E15</f>
        <v>60.24</v>
      </c>
      <c r="F17" s="31">
        <f>'5.1.1 Table 2'!E15</f>
        <v>61.3</v>
      </c>
      <c r="G17" s="31">
        <f>G10/G14*100</f>
        <v>60.737035395428364</v>
      </c>
      <c r="H17" s="27">
        <v>61.96</v>
      </c>
    </row>
    <row r="18" spans="1:8" x14ac:dyDescent="0.2">
      <c r="A18" s="30">
        <v>7</v>
      </c>
      <c r="C18" s="1" t="s">
        <v>1</v>
      </c>
      <c r="E18" s="31">
        <f>'5.1.1 Table 1'!E16</f>
        <v>1.36</v>
      </c>
      <c r="F18" s="31">
        <f>'5.1.1 Table 2'!E16</f>
        <v>-0.03</v>
      </c>
      <c r="G18" s="31">
        <f>G11/G14*100</f>
        <v>0.70157664788197305</v>
      </c>
      <c r="H18" s="27">
        <v>0.04</v>
      </c>
    </row>
    <row r="19" spans="1:8" x14ac:dyDescent="0.2">
      <c r="A19" s="30">
        <v>8</v>
      </c>
      <c r="C19" s="1" t="s">
        <v>53</v>
      </c>
      <c r="E19" s="31">
        <f>'5.1.1 Table 1'!E17</f>
        <v>2.4</v>
      </c>
      <c r="F19" s="31">
        <f>'5.1.1 Table 2'!E17</f>
        <v>2.74</v>
      </c>
      <c r="G19" s="31">
        <f>G12/G14*100</f>
        <v>2.5618945102260495</v>
      </c>
      <c r="H19" s="27">
        <v>0</v>
      </c>
    </row>
    <row r="20" spans="1:8" x14ac:dyDescent="0.2">
      <c r="A20" s="30">
        <v>9</v>
      </c>
      <c r="C20" s="1" t="s">
        <v>2</v>
      </c>
      <c r="E20" s="31">
        <f>'5.1.1 Table 1'!E18</f>
        <v>36</v>
      </c>
      <c r="F20" s="31">
        <f>'5.1.1 Table 2'!E18</f>
        <v>36</v>
      </c>
      <c r="G20" s="31">
        <f>G13/G14*100</f>
        <v>35.999493446463617</v>
      </c>
      <c r="H20" s="10">
        <v>37.999927655931607</v>
      </c>
    </row>
    <row r="21" spans="1:8" x14ac:dyDescent="0.2">
      <c r="A21" s="30">
        <v>10</v>
      </c>
      <c r="C21" s="1" t="s">
        <v>3</v>
      </c>
      <c r="E21" s="32">
        <f>SUM(E17:E20)</f>
        <v>100</v>
      </c>
      <c r="F21" s="32">
        <f>'5.1.1 Table 2'!E19</f>
        <v>99.999999999999986</v>
      </c>
      <c r="G21" s="32">
        <f>SUM(G17:G20)</f>
        <v>100</v>
      </c>
      <c r="H21" s="33">
        <f>SUM(H17:H20)</f>
        <v>99.9999276559316</v>
      </c>
    </row>
    <row r="23" spans="1:8" ht="12.95" customHeight="1" x14ac:dyDescent="0.2">
      <c r="C23" s="12" t="s">
        <v>28</v>
      </c>
      <c r="E23" s="60"/>
      <c r="F23" s="60"/>
      <c r="G23" s="60"/>
      <c r="H23" s="60"/>
    </row>
    <row r="24" spans="1:8" x14ac:dyDescent="0.2">
      <c r="A24" s="30">
        <v>11</v>
      </c>
      <c r="C24" s="1" t="s">
        <v>4</v>
      </c>
      <c r="E24" s="31">
        <f>'5.1.1 Table 1'!E22</f>
        <v>5.79</v>
      </c>
      <c r="F24" s="31">
        <f>'5.1.1 Table 2'!E22</f>
        <v>6.53</v>
      </c>
      <c r="G24" s="31">
        <f>G30/G10*100</f>
        <v>6.1436437939158903</v>
      </c>
      <c r="H24" s="27">
        <v>4.1678774142306425</v>
      </c>
    </row>
    <row r="25" spans="1:8" x14ac:dyDescent="0.2">
      <c r="A25" s="30">
        <v>12</v>
      </c>
      <c r="C25" s="1" t="s">
        <v>1</v>
      </c>
      <c r="E25" s="31">
        <f>'5.1.1 Table 1'!E23</f>
        <v>2</v>
      </c>
      <c r="F25" s="31">
        <f>'5.1.1 Table 2'!E23</f>
        <v>1.31</v>
      </c>
      <c r="G25" s="31">
        <f>G31/G11*100</f>
        <v>2.0469314079422385</v>
      </c>
      <c r="H25" s="27">
        <v>3</v>
      </c>
    </row>
    <row r="26" spans="1:8" x14ac:dyDescent="0.2">
      <c r="A26" s="30">
        <v>13</v>
      </c>
      <c r="C26" s="1" t="s">
        <v>53</v>
      </c>
      <c r="E26" s="31">
        <f>'5.1.1 Table 1'!E24</f>
        <v>3.2</v>
      </c>
      <c r="F26" s="31">
        <f>'5.1.1 Table 2'!E24</f>
        <v>3.05</v>
      </c>
      <c r="G26" s="31">
        <f>G32/G12*100</f>
        <v>3.1141868512110729</v>
      </c>
      <c r="H26" s="27">
        <v>0</v>
      </c>
    </row>
    <row r="27" spans="1:8" x14ac:dyDescent="0.2">
      <c r="A27" s="30">
        <v>14</v>
      </c>
      <c r="C27" s="1" t="s">
        <v>2</v>
      </c>
      <c r="E27" s="31">
        <f>'5.1.1 Table 1'!E25</f>
        <v>8.9207999999999998</v>
      </c>
      <c r="F27" s="31">
        <f>'5.1.1 Table 2'!E25</f>
        <v>8.93</v>
      </c>
      <c r="G27" s="31">
        <f>G33/G13*100</f>
        <v>8.9232189960249073</v>
      </c>
      <c r="H27" s="25">
        <v>8.66</v>
      </c>
    </row>
    <row r="29" spans="1:8" ht="12.95" customHeight="1" x14ac:dyDescent="0.2">
      <c r="C29" s="12" t="s">
        <v>58</v>
      </c>
      <c r="E29" s="60"/>
      <c r="F29" s="60"/>
      <c r="G29" s="60"/>
      <c r="H29" s="60"/>
    </row>
    <row r="30" spans="1:8" x14ac:dyDescent="0.2">
      <c r="A30" s="30">
        <v>15</v>
      </c>
      <c r="C30" s="1" t="s">
        <v>4</v>
      </c>
      <c r="E30" s="9">
        <f>'5.1.1 Table 1'!E28</f>
        <v>145.15530000000001</v>
      </c>
      <c r="F30" s="9">
        <f>'5.1.1 Table 2'!E28</f>
        <v>149.5</v>
      </c>
      <c r="G30" s="9">
        <f>E30+F30</f>
        <v>294.65530000000001</v>
      </c>
      <c r="H30" s="9">
        <v>417.95846341030119</v>
      </c>
    </row>
    <row r="31" spans="1:8" x14ac:dyDescent="0.2">
      <c r="A31" s="30">
        <v>16</v>
      </c>
      <c r="C31" s="1" t="s">
        <v>1</v>
      </c>
      <c r="E31" s="9">
        <f>'5.1.1 Table 1'!E29</f>
        <v>1.1340000000000001</v>
      </c>
      <c r="F31" s="9">
        <f>'5.1.1 Table 2'!E29</f>
        <v>0</v>
      </c>
      <c r="G31" s="9">
        <f t="shared" ref="G31:G33" si="1">E31+F31</f>
        <v>1.1340000000000001</v>
      </c>
      <c r="H31" s="9">
        <v>0.18502561399300249</v>
      </c>
    </row>
    <row r="32" spans="1:8" x14ac:dyDescent="0.2">
      <c r="A32" s="30">
        <v>17</v>
      </c>
      <c r="C32" s="1" t="s">
        <v>53</v>
      </c>
      <c r="E32" s="9">
        <f>'5.1.1 Table 1'!E30</f>
        <v>3.2</v>
      </c>
      <c r="F32" s="9">
        <f>'5.1.1 Table 2'!E30</f>
        <v>3.1</v>
      </c>
      <c r="G32" s="9">
        <f t="shared" si="1"/>
        <v>6.3000000000000007</v>
      </c>
      <c r="H32" s="9">
        <v>0</v>
      </c>
    </row>
    <row r="33" spans="1:10" x14ac:dyDescent="0.2">
      <c r="A33" s="30">
        <v>18</v>
      </c>
      <c r="C33" s="1" t="s">
        <v>2</v>
      </c>
      <c r="E33" s="9">
        <f>'5.1.1 Table 1'!E31</f>
        <v>133.66034640000001</v>
      </c>
      <c r="F33" s="9">
        <f>'5.1.1 Table 2'!E31</f>
        <v>120</v>
      </c>
      <c r="G33" s="9">
        <f t="shared" si="1"/>
        <v>253.66034640000001</v>
      </c>
      <c r="H33" s="9">
        <v>532.59245003833939</v>
      </c>
    </row>
    <row r="34" spans="1:10" x14ac:dyDescent="0.2">
      <c r="A34" s="30">
        <v>19</v>
      </c>
      <c r="C34" s="1" t="s">
        <v>3</v>
      </c>
      <c r="E34" s="24">
        <f>'5.1.1 Table 1'!E32</f>
        <v>283.24964640000002</v>
      </c>
      <c r="F34" s="24">
        <f>SUM(F30:F33)</f>
        <v>272.60000000000002</v>
      </c>
      <c r="G34" s="24">
        <f>SUM(G30:G33)</f>
        <v>555.74964640000007</v>
      </c>
      <c r="H34" s="24">
        <f>SUM(H30:H33)</f>
        <v>950.73593906263363</v>
      </c>
    </row>
    <row r="35" spans="1:10" x14ac:dyDescent="0.2">
      <c r="A35" s="59"/>
      <c r="E35" s="15"/>
      <c r="F35" s="15"/>
      <c r="G35" s="15"/>
      <c r="H35" s="15"/>
    </row>
    <row r="36" spans="1:10" x14ac:dyDescent="0.2">
      <c r="A36" s="12" t="s">
        <v>80</v>
      </c>
      <c r="E36" s="35"/>
      <c r="F36" s="30"/>
      <c r="G36" s="30"/>
      <c r="I36" s="30"/>
      <c r="J36" s="30"/>
    </row>
    <row r="37" spans="1:10" ht="68.099999999999994" customHeight="1" x14ac:dyDescent="0.2">
      <c r="A37" s="36" t="s">
        <v>54</v>
      </c>
      <c r="B37" s="63" t="s">
        <v>59</v>
      </c>
      <c r="C37" s="63"/>
      <c r="D37" s="63"/>
      <c r="E37" s="63"/>
      <c r="F37" s="63"/>
      <c r="G37" s="63"/>
      <c r="H37" s="63"/>
    </row>
  </sheetData>
  <mergeCells count="3">
    <mergeCell ref="A2:H2"/>
    <mergeCell ref="A1:H1"/>
    <mergeCell ref="B37:H37"/>
  </mergeCells>
  <pageMargins left="0.7" right="0.7" top="0.75" bottom="0.75" header="0.3" footer="0.3"/>
  <pageSetup scale="94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B8DC-56BB-4BF4-BB55-D7300E6CC353}">
  <sheetPr>
    <pageSetUpPr fitToPage="1"/>
  </sheetPr>
  <dimension ref="A1:I13"/>
  <sheetViews>
    <sheetView zoomScaleNormal="100" workbookViewId="0">
      <selection activeCell="I25" sqref="I25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28.140625" style="1" customWidth="1"/>
    <col min="4" max="4" width="1.140625" style="1" customWidth="1"/>
    <col min="5" max="5" width="10.140625" style="1" customWidth="1"/>
    <col min="6" max="7" width="10.85546875" style="16" customWidth="1"/>
    <col min="8" max="9" width="10.5703125" style="16" customWidth="1"/>
    <col min="10" max="16384" width="101.140625" style="1"/>
  </cols>
  <sheetData>
    <row r="1" spans="1:9" s="17" customFormat="1" x14ac:dyDescent="0.2">
      <c r="A1" s="62" t="s">
        <v>7</v>
      </c>
      <c r="B1" s="62"/>
      <c r="C1" s="62"/>
      <c r="D1" s="62"/>
      <c r="E1" s="62"/>
      <c r="F1" s="62"/>
      <c r="G1" s="62"/>
      <c r="H1" s="3"/>
      <c r="I1" s="3"/>
    </row>
    <row r="2" spans="1:9" s="17" customFormat="1" x14ac:dyDescent="0.2">
      <c r="A2" s="62" t="s">
        <v>24</v>
      </c>
      <c r="B2" s="62"/>
      <c r="C2" s="62"/>
      <c r="D2" s="62"/>
      <c r="E2" s="62"/>
      <c r="F2" s="62"/>
      <c r="G2" s="62"/>
      <c r="H2" s="3"/>
      <c r="I2" s="3"/>
    </row>
    <row r="3" spans="1:9" hidden="1" x14ac:dyDescent="0.2"/>
    <row r="4" spans="1:9" s="4" customFormat="1" x14ac:dyDescent="0.2">
      <c r="E4" s="14"/>
      <c r="F4" s="14"/>
      <c r="G4" s="14"/>
      <c r="H4" s="14"/>
      <c r="I4" s="14"/>
    </row>
    <row r="5" spans="1:9" s="4" customFormat="1" x14ac:dyDescent="0.2">
      <c r="E5" s="8" t="s">
        <v>18</v>
      </c>
      <c r="F5" s="8" t="s">
        <v>19</v>
      </c>
      <c r="G5" s="8" t="s">
        <v>20</v>
      </c>
    </row>
    <row r="6" spans="1:9" s="6" customFormat="1" ht="25.5" x14ac:dyDescent="0.2">
      <c r="A6" s="5" t="s">
        <v>73</v>
      </c>
      <c r="C6" s="7" t="s">
        <v>74</v>
      </c>
      <c r="E6" s="5">
        <v>2022</v>
      </c>
      <c r="F6" s="5">
        <v>2023</v>
      </c>
      <c r="G6" s="5">
        <v>2024</v>
      </c>
    </row>
    <row r="7" spans="1:9" s="6" customFormat="1" ht="12.95" customHeight="1" x14ac:dyDescent="0.2">
      <c r="A7" s="8"/>
      <c r="E7" s="34" t="s">
        <v>38</v>
      </c>
      <c r="F7" s="34" t="s">
        <v>39</v>
      </c>
      <c r="G7" s="34" t="s">
        <v>40</v>
      </c>
    </row>
    <row r="8" spans="1:9" ht="12.95" customHeight="1" x14ac:dyDescent="0.2">
      <c r="E8" s="16"/>
      <c r="H8" s="1"/>
      <c r="I8" s="1"/>
    </row>
    <row r="9" spans="1:9" x14ac:dyDescent="0.2">
      <c r="A9" s="16">
        <v>1</v>
      </c>
      <c r="C9" s="1" t="s">
        <v>21</v>
      </c>
      <c r="E9" s="9">
        <v>0.5</v>
      </c>
      <c r="F9" s="9">
        <v>0.5</v>
      </c>
      <c r="G9" s="9">
        <v>0.5</v>
      </c>
      <c r="H9" s="1"/>
      <c r="I9" s="1"/>
    </row>
    <row r="10" spans="1:9" x14ac:dyDescent="0.2">
      <c r="A10" s="16">
        <v>2</v>
      </c>
      <c r="C10" s="1" t="s">
        <v>22</v>
      </c>
      <c r="E10" s="9">
        <v>1.4</v>
      </c>
      <c r="F10" s="9">
        <v>1.5</v>
      </c>
      <c r="G10" s="9">
        <v>1.5</v>
      </c>
      <c r="H10" s="1"/>
      <c r="I10" s="1"/>
    </row>
    <row r="11" spans="1:9" x14ac:dyDescent="0.2">
      <c r="A11" s="16">
        <v>3</v>
      </c>
      <c r="C11" s="1" t="s">
        <v>23</v>
      </c>
      <c r="E11" s="9">
        <v>2</v>
      </c>
      <c r="F11" s="9">
        <v>2</v>
      </c>
      <c r="G11" s="9">
        <v>2</v>
      </c>
      <c r="H11" s="1"/>
      <c r="I11" s="1"/>
    </row>
    <row r="12" spans="1:9" ht="13.5" thickBot="1" x14ac:dyDescent="0.25">
      <c r="A12" s="16">
        <v>4</v>
      </c>
      <c r="C12" s="1" t="s">
        <v>3</v>
      </c>
      <c r="E12" s="11">
        <f>SUM(E9:E11)</f>
        <v>3.9</v>
      </c>
      <c r="F12" s="11">
        <f>SUM(F9:F11)</f>
        <v>4</v>
      </c>
      <c r="G12" s="11">
        <f>SUM(G9:G11)</f>
        <v>4</v>
      </c>
      <c r="H12" s="1"/>
      <c r="I12" s="1"/>
    </row>
    <row r="13" spans="1:9" ht="13.5" thickTop="1" x14ac:dyDescent="0.2"/>
  </sheetData>
  <mergeCells count="2">
    <mergeCell ref="A2:G2"/>
    <mergeCell ref="A1:G1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6EF0-9FE1-47B4-B061-21E6FFD1FB58}">
  <sheetPr>
    <pageSetUpPr fitToPage="1"/>
  </sheetPr>
  <dimension ref="A1:I16"/>
  <sheetViews>
    <sheetView zoomScaleNormal="100" workbookViewId="0">
      <selection activeCell="J23" sqref="J23"/>
    </sheetView>
  </sheetViews>
  <sheetFormatPr defaultColWidth="101.140625" defaultRowHeight="12.75" x14ac:dyDescent="0.2"/>
  <cols>
    <col min="1" max="1" width="5.85546875" style="1" bestFit="1" customWidth="1"/>
    <col min="2" max="2" width="1.140625" style="1" customWidth="1"/>
    <col min="3" max="3" width="8.5703125" style="16" customWidth="1"/>
    <col min="4" max="4" width="9.85546875" style="16" customWidth="1"/>
    <col min="5" max="5" width="1.140625" style="1" customWidth="1"/>
    <col min="6" max="6" width="34.5703125" style="1" bestFit="1" customWidth="1"/>
    <col min="7" max="7" width="6.5703125" style="1" bestFit="1" customWidth="1"/>
    <col min="8" max="8" width="11.85546875" style="1" customWidth="1"/>
    <col min="9" max="9" width="11.5703125" style="1" customWidth="1"/>
    <col min="10" max="16384" width="101.140625" style="1"/>
  </cols>
  <sheetData>
    <row r="1" spans="1:9" s="17" customFormat="1" x14ac:dyDescent="0.2">
      <c r="A1" s="62" t="s">
        <v>8</v>
      </c>
      <c r="B1" s="62"/>
      <c r="C1" s="62"/>
      <c r="D1" s="62"/>
      <c r="E1" s="62"/>
      <c r="F1" s="62"/>
      <c r="G1" s="62"/>
      <c r="H1" s="62"/>
      <c r="I1" s="62"/>
    </row>
    <row r="2" spans="1:9" s="17" customFormat="1" x14ac:dyDescent="0.2">
      <c r="A2" s="62" t="s">
        <v>10</v>
      </c>
      <c r="B2" s="62"/>
      <c r="C2" s="62"/>
      <c r="D2" s="62"/>
      <c r="E2" s="62"/>
      <c r="F2" s="62"/>
      <c r="G2" s="62"/>
      <c r="H2" s="62"/>
      <c r="I2" s="62"/>
    </row>
    <row r="4" spans="1:9" s="6" customFormat="1" ht="38.25" x14ac:dyDescent="0.2">
      <c r="A4" s="5" t="s">
        <v>73</v>
      </c>
      <c r="C4" s="5" t="s">
        <v>9</v>
      </c>
      <c r="D4" s="5" t="s">
        <v>52</v>
      </c>
      <c r="F4" s="5" t="s">
        <v>0</v>
      </c>
      <c r="G4" s="5" t="s">
        <v>50</v>
      </c>
      <c r="H4" s="5" t="s">
        <v>13</v>
      </c>
      <c r="I4" s="5" t="s">
        <v>51</v>
      </c>
    </row>
    <row r="5" spans="1:9" s="6" customFormat="1" ht="12.95" customHeight="1" x14ac:dyDescent="0.2">
      <c r="A5" s="8"/>
      <c r="C5" s="34" t="s">
        <v>38</v>
      </c>
      <c r="D5" s="34" t="s">
        <v>39</v>
      </c>
      <c r="F5" s="34" t="s">
        <v>40</v>
      </c>
      <c r="G5" s="34" t="s">
        <v>41</v>
      </c>
      <c r="H5" s="34" t="s">
        <v>42</v>
      </c>
      <c r="I5" s="34" t="s">
        <v>43</v>
      </c>
    </row>
    <row r="6" spans="1:9" ht="12.95" customHeight="1" x14ac:dyDescent="0.2">
      <c r="F6" s="16"/>
      <c r="G6" s="16"/>
      <c r="H6" s="16"/>
      <c r="I6" s="16"/>
    </row>
    <row r="7" spans="1:9" x14ac:dyDescent="0.2">
      <c r="A7" s="16">
        <v>1</v>
      </c>
      <c r="C7" s="16">
        <v>2022</v>
      </c>
      <c r="D7" s="16" t="s">
        <v>11</v>
      </c>
      <c r="F7" s="9" t="s">
        <v>12</v>
      </c>
      <c r="G7" s="20">
        <v>16</v>
      </c>
      <c r="H7" s="19">
        <v>4.8500000000000001E-2</v>
      </c>
      <c r="I7" s="9">
        <v>-125</v>
      </c>
    </row>
    <row r="8" spans="1:9" x14ac:dyDescent="0.2">
      <c r="A8" s="16">
        <v>2</v>
      </c>
      <c r="C8" s="16">
        <v>2022</v>
      </c>
      <c r="D8" s="16" t="s">
        <v>14</v>
      </c>
      <c r="F8" s="9" t="s">
        <v>33</v>
      </c>
      <c r="G8" s="20">
        <v>10</v>
      </c>
      <c r="H8" s="19">
        <v>0.04</v>
      </c>
      <c r="I8" s="9">
        <v>650</v>
      </c>
    </row>
    <row r="9" spans="1:9" x14ac:dyDescent="0.2">
      <c r="A9" s="16">
        <v>3</v>
      </c>
      <c r="C9" s="16">
        <v>2023</v>
      </c>
      <c r="D9" s="16" t="s">
        <v>14</v>
      </c>
      <c r="F9" s="9" t="s">
        <v>34</v>
      </c>
      <c r="G9" s="20">
        <v>10</v>
      </c>
      <c r="H9" s="19">
        <v>4.2000000000000003E-2</v>
      </c>
      <c r="I9" s="9">
        <v>450</v>
      </c>
    </row>
    <row r="10" spans="1:9" x14ac:dyDescent="0.2">
      <c r="A10" s="16">
        <v>4</v>
      </c>
      <c r="C10" s="16">
        <v>2023</v>
      </c>
      <c r="D10" s="16" t="s">
        <v>14</v>
      </c>
      <c r="F10" s="9" t="s">
        <v>35</v>
      </c>
      <c r="G10" s="20">
        <v>30</v>
      </c>
      <c r="H10" s="19">
        <v>4.5999999999999999E-2</v>
      </c>
      <c r="I10" s="9">
        <v>450</v>
      </c>
    </row>
    <row r="11" spans="1:9" x14ac:dyDescent="0.2">
      <c r="A11" s="16">
        <v>5</v>
      </c>
      <c r="C11" s="16">
        <v>2023</v>
      </c>
      <c r="D11" s="16" t="s">
        <v>14</v>
      </c>
      <c r="F11" s="9" t="s">
        <v>15</v>
      </c>
      <c r="G11" s="20">
        <v>10</v>
      </c>
      <c r="H11" s="19">
        <v>6.0499999999999998E-2</v>
      </c>
      <c r="I11" s="9">
        <v>-100</v>
      </c>
    </row>
    <row r="12" spans="1:9" x14ac:dyDescent="0.2">
      <c r="A12" s="16">
        <v>6</v>
      </c>
      <c r="C12" s="16">
        <v>2023</v>
      </c>
      <c r="D12" s="16" t="s">
        <v>14</v>
      </c>
      <c r="F12" s="9" t="s">
        <v>15</v>
      </c>
      <c r="G12" s="20">
        <v>25</v>
      </c>
      <c r="H12" s="19">
        <v>3.7900000000000003E-2</v>
      </c>
      <c r="I12" s="9">
        <v>-250</v>
      </c>
    </row>
    <row r="13" spans="1:9" x14ac:dyDescent="0.2">
      <c r="A13" s="16">
        <v>7</v>
      </c>
      <c r="C13" s="16">
        <v>2024</v>
      </c>
      <c r="D13" s="16" t="s">
        <v>16</v>
      </c>
      <c r="F13" s="9" t="s">
        <v>60</v>
      </c>
      <c r="G13" s="20">
        <v>10</v>
      </c>
      <c r="H13" s="19">
        <v>3.15E-2</v>
      </c>
      <c r="I13" s="9">
        <v>-215</v>
      </c>
    </row>
    <row r="14" spans="1:9" x14ac:dyDescent="0.2">
      <c r="A14" s="16">
        <v>8</v>
      </c>
      <c r="C14" s="16">
        <v>2024</v>
      </c>
      <c r="D14" s="16" t="s">
        <v>17</v>
      </c>
      <c r="F14" s="9" t="s">
        <v>61</v>
      </c>
      <c r="G14" s="20">
        <v>30</v>
      </c>
      <c r="H14" s="19">
        <v>9.8500000000000004E-2</v>
      </c>
      <c r="I14" s="9">
        <v>-85</v>
      </c>
    </row>
    <row r="15" spans="1:9" x14ac:dyDescent="0.2">
      <c r="A15" s="16">
        <v>9</v>
      </c>
      <c r="C15" s="30">
        <v>2024</v>
      </c>
      <c r="D15" s="16" t="s">
        <v>14</v>
      </c>
      <c r="F15" s="9" t="s">
        <v>36</v>
      </c>
      <c r="G15" s="20">
        <v>10</v>
      </c>
      <c r="H15" s="19">
        <v>0.04</v>
      </c>
      <c r="I15" s="37">
        <v>200</v>
      </c>
    </row>
    <row r="16" spans="1:9" x14ac:dyDescent="0.2">
      <c r="A16" s="16">
        <v>10</v>
      </c>
      <c r="C16" s="30">
        <v>2024</v>
      </c>
      <c r="D16" s="30" t="s">
        <v>14</v>
      </c>
      <c r="F16" s="9" t="s">
        <v>37</v>
      </c>
      <c r="G16" s="20">
        <v>30</v>
      </c>
      <c r="H16" s="19">
        <v>4.4999999999999998E-2</v>
      </c>
      <c r="I16" s="38">
        <v>200</v>
      </c>
    </row>
  </sheetData>
  <mergeCells count="2">
    <mergeCell ref="A1:I1"/>
    <mergeCell ref="A2:I2"/>
  </mergeCells>
  <phoneticPr fontId="4" type="noConversion"/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D24-4FFB-4B91-AE92-1CEF14A24ABC}">
  <sheetPr>
    <pageSetUpPr fitToPage="1"/>
  </sheetPr>
  <dimension ref="A1:K10"/>
  <sheetViews>
    <sheetView zoomScaleNormal="100" zoomScalePageLayoutView="60" workbookViewId="0">
      <selection activeCell="M6" sqref="M6"/>
    </sheetView>
  </sheetViews>
  <sheetFormatPr defaultColWidth="9.140625" defaultRowHeight="12.75" x14ac:dyDescent="0.2"/>
  <cols>
    <col min="1" max="1" width="4.7109375" style="1" customWidth="1"/>
    <col min="2" max="2" width="1.7109375" style="1" customWidth="1"/>
    <col min="3" max="3" width="28.140625" style="1" customWidth="1"/>
    <col min="4" max="4" width="1.7109375" style="1" customWidth="1"/>
    <col min="5" max="5" width="9.140625" style="1"/>
    <col min="6" max="11" width="9.140625" style="18"/>
    <col min="12" max="16384" width="9.140625" style="1"/>
  </cols>
  <sheetData>
    <row r="1" spans="1:10" x14ac:dyDescent="0.2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">
      <c r="A2" s="70" t="s">
        <v>81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5" x14ac:dyDescent="0.25">
      <c r="A3" s="66"/>
      <c r="B3" s="66"/>
      <c r="C3" s="66"/>
      <c r="D3" s="66"/>
      <c r="E3" s="66"/>
      <c r="F3" s="66"/>
      <c r="G3" s="66"/>
      <c r="H3" s="66"/>
      <c r="I3" s="66"/>
      <c r="J3" s="67"/>
    </row>
    <row r="4" spans="1:10" ht="26.25" x14ac:dyDescent="0.25">
      <c r="A4" s="72" t="s">
        <v>73</v>
      </c>
      <c r="B4" s="66"/>
      <c r="C4" s="73" t="s">
        <v>82</v>
      </c>
      <c r="D4" s="66"/>
      <c r="E4" s="72">
        <v>2024</v>
      </c>
      <c r="F4" s="72">
        <v>2025</v>
      </c>
      <c r="G4" s="72">
        <v>2026</v>
      </c>
      <c r="H4" s="72">
        <v>2027</v>
      </c>
      <c r="I4" s="72">
        <v>2028</v>
      </c>
      <c r="J4" s="67"/>
    </row>
    <row r="5" spans="1:10" ht="15" x14ac:dyDescent="0.25">
      <c r="A5" s="66"/>
      <c r="B5" s="66"/>
      <c r="C5" s="66"/>
      <c r="D5" s="66"/>
      <c r="E5" s="68" t="s">
        <v>38</v>
      </c>
      <c r="F5" s="68" t="s">
        <v>39</v>
      </c>
      <c r="G5" s="68" t="s">
        <v>40</v>
      </c>
      <c r="H5" s="68" t="s">
        <v>41</v>
      </c>
      <c r="I5" s="68" t="s">
        <v>42</v>
      </c>
      <c r="J5" s="67"/>
    </row>
    <row r="6" spans="1:10" ht="15" x14ac:dyDescent="0.25">
      <c r="A6"/>
      <c r="B6"/>
      <c r="C6"/>
      <c r="D6"/>
      <c r="E6"/>
      <c r="F6"/>
      <c r="G6"/>
      <c r="H6"/>
      <c r="I6"/>
      <c r="J6" s="67"/>
    </row>
    <row r="7" spans="1:10" ht="15" x14ac:dyDescent="0.25">
      <c r="A7" s="65">
        <v>1</v>
      </c>
      <c r="B7"/>
      <c r="C7" s="71" t="s">
        <v>83</v>
      </c>
      <c r="D7" s="71"/>
      <c r="E7" s="74">
        <v>36</v>
      </c>
      <c r="F7" s="74">
        <v>38</v>
      </c>
      <c r="G7" s="74">
        <v>39</v>
      </c>
      <c r="H7" s="74">
        <v>40</v>
      </c>
      <c r="I7" s="74">
        <v>41</v>
      </c>
      <c r="J7" s="67"/>
    </row>
    <row r="8" spans="1:10" ht="15" x14ac:dyDescent="0.25">
      <c r="A8" s="65">
        <v>2</v>
      </c>
      <c r="B8"/>
      <c r="C8" s="69" t="s">
        <v>84</v>
      </c>
      <c r="D8"/>
      <c r="E8" s="74">
        <v>2</v>
      </c>
      <c r="F8" s="74">
        <v>1</v>
      </c>
      <c r="G8" s="74">
        <v>1</v>
      </c>
      <c r="H8" s="74">
        <v>1</v>
      </c>
      <c r="I8" s="74">
        <v>1</v>
      </c>
      <c r="J8" s="67"/>
    </row>
    <row r="9" spans="1:10" ht="15.75" thickBot="1" x14ac:dyDescent="0.3">
      <c r="A9" s="65">
        <v>3</v>
      </c>
      <c r="B9"/>
      <c r="C9" s="69" t="s">
        <v>2</v>
      </c>
      <c r="D9"/>
      <c r="E9" s="75">
        <v>38</v>
      </c>
      <c r="F9" s="75">
        <v>39</v>
      </c>
      <c r="G9" s="75">
        <v>40</v>
      </c>
      <c r="H9" s="75">
        <v>41</v>
      </c>
      <c r="I9" s="75">
        <v>42</v>
      </c>
      <c r="J9" s="67"/>
    </row>
    <row r="10" spans="1:10" ht="13.5" thickTop="1" x14ac:dyDescent="0.2"/>
  </sheetData>
  <mergeCells count="2">
    <mergeCell ref="A1:J1"/>
    <mergeCell ref="A2:J2"/>
  </mergeCells>
  <pageMargins left="0.7" right="0.7" top="0.75" bottom="0.75" header="0.3" footer="0.3"/>
  <pageSetup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28A2D-5DF0-494A-B11B-482ECAAA3685}">
  <dimension ref="A1:N31"/>
  <sheetViews>
    <sheetView showGridLines="0" workbookViewId="0">
      <selection activeCell="C15" sqref="C15"/>
    </sheetView>
  </sheetViews>
  <sheetFormatPr defaultColWidth="9.140625" defaultRowHeight="12.75" x14ac:dyDescent="0.2"/>
  <cols>
    <col min="1" max="1" width="4.85546875" style="1" customWidth="1"/>
    <col min="2" max="2" width="1.28515625" style="1" customWidth="1"/>
    <col min="3" max="3" width="40.140625" style="1" customWidth="1"/>
    <col min="4" max="4" width="3.28515625" style="1" customWidth="1"/>
    <col min="5" max="5" width="10.85546875" style="1" customWidth="1"/>
    <col min="6" max="6" width="11.85546875" style="1" customWidth="1"/>
    <col min="7" max="7" width="10.140625" style="1" customWidth="1"/>
    <col min="8" max="8" width="11" style="1" customWidth="1"/>
    <col min="9" max="9" width="10.28515625" style="1" customWidth="1"/>
    <col min="10" max="10" width="12.140625" style="1" customWidth="1"/>
    <col min="11" max="16384" width="9.140625" style="1"/>
  </cols>
  <sheetData>
    <row r="1" spans="1:14" ht="13.5" customHeight="1" x14ac:dyDescent="0.2">
      <c r="C1" s="64" t="s">
        <v>6</v>
      </c>
      <c r="D1" s="64"/>
      <c r="E1" s="64"/>
      <c r="F1" s="64"/>
      <c r="G1" s="64"/>
      <c r="H1" s="64"/>
      <c r="I1" s="64"/>
      <c r="J1" s="64"/>
    </row>
    <row r="2" spans="1:14" ht="13.5" customHeight="1" x14ac:dyDescent="0.2">
      <c r="C2" s="62" t="s">
        <v>62</v>
      </c>
      <c r="D2" s="62"/>
      <c r="E2" s="62"/>
      <c r="F2" s="62"/>
      <c r="G2" s="62"/>
      <c r="H2" s="62"/>
      <c r="I2" s="62"/>
      <c r="J2" s="62"/>
    </row>
    <row r="4" spans="1:14" ht="25.5" x14ac:dyDescent="0.2">
      <c r="A4" s="5" t="s">
        <v>73</v>
      </c>
      <c r="C4" s="45" t="s">
        <v>74</v>
      </c>
      <c r="D4" s="46"/>
      <c r="E4" s="5" t="s">
        <v>75</v>
      </c>
      <c r="F4" s="5" t="s">
        <v>63</v>
      </c>
      <c r="G4" s="5" t="s">
        <v>64</v>
      </c>
      <c r="H4" s="5" t="s">
        <v>79</v>
      </c>
      <c r="I4" s="5" t="s">
        <v>76</v>
      </c>
      <c r="J4" s="5" t="s">
        <v>77</v>
      </c>
    </row>
    <row r="5" spans="1:14" x14ac:dyDescent="0.2">
      <c r="A5" s="44"/>
      <c r="E5" s="8" t="s">
        <v>38</v>
      </c>
      <c r="F5" s="8" t="s">
        <v>39</v>
      </c>
      <c r="G5" s="8" t="s">
        <v>40</v>
      </c>
      <c r="H5" s="8" t="s">
        <v>41</v>
      </c>
      <c r="I5" s="8" t="s">
        <v>42</v>
      </c>
      <c r="J5" s="8" t="s">
        <v>43</v>
      </c>
    </row>
    <row r="6" spans="1:14" x14ac:dyDescent="0.2">
      <c r="A6" s="44"/>
      <c r="C6" s="4" t="s">
        <v>65</v>
      </c>
      <c r="E6" s="8"/>
      <c r="F6" s="8"/>
      <c r="G6" s="8"/>
      <c r="H6" s="8"/>
      <c r="I6" s="8"/>
      <c r="J6" s="8"/>
    </row>
    <row r="7" spans="1:14" x14ac:dyDescent="0.2">
      <c r="A7" s="44">
        <v>1</v>
      </c>
      <c r="C7" s="58" t="s">
        <v>66</v>
      </c>
      <c r="E7" s="53">
        <v>10206</v>
      </c>
      <c r="F7" s="19">
        <v>0.63061114784080874</v>
      </c>
      <c r="G7" s="48">
        <v>4.1703999999999998E-2</v>
      </c>
      <c r="H7" s="49">
        <f>E7*G7</f>
        <v>425.63102399999997</v>
      </c>
      <c r="I7" s="47">
        <v>0</v>
      </c>
      <c r="J7" s="49">
        <f>H7</f>
        <v>425.63102399999997</v>
      </c>
    </row>
    <row r="8" spans="1:14" x14ac:dyDescent="0.2">
      <c r="A8" s="44">
        <v>2</v>
      </c>
      <c r="C8" s="58" t="s">
        <v>1</v>
      </c>
      <c r="E8" s="53">
        <v>151.95199999999932</v>
      </c>
      <c r="F8" s="19">
        <v>9.3888521591912726E-3</v>
      </c>
      <c r="G8" s="48">
        <v>0.03</v>
      </c>
      <c r="H8" s="49">
        <f t="shared" ref="H8:H9" si="0">G8*E8</f>
        <v>4.5585599999999795</v>
      </c>
      <c r="I8" s="47">
        <v>0</v>
      </c>
      <c r="J8" s="49">
        <f t="shared" ref="J8" si="1">H8</f>
        <v>4.5585599999999795</v>
      </c>
      <c r="M8" s="40"/>
    </row>
    <row r="9" spans="1:14" x14ac:dyDescent="0.2">
      <c r="A9" s="44">
        <v>3</v>
      </c>
      <c r="C9" s="6" t="s">
        <v>2</v>
      </c>
      <c r="D9" s="41"/>
      <c r="E9" s="54">
        <v>5826.348</v>
      </c>
      <c r="F9" s="19">
        <v>0.36</v>
      </c>
      <c r="G9" s="48">
        <v>8.6599999999999996E-2</v>
      </c>
      <c r="H9" s="50">
        <f t="shared" si="0"/>
        <v>504.56173679999995</v>
      </c>
      <c r="I9" s="49">
        <f>H9/0.735-H9</f>
        <v>181.9168166693878</v>
      </c>
      <c r="J9" s="50">
        <f>H9/0.735</f>
        <v>686.47855346938775</v>
      </c>
    </row>
    <row r="10" spans="1:14" s="39" customFormat="1" ht="25.5" x14ac:dyDescent="0.2">
      <c r="A10" s="44">
        <v>4</v>
      </c>
      <c r="B10" s="1"/>
      <c r="C10" s="6" t="s">
        <v>67</v>
      </c>
      <c r="D10" s="1"/>
      <c r="E10" s="53">
        <f>SUM(E7:E9)</f>
        <v>16184.3</v>
      </c>
      <c r="F10" s="60"/>
      <c r="G10" s="60"/>
      <c r="H10" s="37">
        <f>SUM(H7:H9)</f>
        <v>934.75132079999992</v>
      </c>
      <c r="I10" s="60"/>
      <c r="J10" s="49">
        <f>SUM(J7:J9)</f>
        <v>1116.6681374693876</v>
      </c>
    </row>
    <row r="11" spans="1:14" s="39" customFormat="1" x14ac:dyDescent="0.2">
      <c r="A11" s="44"/>
      <c r="B11" s="1"/>
      <c r="C11" s="6"/>
      <c r="D11" s="1"/>
      <c r="E11" s="53"/>
      <c r="F11" s="60"/>
      <c r="G11" s="60"/>
      <c r="H11" s="37"/>
      <c r="I11" s="60"/>
      <c r="J11" s="49"/>
    </row>
    <row r="12" spans="1:14" s="39" customFormat="1" ht="25.5" x14ac:dyDescent="0.2">
      <c r="A12" s="44"/>
      <c r="B12" s="1"/>
      <c r="C12" s="4" t="s">
        <v>68</v>
      </c>
      <c r="D12" s="1"/>
      <c r="E12" s="55"/>
      <c r="F12" s="8"/>
      <c r="G12" s="8"/>
      <c r="H12" s="51"/>
      <c r="I12" s="8"/>
      <c r="J12" s="51"/>
    </row>
    <row r="13" spans="1:14" s="39" customFormat="1" x14ac:dyDescent="0.2">
      <c r="A13" s="44">
        <v>5</v>
      </c>
      <c r="B13" s="1"/>
      <c r="C13" s="58" t="s">
        <v>66</v>
      </c>
      <c r="D13" s="1"/>
      <c r="E13" s="53">
        <v>10028.1</v>
      </c>
      <c r="F13" s="19">
        <v>0.61961901348838078</v>
      </c>
      <c r="G13" s="48">
        <v>4.1679000000000001E-2</v>
      </c>
      <c r="H13" s="49">
        <f>E13*G13</f>
        <v>417.96117990000005</v>
      </c>
      <c r="I13" s="47">
        <v>0</v>
      </c>
      <c r="J13" s="49">
        <f>H13</f>
        <v>417.96117990000005</v>
      </c>
    </row>
    <row r="14" spans="1:14" s="39" customFormat="1" x14ac:dyDescent="0.2">
      <c r="A14" s="44">
        <v>6</v>
      </c>
      <c r="B14" s="1"/>
      <c r="C14" s="58" t="s">
        <v>1</v>
      </c>
      <c r="D14" s="1"/>
      <c r="E14" s="53">
        <v>6.1659999999992579</v>
      </c>
      <c r="F14" s="19">
        <v>3.8098651161923953E-4</v>
      </c>
      <c r="G14" s="48">
        <v>0.03</v>
      </c>
      <c r="H14" s="49">
        <f t="shared" ref="H14:H15" si="2">G14*E14</f>
        <v>0.18497999999997772</v>
      </c>
      <c r="I14" s="47">
        <v>0</v>
      </c>
      <c r="J14" s="49">
        <f t="shared" ref="J14" si="3">H14</f>
        <v>0.18497999999997772</v>
      </c>
    </row>
    <row r="15" spans="1:14" s="39" customFormat="1" x14ac:dyDescent="0.2">
      <c r="A15" s="44">
        <v>7</v>
      </c>
      <c r="B15" s="1"/>
      <c r="C15" s="6" t="s">
        <v>2</v>
      </c>
      <c r="D15" s="41"/>
      <c r="E15" s="54">
        <v>6150.0339999999997</v>
      </c>
      <c r="F15" s="19">
        <v>0.38</v>
      </c>
      <c r="G15" s="48">
        <v>8.6599999999999996E-2</v>
      </c>
      <c r="H15" s="50">
        <f t="shared" si="2"/>
        <v>532.59294439999996</v>
      </c>
      <c r="I15" s="49">
        <f>H15/0.735-H15</f>
        <v>192.02330648435372</v>
      </c>
      <c r="J15" s="50">
        <f>H15/0.735</f>
        <v>724.61625088435369</v>
      </c>
    </row>
    <row r="16" spans="1:14" s="39" customFormat="1" ht="25.5" x14ac:dyDescent="0.2">
      <c r="A16" s="44">
        <v>8</v>
      </c>
      <c r="B16" s="1"/>
      <c r="C16" s="6" t="s">
        <v>67</v>
      </c>
      <c r="D16" s="1"/>
      <c r="E16" s="53">
        <f>SUM(E13:E15)</f>
        <v>16184.3</v>
      </c>
      <c r="F16" s="60"/>
      <c r="G16" s="60"/>
      <c r="H16" s="37">
        <f>SUM(H13:H15)</f>
        <v>950.73910430000001</v>
      </c>
      <c r="I16" s="60"/>
      <c r="J16" s="49">
        <f>SUM(J13:J15)</f>
        <v>1142.7624107843537</v>
      </c>
      <c r="N16" s="42"/>
    </row>
    <row r="17" spans="1:10" s="39" customFormat="1" x14ac:dyDescent="0.2">
      <c r="A17" s="44"/>
      <c r="B17" s="1"/>
      <c r="C17" s="6"/>
      <c r="D17" s="1"/>
      <c r="E17" s="53"/>
      <c r="F17" s="60"/>
      <c r="G17" s="60"/>
      <c r="H17" s="37"/>
      <c r="I17" s="60"/>
      <c r="J17" s="49"/>
    </row>
    <row r="18" spans="1:10" s="39" customFormat="1" x14ac:dyDescent="0.2">
      <c r="A18" s="44"/>
      <c r="B18" s="1"/>
      <c r="C18" s="4" t="s">
        <v>69</v>
      </c>
      <c r="D18" s="1"/>
      <c r="E18" s="55"/>
      <c r="F18" s="8"/>
      <c r="G18" s="8"/>
      <c r="H18" s="51"/>
      <c r="I18" s="8"/>
      <c r="J18" s="51"/>
    </row>
    <row r="19" spans="1:10" s="39" customFormat="1" x14ac:dyDescent="0.2">
      <c r="A19" s="44">
        <v>9</v>
      </c>
      <c r="B19" s="1"/>
      <c r="C19" s="58" t="s">
        <v>66</v>
      </c>
      <c r="D19" s="1"/>
      <c r="E19" s="53">
        <v>9852.2000000000007</v>
      </c>
      <c r="F19" s="19">
        <v>0.60875045568853769</v>
      </c>
      <c r="G19" s="48">
        <v>4.1653999999999997E-2</v>
      </c>
      <c r="H19" s="49">
        <f>E19*G19</f>
        <v>410.3835388</v>
      </c>
      <c r="I19" s="47">
        <v>0</v>
      </c>
      <c r="J19" s="49">
        <f>H19</f>
        <v>410.3835388</v>
      </c>
    </row>
    <row r="20" spans="1:10" s="39" customFormat="1" x14ac:dyDescent="0.2">
      <c r="A20" s="44">
        <v>10</v>
      </c>
      <c r="B20" s="1"/>
      <c r="C20" s="58" t="s">
        <v>1</v>
      </c>
      <c r="D20" s="1"/>
      <c r="E20" s="53">
        <v>-465.30600000000049</v>
      </c>
      <c r="F20" s="56">
        <v>-2.875045568853769E-2</v>
      </c>
      <c r="G20" s="48">
        <v>0.03</v>
      </c>
      <c r="H20" s="53">
        <f t="shared" ref="H20:H21" si="4">G20*E20</f>
        <v>-13.959180000000014</v>
      </c>
      <c r="I20" s="47">
        <v>0</v>
      </c>
      <c r="J20" s="53">
        <f t="shared" ref="J20" si="5">H20</f>
        <v>-13.959180000000014</v>
      </c>
    </row>
    <row r="21" spans="1:10" s="39" customFormat="1" x14ac:dyDescent="0.2">
      <c r="A21" s="44">
        <v>11</v>
      </c>
      <c r="B21" s="1"/>
      <c r="C21" s="6" t="s">
        <v>2</v>
      </c>
      <c r="D21" s="41"/>
      <c r="E21" s="54">
        <v>6797.405999999999</v>
      </c>
      <c r="F21" s="19">
        <v>0.42</v>
      </c>
      <c r="G21" s="48">
        <v>8.6599999999999996E-2</v>
      </c>
      <c r="H21" s="50">
        <f t="shared" si="4"/>
        <v>588.65535959999988</v>
      </c>
      <c r="I21" s="49">
        <f>H21/0.735-H21</f>
        <v>212.23628611428569</v>
      </c>
      <c r="J21" s="50">
        <f>H21/0.735</f>
        <v>800.89164571428557</v>
      </c>
    </row>
    <row r="22" spans="1:10" ht="25.5" x14ac:dyDescent="0.2">
      <c r="A22" s="44">
        <v>12</v>
      </c>
      <c r="C22" s="6" t="s">
        <v>67</v>
      </c>
      <c r="E22" s="53">
        <f>SUM(E19:E21)</f>
        <v>16184.3</v>
      </c>
      <c r="F22" s="60"/>
      <c r="G22" s="60"/>
      <c r="H22" s="37">
        <f>SUM(H19:H21)</f>
        <v>985.07971839999982</v>
      </c>
      <c r="I22" s="60"/>
      <c r="J22" s="49">
        <f>SUM(J19:J21)</f>
        <v>1197.3160045142856</v>
      </c>
    </row>
    <row r="23" spans="1:10" ht="29.25" customHeight="1" x14ac:dyDescent="0.2">
      <c r="A23" s="44"/>
      <c r="E23" s="43"/>
      <c r="J23" s="52"/>
    </row>
    <row r="24" spans="1:10" x14ac:dyDescent="0.2">
      <c r="A24" s="44">
        <v>13</v>
      </c>
      <c r="C24" s="1" t="s">
        <v>70</v>
      </c>
      <c r="J24" s="37">
        <f>ROUND(J16-J10,1)</f>
        <v>26.1</v>
      </c>
    </row>
    <row r="25" spans="1:10" x14ac:dyDescent="0.2">
      <c r="A25" s="44"/>
      <c r="J25" s="37"/>
    </row>
    <row r="26" spans="1:10" x14ac:dyDescent="0.2">
      <c r="A26" s="44">
        <v>14</v>
      </c>
      <c r="C26" s="1" t="s">
        <v>71</v>
      </c>
      <c r="J26" s="37">
        <f>ROUND(J22-J10,1)</f>
        <v>80.599999999999994</v>
      </c>
    </row>
    <row r="27" spans="1:10" x14ac:dyDescent="0.2">
      <c r="A27" s="44"/>
      <c r="J27" s="37"/>
    </row>
    <row r="28" spans="1:10" x14ac:dyDescent="0.2">
      <c r="A28" s="44">
        <v>15</v>
      </c>
      <c r="C28" s="1" t="s">
        <v>78</v>
      </c>
      <c r="J28" s="37">
        <f>J26-J24</f>
        <v>54.499999999999993</v>
      </c>
    </row>
    <row r="29" spans="1:10" x14ac:dyDescent="0.2">
      <c r="A29" s="44"/>
      <c r="J29" s="37"/>
    </row>
    <row r="30" spans="1:10" ht="13.5" thickBot="1" x14ac:dyDescent="0.25">
      <c r="A30" s="44">
        <v>16</v>
      </c>
      <c r="C30" s="1" t="s">
        <v>72</v>
      </c>
      <c r="J30" s="57">
        <f>J28/4</f>
        <v>13.624999999999998</v>
      </c>
    </row>
    <row r="31" spans="1:10" ht="13.5" thickTop="1" x14ac:dyDescent="0.2">
      <c r="J31" s="52"/>
    </row>
  </sheetData>
  <mergeCells count="2">
    <mergeCell ref="C1:J1"/>
    <mergeCell ref="C2: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 xsi:nil="true"/>
    <Finance_x0020_view xmlns="0e4c58a4-4156-4653-af30-d293e31e5ce5">No</Finance_x0020_view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Exhibit_x002f_Tab_x002f_Schedule xmlns="0e4c58a4-4156-4653-af30-d293e31e5ce5">05.05</Exhibit_x002f_Tab_x002f_Schedule>
    <_x0031_st_x0020_Draft_x0020_SL_x0020_Review_x0020_Complete xmlns="0e4c58a4-4156-4653-af30-d293e31e5ce5" xsi:nil="true"/>
    <Binder xmlns="0e4c58a4-4156-4653-af30-d293e31e5ce5">5</Binder>
    <Attachment xmlns="0e4c58a4-4156-4653-af30-d293e31e5ce5">0</Attachment>
    <Phase xmlns="0e4c58a4-4156-4653-af30-d293e31e5ce5">Phase 1</Phase>
    <Version_x0020_Comments xmlns="0e4c58a4-4156-4653-af30-d293e31e5ce5">Final</Version_x0020_Comments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_x0031_st_x0020_draft_x0020_ready_x0020_for_x0020_Regulatory xmlns="0e4c58a4-4156-4653-af30-d293e31e5ce5" xsi:nil="true"/>
    <Accountable_x0020_Area xmlns="0e4c58a4-4156-4653-af30-d293e31e5ce5">BD&amp;R</Accountable_x0020_Area>
    <Final_x0020_Draft_x0020_Due xmlns="0e4c58a4-4156-4653-af30-d293e31e5ce5" xsi:nil="true"/>
    <Executive_x0020_Review xmlns="0e4c58a4-4156-4653-af30-d293e31e5ce5">false</Executive_x0020_Review>
    <Formatting_x0020_Reqd xmlns="0e4c58a4-4156-4653-af30-d293e31e5ce5">false</Formatting_x0020_Reqd>
    <Final_x0020_Draft_x0020_Ready_x0020_for_x0020_SL_x0020_Review xmlns="0e4c58a4-4156-4653-af30-d293e31e5ce5">false</Final_x0020_Draft_x0020_Ready_x0020_for_x0020_SL_x0020_Review>
    <Legal_x0020_Handoff_x0020_Date xmlns="0e4c58a4-4156-4653-af30-d293e31e5ce5" xsi:nil="true"/>
    <Final_x0020_Draft_x0020_Reg_x002f_1st_x0020_Level_x0020_Review_x0020_Due_x0020_Date xmlns="0e4c58a4-4156-4653-af30-d293e31e5ce5" xsi:nil="true"/>
    <Legal_x0020_Session_x0020_Date xmlns="0e4c58a4-4156-4653-af30-d293e31e5ce5" xsi:nil="true"/>
    <xewa xmlns="0e4c58a4-4156-4653-af30-d293e31e5ce5" xsi:nil="true"/>
    <TM_x0020_Sign_x0020_Off xmlns="0e4c58a4-4156-4653-af30-d293e31e5ce5" xsi:nil="true"/>
    <Reg_x002f_Formatting_x0020_Sign_x0020_Off xmlns="0e4c58a4-4156-4653-af30-d293e31e5c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1895E456-75C5-47E5-B952-FE1DCA45D1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9FC4C-0F63-4E97-B448-6D846F9E4407}">
  <ds:schemaRefs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3156B1-BC3F-4521-8883-C5F33EACD8A7}"/>
</file>

<file path=customXml/itemProps4.xml><?xml version="1.0" encoding="utf-8"?>
<ds:datastoreItem xmlns:ds="http://schemas.openxmlformats.org/officeDocument/2006/customXml" ds:itemID="{6305DC2E-6B00-45E3-9BF5-A044FF09404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5.1.1 Table 1</vt:lpstr>
      <vt:lpstr>5.1.1 Table 2</vt:lpstr>
      <vt:lpstr>5.1.1 Table 3</vt:lpstr>
      <vt:lpstr>Sheet2</vt:lpstr>
      <vt:lpstr>5.2.1 Table 1</vt:lpstr>
      <vt:lpstr>5.2.1 Table 3</vt:lpstr>
      <vt:lpstr>5.2.1 Table 4</vt:lpstr>
      <vt:lpstr>5.3.1 Table 1</vt:lpstr>
      <vt:lpstr>5.3.1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Julie Rader</cp:lastModifiedBy>
  <cp:lastPrinted>2022-09-12T13:30:25Z</cp:lastPrinted>
  <dcterms:created xsi:type="dcterms:W3CDTF">2022-05-16T22:21:42Z</dcterms:created>
  <dcterms:modified xsi:type="dcterms:W3CDTF">2022-10-31T00:23:39Z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2022-05-16T22:21:42Z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ce782027-4d19-470a-8041-526b6e1b2423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